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6AR12M\Excel Downloads\"/>
    </mc:Choice>
  </mc:AlternateContent>
  <bookViews>
    <workbookView xWindow="0" yWindow="0" windowWidth="28800" windowHeight="13635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D96" i="22"/>
  <c r="D98" i="22" s="1"/>
  <c r="C96" i="22"/>
  <c r="C98" i="22" s="1"/>
  <c r="E92" i="22"/>
  <c r="E93" i="22" s="1"/>
  <c r="D92" i="22"/>
  <c r="C92" i="22"/>
  <c r="E91" i="22"/>
  <c r="D91" i="22"/>
  <c r="C91" i="22"/>
  <c r="C93" i="22" s="1"/>
  <c r="E87" i="22"/>
  <c r="D87" i="22"/>
  <c r="D88" i="22" s="1"/>
  <c r="C87" i="22"/>
  <c r="E86" i="22"/>
  <c r="E88" i="22" s="1"/>
  <c r="D86" i="22"/>
  <c r="C86" i="22"/>
  <c r="E83" i="22"/>
  <c r="D83" i="22"/>
  <c r="C83" i="22"/>
  <c r="E76" i="22"/>
  <c r="D76" i="22"/>
  <c r="D102" i="22" s="1"/>
  <c r="C76" i="22"/>
  <c r="E75" i="22"/>
  <c r="D75" i="22"/>
  <c r="C75" i="22"/>
  <c r="C77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4" i="22" s="1"/>
  <c r="E33" i="22"/>
  <c r="D12" i="22"/>
  <c r="D22" i="22" s="1"/>
  <c r="C12" i="22"/>
  <c r="C33" i="22" s="1"/>
  <c r="D21" i="21"/>
  <c r="C21" i="21"/>
  <c r="D19" i="21"/>
  <c r="C19" i="21"/>
  <c r="E17" i="21"/>
  <c r="F17" i="21" s="1"/>
  <c r="E15" i="21"/>
  <c r="F15" i="21" s="1"/>
  <c r="D45" i="20"/>
  <c r="C45" i="20"/>
  <c r="D44" i="20"/>
  <c r="C44" i="20"/>
  <c r="D43" i="20"/>
  <c r="C43" i="20"/>
  <c r="D36" i="20"/>
  <c r="D40" i="20"/>
  <c r="C36" i="20"/>
  <c r="E35" i="20"/>
  <c r="F35" i="20" s="1"/>
  <c r="E34" i="20"/>
  <c r="F34" i="20" s="1"/>
  <c r="E33" i="20"/>
  <c r="F33" i="20" s="1"/>
  <c r="E30" i="20"/>
  <c r="F30" i="20" s="1"/>
  <c r="E29" i="20"/>
  <c r="F29" i="20" s="1"/>
  <c r="E28" i="20"/>
  <c r="F28" i="20" s="1"/>
  <c r="E27" i="20"/>
  <c r="F27" i="20" s="1"/>
  <c r="D25" i="20"/>
  <c r="D39" i="20" s="1"/>
  <c r="C25" i="20"/>
  <c r="E24" i="20"/>
  <c r="F24" i="20" s="1"/>
  <c r="E23" i="20"/>
  <c r="F23" i="20"/>
  <c r="E22" i="20"/>
  <c r="D19" i="20"/>
  <c r="D20" i="20" s="1"/>
  <c r="C19" i="20"/>
  <c r="E18" i="20"/>
  <c r="F18" i="20" s="1"/>
  <c r="D16" i="20"/>
  <c r="E16" i="20" s="1"/>
  <c r="C16" i="20"/>
  <c r="E15" i="20"/>
  <c r="F15" i="20" s="1"/>
  <c r="E13" i="20"/>
  <c r="F13" i="20" s="1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59" i="19"/>
  <c r="C60" i="19" s="1"/>
  <c r="C48" i="19"/>
  <c r="C64" i="19" s="1"/>
  <c r="C65" i="19" s="1"/>
  <c r="C36" i="19"/>
  <c r="C32" i="19"/>
  <c r="C33" i="19" s="1"/>
  <c r="C21" i="19"/>
  <c r="E328" i="18"/>
  <c r="E325" i="18"/>
  <c r="D324" i="18"/>
  <c r="E324" i="18"/>
  <c r="C324" i="18"/>
  <c r="C326" i="18"/>
  <c r="C330" i="18" s="1"/>
  <c r="E318" i="18"/>
  <c r="E315" i="18"/>
  <c r="D314" i="18"/>
  <c r="D316" i="18" s="1"/>
  <c r="D320" i="18" s="1"/>
  <c r="E320" i="18" s="1"/>
  <c r="C314" i="18"/>
  <c r="C316" i="18"/>
  <c r="C320" i="18" s="1"/>
  <c r="E308" i="18"/>
  <c r="E305" i="18"/>
  <c r="D301" i="18"/>
  <c r="E301" i="18" s="1"/>
  <c r="C301" i="18"/>
  <c r="D293" i="18"/>
  <c r="E293" i="18" s="1"/>
  <c r="C293" i="18"/>
  <c r="D292" i="18"/>
  <c r="C292" i="18"/>
  <c r="D291" i="18"/>
  <c r="E291" i="18" s="1"/>
  <c r="C291" i="18"/>
  <c r="D290" i="18"/>
  <c r="C290" i="18"/>
  <c r="D288" i="18"/>
  <c r="C288" i="18"/>
  <c r="E288" i="18" s="1"/>
  <c r="D287" i="18"/>
  <c r="C287" i="18"/>
  <c r="D282" i="18"/>
  <c r="E282" i="18" s="1"/>
  <c r="C282" i="18"/>
  <c r="D281" i="18"/>
  <c r="C281" i="18"/>
  <c r="D280" i="18"/>
  <c r="C280" i="18"/>
  <c r="D279" i="18"/>
  <c r="C279" i="18"/>
  <c r="E279" i="18" s="1"/>
  <c r="D278" i="18"/>
  <c r="E278" i="18" s="1"/>
  <c r="C278" i="18"/>
  <c r="D277" i="18"/>
  <c r="C277" i="18"/>
  <c r="D276" i="18"/>
  <c r="C276" i="18"/>
  <c r="E270" i="18"/>
  <c r="D265" i="18"/>
  <c r="D302" i="18" s="1"/>
  <c r="C265" i="18"/>
  <c r="C302" i="18" s="1"/>
  <c r="C303" i="18" s="1"/>
  <c r="C306" i="18" s="1"/>
  <c r="C310" i="18" s="1"/>
  <c r="D262" i="18"/>
  <c r="E262" i="18" s="1"/>
  <c r="C262" i="18"/>
  <c r="D251" i="18"/>
  <c r="E251" i="18" s="1"/>
  <c r="C251" i="18"/>
  <c r="D233" i="18"/>
  <c r="C233" i="18"/>
  <c r="D232" i="18"/>
  <c r="C232" i="18"/>
  <c r="D231" i="18"/>
  <c r="C231" i="18"/>
  <c r="D230" i="18"/>
  <c r="E230" i="18" s="1"/>
  <c r="C230" i="18"/>
  <c r="D228" i="18"/>
  <c r="E228" i="18" s="1"/>
  <c r="C228" i="18"/>
  <c r="D227" i="18"/>
  <c r="C227" i="18"/>
  <c r="E227" i="18" s="1"/>
  <c r="D221" i="18"/>
  <c r="D245" i="18" s="1"/>
  <c r="C221" i="18"/>
  <c r="C245" i="18" s="1"/>
  <c r="D220" i="18"/>
  <c r="E220" i="18" s="1"/>
  <c r="C220" i="18"/>
  <c r="C244" i="18" s="1"/>
  <c r="D219" i="18"/>
  <c r="C219" i="18"/>
  <c r="C243" i="18" s="1"/>
  <c r="D218" i="18"/>
  <c r="C218" i="18"/>
  <c r="C242" i="18" s="1"/>
  <c r="D216" i="18"/>
  <c r="E216" i="18" s="1"/>
  <c r="C216" i="18"/>
  <c r="C240" i="18" s="1"/>
  <c r="D215" i="18"/>
  <c r="D239" i="18" s="1"/>
  <c r="C215" i="18"/>
  <c r="E209" i="18"/>
  <c r="E208" i="18"/>
  <c r="E207" i="18"/>
  <c r="E206" i="18"/>
  <c r="D205" i="18"/>
  <c r="D229" i="18" s="1"/>
  <c r="C205" i="18"/>
  <c r="C210" i="18" s="1"/>
  <c r="C229" i="18"/>
  <c r="E229" i="18" s="1"/>
  <c r="E204" i="18"/>
  <c r="E203" i="18"/>
  <c r="E197" i="18"/>
  <c r="E196" i="18"/>
  <c r="D195" i="18"/>
  <c r="D260" i="18" s="1"/>
  <c r="E260" i="18" s="1"/>
  <c r="C195" i="18"/>
  <c r="C260" i="18" s="1"/>
  <c r="E194" i="18"/>
  <c r="E193" i="18"/>
  <c r="E192" i="18"/>
  <c r="E191" i="18"/>
  <c r="E190" i="18"/>
  <c r="D188" i="18"/>
  <c r="C188" i="18"/>
  <c r="C261" i="18" s="1"/>
  <c r="E186" i="18"/>
  <c r="E185" i="18"/>
  <c r="D179" i="18"/>
  <c r="E179" i="18" s="1"/>
  <c r="C179" i="18"/>
  <c r="D178" i="18"/>
  <c r="E178" i="18" s="1"/>
  <c r="C178" i="18"/>
  <c r="D177" i="18"/>
  <c r="E177" i="18" s="1"/>
  <c r="C177" i="18"/>
  <c r="D176" i="18"/>
  <c r="E176" i="18" s="1"/>
  <c r="C176" i="18"/>
  <c r="D174" i="18"/>
  <c r="E174" i="18" s="1"/>
  <c r="C174" i="18"/>
  <c r="D173" i="18"/>
  <c r="C173" i="18"/>
  <c r="D167" i="18"/>
  <c r="C167" i="18"/>
  <c r="D166" i="18"/>
  <c r="E166" i="18" s="1"/>
  <c r="C166" i="18"/>
  <c r="D165" i="18"/>
  <c r="E165" i="18" s="1"/>
  <c r="C165" i="18"/>
  <c r="D164" i="18"/>
  <c r="E164" i="18" s="1"/>
  <c r="C164" i="18"/>
  <c r="D162" i="18"/>
  <c r="E162" i="18" s="1"/>
  <c r="C162" i="18"/>
  <c r="D161" i="18"/>
  <c r="E161" i="18" s="1"/>
  <c r="C161" i="18"/>
  <c r="E155" i="18"/>
  <c r="E154" i="18"/>
  <c r="E153" i="18"/>
  <c r="E152" i="18"/>
  <c r="D151" i="18"/>
  <c r="C151" i="18"/>
  <c r="C156" i="18" s="1"/>
  <c r="C157" i="18" s="1"/>
  <c r="E150" i="18"/>
  <c r="E149" i="18"/>
  <c r="E143" i="18"/>
  <c r="E142" i="18"/>
  <c r="E141" i="18"/>
  <c r="E140" i="18"/>
  <c r="D139" i="18"/>
  <c r="D175" i="18" s="1"/>
  <c r="C139" i="18"/>
  <c r="E138" i="18"/>
  <c r="E137" i="18"/>
  <c r="D75" i="18"/>
  <c r="E75" i="18" s="1"/>
  <c r="C75" i="18"/>
  <c r="D74" i="18"/>
  <c r="C74" i="18"/>
  <c r="D73" i="18"/>
  <c r="E73" i="18" s="1"/>
  <c r="C73" i="18"/>
  <c r="D72" i="18"/>
  <c r="C72" i="18"/>
  <c r="D70" i="18"/>
  <c r="C70" i="18"/>
  <c r="D69" i="18"/>
  <c r="E69" i="18" s="1"/>
  <c r="C69" i="18"/>
  <c r="E64" i="18"/>
  <c r="E63" i="18"/>
  <c r="E62" i="18"/>
  <c r="E61" i="18"/>
  <c r="D60" i="18"/>
  <c r="D65" i="18" s="1"/>
  <c r="D289" i="18"/>
  <c r="C60" i="18"/>
  <c r="E59" i="18"/>
  <c r="E58" i="18"/>
  <c r="D54" i="18"/>
  <c r="D55" i="18" s="1"/>
  <c r="C54" i="18"/>
  <c r="E53" i="18"/>
  <c r="E52" i="18"/>
  <c r="E51" i="18"/>
  <c r="E50" i="18"/>
  <c r="E49" i="18"/>
  <c r="E48" i="18"/>
  <c r="E47" i="18"/>
  <c r="D42" i="18"/>
  <c r="C42" i="18"/>
  <c r="D41" i="18"/>
  <c r="E41" i="18" s="1"/>
  <c r="C41" i="18"/>
  <c r="D40" i="18"/>
  <c r="C40" i="18"/>
  <c r="D39" i="18"/>
  <c r="E39" i="18" s="1"/>
  <c r="C39" i="18"/>
  <c r="D38" i="18"/>
  <c r="C38" i="18"/>
  <c r="D37" i="18"/>
  <c r="C37" i="18"/>
  <c r="E37" i="18" s="1"/>
  <c r="D36" i="18"/>
  <c r="C36" i="18"/>
  <c r="D33" i="18"/>
  <c r="D32" i="18"/>
  <c r="C32" i="18"/>
  <c r="E31" i="18"/>
  <c r="E30" i="18"/>
  <c r="E29" i="18"/>
  <c r="E28" i="18"/>
  <c r="E27" i="18"/>
  <c r="E26" i="18"/>
  <c r="E25" i="18"/>
  <c r="C22" i="18"/>
  <c r="D21" i="18"/>
  <c r="C21" i="18"/>
  <c r="E20" i="18"/>
  <c r="E19" i="18"/>
  <c r="E18" i="18"/>
  <c r="E17" i="18"/>
  <c r="E16" i="18"/>
  <c r="E15" i="18"/>
  <c r="E14" i="18"/>
  <c r="E335" i="17"/>
  <c r="F335" i="17"/>
  <c r="E334" i="17"/>
  <c r="F334" i="17" s="1"/>
  <c r="E333" i="17"/>
  <c r="F333" i="17" s="1"/>
  <c r="E332" i="17"/>
  <c r="F332" i="17" s="1"/>
  <c r="E331" i="17"/>
  <c r="F331" i="17" s="1"/>
  <c r="E330" i="17"/>
  <c r="F330" i="17"/>
  <c r="E329" i="17"/>
  <c r="F329" i="17"/>
  <c r="F316" i="17"/>
  <c r="E316" i="17"/>
  <c r="D311" i="17"/>
  <c r="C311" i="17"/>
  <c r="F311" i="17" s="1"/>
  <c r="E308" i="17"/>
  <c r="F308" i="17" s="1"/>
  <c r="D307" i="17"/>
  <c r="C307" i="17"/>
  <c r="D299" i="17"/>
  <c r="E299" i="17" s="1"/>
  <c r="C299" i="17"/>
  <c r="D298" i="17"/>
  <c r="E298" i="17" s="1"/>
  <c r="C298" i="17"/>
  <c r="D297" i="17"/>
  <c r="C297" i="17"/>
  <c r="D296" i="17"/>
  <c r="E296" i="17" s="1"/>
  <c r="C296" i="17"/>
  <c r="D295" i="17"/>
  <c r="E295" i="17" s="1"/>
  <c r="C295" i="17"/>
  <c r="F295" i="17" s="1"/>
  <c r="D294" i="17"/>
  <c r="C294" i="17"/>
  <c r="D250" i="17"/>
  <c r="D306" i="17"/>
  <c r="C250" i="17"/>
  <c r="E249" i="17"/>
  <c r="F249" i="17"/>
  <c r="E248" i="17"/>
  <c r="F248" i="17"/>
  <c r="F245" i="17"/>
  <c r="E245" i="17"/>
  <c r="E244" i="17"/>
  <c r="F244" i="17" s="1"/>
  <c r="E243" i="17"/>
  <c r="F243" i="17"/>
  <c r="D238" i="17"/>
  <c r="C238" i="17"/>
  <c r="D237" i="17"/>
  <c r="D239" i="17" s="1"/>
  <c r="E239" i="17" s="1"/>
  <c r="C237" i="17"/>
  <c r="E234" i="17"/>
  <c r="F234" i="17"/>
  <c r="E233" i="17"/>
  <c r="F233" i="17" s="1"/>
  <c r="D230" i="17"/>
  <c r="C230" i="17"/>
  <c r="D229" i="17"/>
  <c r="C229" i="17"/>
  <c r="E228" i="17"/>
  <c r="F228" i="17" s="1"/>
  <c r="C227" i="17"/>
  <c r="D226" i="17"/>
  <c r="D227" i="17" s="1"/>
  <c r="C226" i="17"/>
  <c r="E225" i="17"/>
  <c r="F225" i="17" s="1"/>
  <c r="E224" i="17"/>
  <c r="F224" i="17"/>
  <c r="D223" i="17"/>
  <c r="C223" i="17"/>
  <c r="E222" i="17"/>
  <c r="F222" i="17" s="1"/>
  <c r="E221" i="17"/>
  <c r="F221" i="17" s="1"/>
  <c r="D204" i="17"/>
  <c r="D285" i="17" s="1"/>
  <c r="C204" i="17"/>
  <c r="C269" i="17" s="1"/>
  <c r="D203" i="17"/>
  <c r="C203" i="17"/>
  <c r="D198" i="17"/>
  <c r="D290" i="17" s="1"/>
  <c r="C198" i="17"/>
  <c r="D191" i="17"/>
  <c r="D280" i="17"/>
  <c r="C191" i="17"/>
  <c r="D189" i="17"/>
  <c r="C189" i="17"/>
  <c r="D188" i="17"/>
  <c r="D277" i="17" s="1"/>
  <c r="C188" i="17"/>
  <c r="D180" i="17"/>
  <c r="C180" i="17"/>
  <c r="D179" i="17"/>
  <c r="C179" i="17"/>
  <c r="C172" i="17"/>
  <c r="D171" i="17"/>
  <c r="D172" i="17" s="1"/>
  <c r="C171" i="17"/>
  <c r="D170" i="17"/>
  <c r="C170" i="17"/>
  <c r="E169" i="17"/>
  <c r="F169" i="17" s="1"/>
  <c r="E168" i="17"/>
  <c r="F168" i="17" s="1"/>
  <c r="D165" i="17"/>
  <c r="E165" i="17" s="1"/>
  <c r="F165" i="17" s="1"/>
  <c r="C165" i="17"/>
  <c r="D164" i="17"/>
  <c r="C164" i="17"/>
  <c r="E163" i="17"/>
  <c r="F163" i="17"/>
  <c r="D158" i="17"/>
  <c r="D159" i="17" s="1"/>
  <c r="C158" i="17"/>
  <c r="E157" i="17"/>
  <c r="F157" i="17" s="1"/>
  <c r="E156" i="17"/>
  <c r="F156" i="17"/>
  <c r="D155" i="17"/>
  <c r="C155" i="17"/>
  <c r="E154" i="17"/>
  <c r="F154" i="17" s="1"/>
  <c r="E153" i="17"/>
  <c r="F153" i="17" s="1"/>
  <c r="D145" i="17"/>
  <c r="C145" i="17"/>
  <c r="D144" i="17"/>
  <c r="D146" i="17" s="1"/>
  <c r="C144" i="17"/>
  <c r="D136" i="17"/>
  <c r="C136" i="17"/>
  <c r="C137" i="17" s="1"/>
  <c r="D135" i="17"/>
  <c r="C135" i="17"/>
  <c r="E134" i="17"/>
  <c r="F134" i="17" s="1"/>
  <c r="E133" i="17"/>
  <c r="F133" i="17" s="1"/>
  <c r="D130" i="17"/>
  <c r="C130" i="17"/>
  <c r="D129" i="17"/>
  <c r="C129" i="17"/>
  <c r="E128" i="17"/>
  <c r="F128" i="17" s="1"/>
  <c r="D123" i="17"/>
  <c r="C123" i="17"/>
  <c r="E122" i="17"/>
  <c r="F122" i="17" s="1"/>
  <c r="E121" i="17"/>
  <c r="F121" i="17"/>
  <c r="D120" i="17"/>
  <c r="C120" i="17"/>
  <c r="E120" i="17" s="1"/>
  <c r="F120" i="17" s="1"/>
  <c r="E119" i="17"/>
  <c r="F119" i="17" s="1"/>
  <c r="E118" i="17"/>
  <c r="F118" i="17" s="1"/>
  <c r="D110" i="17"/>
  <c r="D111" i="17" s="1"/>
  <c r="E111" i="17" s="1"/>
  <c r="F111" i="17" s="1"/>
  <c r="C110" i="17"/>
  <c r="F110" i="17" s="1"/>
  <c r="D109" i="17"/>
  <c r="C109" i="17"/>
  <c r="D101" i="17"/>
  <c r="C101" i="17"/>
  <c r="D100" i="17"/>
  <c r="C100" i="17"/>
  <c r="F100" i="17" s="1"/>
  <c r="F99" i="17"/>
  <c r="E99" i="17"/>
  <c r="E98" i="17"/>
  <c r="F98" i="17" s="1"/>
  <c r="D95" i="17"/>
  <c r="C95" i="17"/>
  <c r="E95" i="17" s="1"/>
  <c r="F95" i="17" s="1"/>
  <c r="D94" i="17"/>
  <c r="C94" i="17"/>
  <c r="F94" i="17"/>
  <c r="E93" i="17"/>
  <c r="F93" i="17"/>
  <c r="D88" i="17"/>
  <c r="D89" i="17" s="1"/>
  <c r="C88" i="17"/>
  <c r="C89" i="17" s="1"/>
  <c r="C91" i="17" s="1"/>
  <c r="C92" i="17" s="1"/>
  <c r="E87" i="17"/>
  <c r="F87" i="17" s="1"/>
  <c r="E86" i="17"/>
  <c r="F86" i="17" s="1"/>
  <c r="D85" i="17"/>
  <c r="C85" i="17"/>
  <c r="F85" i="17" s="1"/>
  <c r="F84" i="17"/>
  <c r="E84" i="17"/>
  <c r="E83" i="17"/>
  <c r="F83" i="17" s="1"/>
  <c r="D76" i="17"/>
  <c r="E76" i="17"/>
  <c r="F76" i="17" s="1"/>
  <c r="C76" i="17"/>
  <c r="C77" i="17" s="1"/>
  <c r="F74" i="17"/>
  <c r="E74" i="17"/>
  <c r="F73" i="17"/>
  <c r="E73" i="17"/>
  <c r="D67" i="17"/>
  <c r="C67" i="17"/>
  <c r="C68" i="17" s="1"/>
  <c r="D66" i="17"/>
  <c r="E66" i="17" s="1"/>
  <c r="F66" i="17" s="1"/>
  <c r="C66" i="17"/>
  <c r="D59" i="17"/>
  <c r="C59" i="17"/>
  <c r="E59" i="17" s="1"/>
  <c r="F59" i="17" s="1"/>
  <c r="D58" i="17"/>
  <c r="C58" i="17"/>
  <c r="E57" i="17"/>
  <c r="F57" i="17" s="1"/>
  <c r="E56" i="17"/>
  <c r="F56" i="17" s="1"/>
  <c r="D53" i="17"/>
  <c r="E53" i="17" s="1"/>
  <c r="C53" i="17"/>
  <c r="D52" i="17"/>
  <c r="C52" i="17"/>
  <c r="E51" i="17"/>
  <c r="F51" i="17" s="1"/>
  <c r="D47" i="17"/>
  <c r="C47" i="17"/>
  <c r="E47" i="17" s="1"/>
  <c r="F47" i="17" s="1"/>
  <c r="E46" i="17"/>
  <c r="F46" i="17" s="1"/>
  <c r="E45" i="17"/>
  <c r="F45" i="17" s="1"/>
  <c r="D44" i="17"/>
  <c r="E44" i="17" s="1"/>
  <c r="F44" i="17" s="1"/>
  <c r="C44" i="17"/>
  <c r="E43" i="17"/>
  <c r="F43" i="17" s="1"/>
  <c r="E42" i="17"/>
  <c r="F42" i="17" s="1"/>
  <c r="D36" i="17"/>
  <c r="C36" i="17"/>
  <c r="C37" i="17" s="1"/>
  <c r="D35" i="17"/>
  <c r="E35" i="17" s="1"/>
  <c r="F35" i="17" s="1"/>
  <c r="C35" i="17"/>
  <c r="D30" i="17"/>
  <c r="E30" i="17" s="1"/>
  <c r="F30" i="17" s="1"/>
  <c r="C30" i="17"/>
  <c r="C31" i="17"/>
  <c r="C32" i="17" s="1"/>
  <c r="D29" i="17"/>
  <c r="C29" i="17"/>
  <c r="E29" i="17" s="1"/>
  <c r="F29" i="17" s="1"/>
  <c r="E28" i="17"/>
  <c r="F28" i="17" s="1"/>
  <c r="E27" i="17"/>
  <c r="F27" i="17" s="1"/>
  <c r="D24" i="17"/>
  <c r="E24" i="17" s="1"/>
  <c r="C24" i="17"/>
  <c r="D23" i="17"/>
  <c r="C23" i="17"/>
  <c r="E22" i="17"/>
  <c r="F22" i="17" s="1"/>
  <c r="D20" i="17"/>
  <c r="C20" i="17"/>
  <c r="E19" i="17"/>
  <c r="F19" i="17" s="1"/>
  <c r="E18" i="17"/>
  <c r="F18" i="17" s="1"/>
  <c r="D17" i="17"/>
  <c r="E17" i="17" s="1"/>
  <c r="C17" i="17"/>
  <c r="E16" i="17"/>
  <c r="F16" i="17" s="1"/>
  <c r="E15" i="17"/>
  <c r="F15" i="17" s="1"/>
  <c r="D23" i="16"/>
  <c r="E23" i="16" s="1"/>
  <c r="F23" i="16" s="1"/>
  <c r="C23" i="16"/>
  <c r="E22" i="16"/>
  <c r="F22" i="16"/>
  <c r="E21" i="16"/>
  <c r="F21" i="16" s="1"/>
  <c r="D18" i="16"/>
  <c r="C18" i="16"/>
  <c r="E17" i="16"/>
  <c r="F17" i="16" s="1"/>
  <c r="D14" i="16"/>
  <c r="E14" i="16" s="1"/>
  <c r="F14" i="16" s="1"/>
  <c r="C14" i="16"/>
  <c r="E13" i="16"/>
  <c r="F13" i="16" s="1"/>
  <c r="E12" i="16"/>
  <c r="F12" i="16" s="1"/>
  <c r="D107" i="15"/>
  <c r="C107" i="15"/>
  <c r="E106" i="15"/>
  <c r="F106" i="15" s="1"/>
  <c r="E105" i="15"/>
  <c r="F105" i="15" s="1"/>
  <c r="E104" i="15"/>
  <c r="F104" i="15" s="1"/>
  <c r="D100" i="15"/>
  <c r="C100" i="15"/>
  <c r="E99" i="15"/>
  <c r="F99" i="15" s="1"/>
  <c r="E98" i="15"/>
  <c r="F98" i="15" s="1"/>
  <c r="E97" i="15"/>
  <c r="F97" i="15" s="1"/>
  <c r="E96" i="15"/>
  <c r="F96" i="15" s="1"/>
  <c r="E95" i="15"/>
  <c r="F95" i="15" s="1"/>
  <c r="D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E81" i="15"/>
  <c r="F81" i="15" s="1"/>
  <c r="F80" i="15"/>
  <c r="E80" i="15"/>
  <c r="F79" i="15"/>
  <c r="E79" i="15"/>
  <c r="D75" i="15"/>
  <c r="C75" i="15"/>
  <c r="E74" i="15"/>
  <c r="F74" i="15" s="1"/>
  <c r="E73" i="15"/>
  <c r="F73" i="15" s="1"/>
  <c r="D70" i="15"/>
  <c r="C70" i="15"/>
  <c r="E69" i="15"/>
  <c r="F69" i="15" s="1"/>
  <c r="E68" i="15"/>
  <c r="F68" i="15"/>
  <c r="D65" i="15"/>
  <c r="C65" i="15"/>
  <c r="E64" i="15"/>
  <c r="F64" i="15" s="1"/>
  <c r="E63" i="15"/>
  <c r="F63" i="15" s="1"/>
  <c r="D60" i="15"/>
  <c r="C60" i="15"/>
  <c r="F60" i="15" s="1"/>
  <c r="F59" i="15"/>
  <c r="E59" i="15"/>
  <c r="F58" i="15"/>
  <c r="E58" i="15"/>
  <c r="D55" i="15"/>
  <c r="C55" i="15"/>
  <c r="E54" i="15"/>
  <c r="F54" i="15" s="1"/>
  <c r="E53" i="15"/>
  <c r="F53" i="15" s="1"/>
  <c r="D50" i="15"/>
  <c r="C50" i="15"/>
  <c r="E50" i="15" s="1"/>
  <c r="F50" i="15" s="1"/>
  <c r="E49" i="15"/>
  <c r="F49" i="15"/>
  <c r="E48" i="15"/>
  <c r="F48" i="15" s="1"/>
  <c r="D45" i="15"/>
  <c r="C45" i="15"/>
  <c r="E44" i="15"/>
  <c r="F44" i="15" s="1"/>
  <c r="E43" i="15"/>
  <c r="F43" i="15" s="1"/>
  <c r="D37" i="15"/>
  <c r="C37" i="15"/>
  <c r="F36" i="15"/>
  <c r="E36" i="15"/>
  <c r="F35" i="15"/>
  <c r="E35" i="15"/>
  <c r="E34" i="15"/>
  <c r="F34" i="15" s="1"/>
  <c r="E33" i="15"/>
  <c r="F33" i="15" s="1"/>
  <c r="D30" i="15"/>
  <c r="C30" i="15"/>
  <c r="F29" i="15"/>
  <c r="E29" i="15"/>
  <c r="F28" i="15"/>
  <c r="E28" i="15"/>
  <c r="E27" i="15"/>
  <c r="F27" i="15" s="1"/>
  <c r="F26" i="15"/>
  <c r="E26" i="15"/>
  <c r="D23" i="15"/>
  <c r="E23" i="15" s="1"/>
  <c r="F23" i="15" s="1"/>
  <c r="C23" i="15"/>
  <c r="F22" i="15"/>
  <c r="E22" i="15"/>
  <c r="E21" i="15"/>
  <c r="F21" i="15" s="1"/>
  <c r="E20" i="15"/>
  <c r="F20" i="15" s="1"/>
  <c r="E19" i="15"/>
  <c r="F19" i="15" s="1"/>
  <c r="D16" i="15"/>
  <c r="C16" i="15"/>
  <c r="F15" i="15"/>
  <c r="E15" i="15"/>
  <c r="E14" i="15"/>
  <c r="F14" i="15" s="1"/>
  <c r="E13" i="15"/>
  <c r="F13" i="15" s="1"/>
  <c r="E12" i="15"/>
  <c r="F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I31" i="14" s="1"/>
  <c r="F17" i="14"/>
  <c r="F33" i="14" s="1"/>
  <c r="E17" i="14"/>
  <c r="E31" i="14" s="1"/>
  <c r="D17" i="14"/>
  <c r="D31" i="14" s="1"/>
  <c r="D33" i="14"/>
  <c r="D36" i="14" s="1"/>
  <c r="D38" i="14" s="1"/>
  <c r="D40" i="14" s="1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D78" i="13"/>
  <c r="D80" i="13" s="1"/>
  <c r="D77" i="13" s="1"/>
  <c r="C78" i="13"/>
  <c r="C80" i="13"/>
  <c r="C77" i="13" s="1"/>
  <c r="E73" i="13"/>
  <c r="E75" i="13" s="1"/>
  <c r="D73" i="13"/>
  <c r="D75" i="13" s="1"/>
  <c r="C73" i="13"/>
  <c r="C75" i="13" s="1"/>
  <c r="E71" i="13"/>
  <c r="D71" i="13"/>
  <c r="C71" i="13"/>
  <c r="E66" i="13"/>
  <c r="E65" i="13" s="1"/>
  <c r="D66" i="13"/>
  <c r="D65" i="13" s="1"/>
  <c r="C66" i="13"/>
  <c r="C65" i="13"/>
  <c r="E60" i="13"/>
  <c r="D60" i="13"/>
  <c r="C60" i="13"/>
  <c r="E58" i="13"/>
  <c r="D58" i="13"/>
  <c r="C58" i="13"/>
  <c r="E55" i="13"/>
  <c r="D55" i="13"/>
  <c r="C55" i="13"/>
  <c r="E54" i="13"/>
  <c r="D54" i="13"/>
  <c r="C54" i="13"/>
  <c r="E46" i="13"/>
  <c r="E59" i="13" s="1"/>
  <c r="E61" i="13" s="1"/>
  <c r="D46" i="13"/>
  <c r="D59" i="13" s="1"/>
  <c r="D61" i="13" s="1"/>
  <c r="D57" i="13" s="1"/>
  <c r="C46" i="13"/>
  <c r="C59" i="13"/>
  <c r="C61" i="13" s="1"/>
  <c r="C57" i="13" s="1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13" i="13"/>
  <c r="E25" i="13" s="1"/>
  <c r="D13" i="13"/>
  <c r="D25" i="13" s="1"/>
  <c r="D27" i="13" s="1"/>
  <c r="D21" i="13" s="1"/>
  <c r="C13" i="13"/>
  <c r="D47" i="12"/>
  <c r="C47" i="12"/>
  <c r="F47" i="12" s="1"/>
  <c r="F46" i="12"/>
  <c r="E46" i="12"/>
  <c r="F45" i="12"/>
  <c r="E45" i="12"/>
  <c r="D40" i="12"/>
  <c r="C40" i="12"/>
  <c r="F39" i="12"/>
  <c r="E39" i="12"/>
  <c r="F38" i="12"/>
  <c r="E38" i="12"/>
  <c r="E37" i="12"/>
  <c r="F37" i="12" s="1"/>
  <c r="D32" i="12"/>
  <c r="E32" i="12" s="1"/>
  <c r="F32" i="12" s="1"/>
  <c r="C32" i="12"/>
  <c r="E31" i="12"/>
  <c r="F31" i="12"/>
  <c r="E30" i="12"/>
  <c r="F30" i="12" s="1"/>
  <c r="E29" i="12"/>
  <c r="F29" i="12" s="1"/>
  <c r="F28" i="12"/>
  <c r="E28" i="12"/>
  <c r="E27" i="12"/>
  <c r="F27" i="12" s="1"/>
  <c r="E26" i="12"/>
  <c r="F26" i="12" s="1"/>
  <c r="E25" i="12"/>
  <c r="F25" i="12" s="1"/>
  <c r="E24" i="12"/>
  <c r="F24" i="12" s="1"/>
  <c r="E23" i="12"/>
  <c r="F23" i="12" s="1"/>
  <c r="E19" i="12"/>
  <c r="F19" i="12" s="1"/>
  <c r="E18" i="12"/>
  <c r="F18" i="12" s="1"/>
  <c r="E16" i="12"/>
  <c r="F16" i="12" s="1"/>
  <c r="D15" i="12"/>
  <c r="D17" i="12" s="1"/>
  <c r="C15" i="12"/>
  <c r="F14" i="12"/>
  <c r="E14" i="12"/>
  <c r="E13" i="12"/>
  <c r="F13" i="12"/>
  <c r="E12" i="12"/>
  <c r="F12" i="12" s="1"/>
  <c r="E11" i="12"/>
  <c r="F11" i="12" s="1"/>
  <c r="D73" i="11"/>
  <c r="C73" i="11"/>
  <c r="E72" i="11"/>
  <c r="F72" i="11"/>
  <c r="E71" i="11"/>
  <c r="F71" i="11" s="1"/>
  <c r="E70" i="11"/>
  <c r="F70" i="11" s="1"/>
  <c r="F67" i="11"/>
  <c r="E67" i="11"/>
  <c r="E64" i="11"/>
  <c r="F64" i="11" s="1"/>
  <c r="E63" i="11"/>
  <c r="F63" i="11" s="1"/>
  <c r="D61" i="11"/>
  <c r="C61" i="11"/>
  <c r="F60" i="11"/>
  <c r="E60" i="11"/>
  <c r="E59" i="11"/>
  <c r="F59" i="11" s="1"/>
  <c r="D56" i="11"/>
  <c r="C56" i="11"/>
  <c r="E55" i="11"/>
  <c r="F55" i="11" s="1"/>
  <c r="F54" i="11"/>
  <c r="E54" i="11"/>
  <c r="E53" i="11"/>
  <c r="F53" i="11" s="1"/>
  <c r="F52" i="11"/>
  <c r="E52" i="11"/>
  <c r="E51" i="11"/>
  <c r="F51" i="11" s="1"/>
  <c r="E50" i="11"/>
  <c r="F50" i="11" s="1"/>
  <c r="A50" i="11"/>
  <c r="A51" i="11" s="1"/>
  <c r="A52" i="11" s="1"/>
  <c r="A53" i="11" s="1"/>
  <c r="A54" i="11" s="1"/>
  <c r="A55" i="11" s="1"/>
  <c r="E49" i="11"/>
  <c r="F49" i="11" s="1"/>
  <c r="E40" i="11"/>
  <c r="F40" i="11" s="1"/>
  <c r="D38" i="11"/>
  <c r="D41" i="11" s="1"/>
  <c r="E41" i="11" s="1"/>
  <c r="C38" i="11"/>
  <c r="E37" i="11"/>
  <c r="F37" i="11"/>
  <c r="E36" i="11"/>
  <c r="F36" i="11"/>
  <c r="E33" i="11"/>
  <c r="F33" i="11" s="1"/>
  <c r="F32" i="11"/>
  <c r="E32" i="11"/>
  <c r="F31" i="11"/>
  <c r="E31" i="11"/>
  <c r="D29" i="11"/>
  <c r="C29" i="11"/>
  <c r="E28" i="11"/>
  <c r="F28" i="11" s="1"/>
  <c r="F27" i="11"/>
  <c r="E27" i="11"/>
  <c r="F26" i="11"/>
  <c r="E26" i="11"/>
  <c r="E25" i="11"/>
  <c r="F25" i="11" s="1"/>
  <c r="D22" i="11"/>
  <c r="C22" i="11"/>
  <c r="E21" i="11"/>
  <c r="F21" i="11" s="1"/>
  <c r="E20" i="11"/>
  <c r="F20" i="11" s="1"/>
  <c r="E19" i="11"/>
  <c r="F19" i="11" s="1"/>
  <c r="F18" i="11"/>
  <c r="E18" i="11"/>
  <c r="F17" i="11"/>
  <c r="E17" i="11"/>
  <c r="F16" i="11"/>
  <c r="E16" i="11"/>
  <c r="E15" i="11"/>
  <c r="F15" i="11" s="1"/>
  <c r="E14" i="11"/>
  <c r="F14" i="11" s="1"/>
  <c r="E13" i="11"/>
  <c r="F13" i="11"/>
  <c r="D120" i="10"/>
  <c r="C120" i="10"/>
  <c r="F120" i="10" s="1"/>
  <c r="D119" i="10"/>
  <c r="C119" i="10"/>
  <c r="D118" i="10"/>
  <c r="C118" i="10"/>
  <c r="F118" i="10"/>
  <c r="D117" i="10"/>
  <c r="C117" i="10"/>
  <c r="D116" i="10"/>
  <c r="C116" i="10"/>
  <c r="F116" i="10" s="1"/>
  <c r="D115" i="10"/>
  <c r="C115" i="10"/>
  <c r="F115" i="10" s="1"/>
  <c r="D114" i="10"/>
  <c r="D121" i="10" s="1"/>
  <c r="C114" i="10"/>
  <c r="F114" i="10" s="1"/>
  <c r="D113" i="10"/>
  <c r="C113" i="10"/>
  <c r="F113" i="10"/>
  <c r="D112" i="10"/>
  <c r="C112" i="10"/>
  <c r="F112" i="10" s="1"/>
  <c r="D108" i="10"/>
  <c r="C108" i="10"/>
  <c r="F108" i="10" s="1"/>
  <c r="D107" i="10"/>
  <c r="C107" i="10"/>
  <c r="F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F96" i="10" s="1"/>
  <c r="D95" i="10"/>
  <c r="C95" i="10"/>
  <c r="F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 s="1"/>
  <c r="D83" i="10"/>
  <c r="E83" i="10" s="1"/>
  <c r="C83" i="10"/>
  <c r="F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 s="1"/>
  <c r="D71" i="10"/>
  <c r="C71" i="10"/>
  <c r="F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 s="1"/>
  <c r="D59" i="10"/>
  <c r="C59" i="10"/>
  <c r="F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 s="1"/>
  <c r="D47" i="10"/>
  <c r="C47" i="10"/>
  <c r="F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6" i="10" s="1"/>
  <c r="D35" i="10"/>
  <c r="E35" i="10" s="1"/>
  <c r="C35" i="10"/>
  <c r="F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 s="1"/>
  <c r="D23" i="10"/>
  <c r="E23" i="10" s="1"/>
  <c r="C23" i="10"/>
  <c r="F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C205" i="9"/>
  <c r="D204" i="9"/>
  <c r="C204" i="9"/>
  <c r="D203" i="9"/>
  <c r="C203" i="9"/>
  <c r="D202" i="9"/>
  <c r="C202" i="9"/>
  <c r="D201" i="9"/>
  <c r="C201" i="9"/>
  <c r="C208" i="9" s="1"/>
  <c r="D200" i="9"/>
  <c r="C200" i="9"/>
  <c r="D199" i="9"/>
  <c r="D208" i="9" s="1"/>
  <c r="C199" i="9"/>
  <c r="D198" i="9"/>
  <c r="D207" i="9" s="1"/>
  <c r="C198" i="9"/>
  <c r="D193" i="9"/>
  <c r="C193" i="9"/>
  <c r="F193" i="9" s="1"/>
  <c r="D192" i="9"/>
  <c r="E192" i="9" s="1"/>
  <c r="C192" i="9"/>
  <c r="F192" i="9" s="1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C180" i="9"/>
  <c r="F180" i="9" s="1"/>
  <c r="D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 s="1"/>
  <c r="D166" i="9"/>
  <c r="E166" i="9" s="1"/>
  <c r="C166" i="9"/>
  <c r="F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D153" i="9"/>
  <c r="C153" i="9"/>
  <c r="F152" i="9"/>
  <c r="E152" i="9"/>
  <c r="E151" i="9"/>
  <c r="F151" i="9" s="1"/>
  <c r="E150" i="9"/>
  <c r="F150" i="9" s="1"/>
  <c r="F149" i="9"/>
  <c r="E149" i="9"/>
  <c r="F148" i="9"/>
  <c r="E148" i="9"/>
  <c r="E147" i="9"/>
  <c r="F147" i="9" s="1"/>
  <c r="E146" i="9"/>
  <c r="F146" i="9" s="1"/>
  <c r="E145" i="9"/>
  <c r="F145" i="9" s="1"/>
  <c r="E144" i="9"/>
  <c r="F144" i="9" s="1"/>
  <c r="D141" i="9"/>
  <c r="C141" i="9"/>
  <c r="D140" i="9"/>
  <c r="C140" i="9"/>
  <c r="E139" i="9"/>
  <c r="F139" i="9" s="1"/>
  <c r="E138" i="9"/>
  <c r="F138" i="9" s="1"/>
  <c r="E137" i="9"/>
  <c r="F137" i="9" s="1"/>
  <c r="E136" i="9"/>
  <c r="F136" i="9" s="1"/>
  <c r="E135" i="9"/>
  <c r="F135" i="9"/>
  <c r="E134" i="9"/>
  <c r="F134" i="9" s="1"/>
  <c r="E133" i="9"/>
  <c r="F133" i="9" s="1"/>
  <c r="E132" i="9"/>
  <c r="F132" i="9" s="1"/>
  <c r="E131" i="9"/>
  <c r="F131" i="9" s="1"/>
  <c r="D128" i="9"/>
  <c r="C128" i="9"/>
  <c r="D127" i="9"/>
  <c r="C127" i="9"/>
  <c r="E126" i="9"/>
  <c r="F126" i="9" s="1"/>
  <c r="E125" i="9"/>
  <c r="F125" i="9"/>
  <c r="E124" i="9"/>
  <c r="F124" i="9" s="1"/>
  <c r="E123" i="9"/>
  <c r="F123" i="9" s="1"/>
  <c r="E122" i="9"/>
  <c r="F122" i="9" s="1"/>
  <c r="E121" i="9"/>
  <c r="F121" i="9"/>
  <c r="E120" i="9"/>
  <c r="F120" i="9"/>
  <c r="E119" i="9"/>
  <c r="F119" i="9" s="1"/>
  <c r="E118" i="9"/>
  <c r="F118" i="9" s="1"/>
  <c r="D115" i="9"/>
  <c r="E115" i="9" s="1"/>
  <c r="C115" i="9"/>
  <c r="F115" i="9" s="1"/>
  <c r="D114" i="9"/>
  <c r="C114" i="9"/>
  <c r="F114" i="9" s="1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C102" i="9"/>
  <c r="D101" i="9"/>
  <c r="E101" i="9" s="1"/>
  <c r="F101" i="9" s="1"/>
  <c r="C101" i="9"/>
  <c r="E100" i="9"/>
  <c r="F100" i="9" s="1"/>
  <c r="E99" i="9"/>
  <c r="F99" i="9" s="1"/>
  <c r="E98" i="9"/>
  <c r="F98" i="9"/>
  <c r="E97" i="9"/>
  <c r="F97" i="9" s="1"/>
  <c r="E96" i="9"/>
  <c r="F96" i="9" s="1"/>
  <c r="E95" i="9"/>
  <c r="F95" i="9" s="1"/>
  <c r="E94" i="9"/>
  <c r="F94" i="9"/>
  <c r="E93" i="9"/>
  <c r="F93" i="9"/>
  <c r="E92" i="9"/>
  <c r="F92" i="9" s="1"/>
  <c r="D89" i="9"/>
  <c r="C89" i="9"/>
  <c r="D88" i="9"/>
  <c r="C88" i="9"/>
  <c r="E87" i="9"/>
  <c r="F87" i="9" s="1"/>
  <c r="E86" i="9"/>
  <c r="F86" i="9" s="1"/>
  <c r="E85" i="9"/>
  <c r="F85" i="9" s="1"/>
  <c r="E84" i="9"/>
  <c r="F84" i="9"/>
  <c r="E83" i="9"/>
  <c r="F83" i="9" s="1"/>
  <c r="E82" i="9"/>
  <c r="F82" i="9" s="1"/>
  <c r="E81" i="9"/>
  <c r="F81" i="9" s="1"/>
  <c r="E80" i="9"/>
  <c r="F80" i="9" s="1"/>
  <c r="E79" i="9"/>
  <c r="F79" i="9"/>
  <c r="D76" i="9"/>
  <c r="C76" i="9"/>
  <c r="F76" i="9"/>
  <c r="D75" i="9"/>
  <c r="C75" i="9"/>
  <c r="F75" i="9" s="1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D63" i="9"/>
  <c r="C63" i="9"/>
  <c r="F63" i="9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C49" i="9"/>
  <c r="E48" i="9"/>
  <c r="F48" i="9" s="1"/>
  <c r="E47" i="9"/>
  <c r="F47" i="9"/>
  <c r="E46" i="9"/>
  <c r="F46" i="9" s="1"/>
  <c r="E45" i="9"/>
  <c r="F45" i="9" s="1"/>
  <c r="E44" i="9"/>
  <c r="F44" i="9" s="1"/>
  <c r="E43" i="9"/>
  <c r="F43" i="9" s="1"/>
  <c r="E42" i="9"/>
  <c r="F42" i="9" s="1"/>
  <c r="E41" i="9"/>
  <c r="F41" i="9" s="1"/>
  <c r="E40" i="9"/>
  <c r="F40" i="9" s="1"/>
  <c r="D37" i="9"/>
  <c r="C37" i="9"/>
  <c r="E37" i="9"/>
  <c r="D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 s="1"/>
  <c r="F24" i="9" s="1"/>
  <c r="C24" i="9"/>
  <c r="D23" i="9"/>
  <c r="C23" i="9"/>
  <c r="E22" i="9"/>
  <c r="F22" i="9"/>
  <c r="E21" i="9"/>
  <c r="F21" i="9" s="1"/>
  <c r="E20" i="9"/>
  <c r="F20" i="9" s="1"/>
  <c r="E19" i="9"/>
  <c r="F19" i="9" s="1"/>
  <c r="E18" i="9"/>
  <c r="F18" i="9" s="1"/>
  <c r="E17" i="9"/>
  <c r="F17" i="9"/>
  <c r="E16" i="9"/>
  <c r="F16" i="9" s="1"/>
  <c r="E15" i="9"/>
  <c r="F15" i="9" s="1"/>
  <c r="E14" i="9"/>
  <c r="F14" i="9" s="1"/>
  <c r="E191" i="8"/>
  <c r="D191" i="8"/>
  <c r="C191" i="8"/>
  <c r="E176" i="8"/>
  <c r="D176" i="8"/>
  <c r="C176" i="8"/>
  <c r="E164" i="8"/>
  <c r="E160" i="8" s="1"/>
  <c r="E166" i="8" s="1"/>
  <c r="D164" i="8"/>
  <c r="D160" i="8" s="1"/>
  <c r="C164" i="8"/>
  <c r="C160" i="8" s="1"/>
  <c r="C166" i="8" s="1"/>
  <c r="E162" i="8"/>
  <c r="D162" i="8"/>
  <c r="D166" i="8" s="1"/>
  <c r="C162" i="8"/>
  <c r="E161" i="8"/>
  <c r="D161" i="8"/>
  <c r="C161" i="8"/>
  <c r="E147" i="8"/>
  <c r="E143" i="8" s="1"/>
  <c r="D147" i="8"/>
  <c r="D143" i="8" s="1"/>
  <c r="C147" i="8"/>
  <c r="C143" i="8" s="1"/>
  <c r="C149" i="8" s="1"/>
  <c r="C137" i="8" s="1"/>
  <c r="E145" i="8"/>
  <c r="D145" i="8"/>
  <c r="C145" i="8"/>
  <c r="E144" i="8"/>
  <c r="D144" i="8"/>
  <c r="C144" i="8"/>
  <c r="E126" i="8"/>
  <c r="D126" i="8"/>
  <c r="C126" i="8"/>
  <c r="E119" i="8"/>
  <c r="D119" i="8"/>
  <c r="C119" i="8"/>
  <c r="E108" i="8"/>
  <c r="E109" i="8" s="1"/>
  <c r="E106" i="8" s="1"/>
  <c r="D108" i="8"/>
  <c r="C108" i="8"/>
  <c r="E107" i="8"/>
  <c r="D107" i="8"/>
  <c r="C107" i="8"/>
  <c r="E102" i="8"/>
  <c r="E104" i="8" s="1"/>
  <c r="D102" i="8"/>
  <c r="D104" i="8" s="1"/>
  <c r="C102" i="8"/>
  <c r="C104" i="8" s="1"/>
  <c r="E100" i="8"/>
  <c r="D100" i="8"/>
  <c r="C100" i="8"/>
  <c r="E95" i="8"/>
  <c r="E94" i="8" s="1"/>
  <c r="D95" i="8"/>
  <c r="D94" i="8"/>
  <c r="C95" i="8"/>
  <c r="C94" i="8"/>
  <c r="E89" i="8"/>
  <c r="D89" i="8"/>
  <c r="C89" i="8"/>
  <c r="E87" i="8"/>
  <c r="D87" i="8"/>
  <c r="C87" i="8"/>
  <c r="E84" i="8"/>
  <c r="D84" i="8"/>
  <c r="C84" i="8"/>
  <c r="E83" i="8"/>
  <c r="D83" i="8"/>
  <c r="C83" i="8"/>
  <c r="C79" i="8" s="1"/>
  <c r="D77" i="8"/>
  <c r="E75" i="8"/>
  <c r="D75" i="8"/>
  <c r="D88" i="8" s="1"/>
  <c r="D90" i="8" s="1"/>
  <c r="C75" i="8"/>
  <c r="E74" i="8"/>
  <c r="D74" i="8"/>
  <c r="C74" i="8"/>
  <c r="E67" i="8"/>
  <c r="D67" i="8"/>
  <c r="C67" i="8"/>
  <c r="E38" i="8"/>
  <c r="D38" i="8"/>
  <c r="C38" i="8"/>
  <c r="E33" i="8"/>
  <c r="E34" i="8" s="1"/>
  <c r="D33" i="8"/>
  <c r="D34" i="8" s="1"/>
  <c r="E26" i="8"/>
  <c r="D26" i="8"/>
  <c r="D27" i="8" s="1"/>
  <c r="C26" i="8"/>
  <c r="D15" i="8"/>
  <c r="E13" i="8"/>
  <c r="D13" i="8"/>
  <c r="D25" i="8" s="1"/>
  <c r="C13" i="8"/>
  <c r="C15" i="8" s="1"/>
  <c r="C24" i="8" s="1"/>
  <c r="E186" i="7"/>
  <c r="F186" i="7"/>
  <c r="D183" i="7"/>
  <c r="C183" i="7"/>
  <c r="E182" i="7"/>
  <c r="F182" i="7" s="1"/>
  <c r="F181" i="7"/>
  <c r="E181" i="7"/>
  <c r="F180" i="7"/>
  <c r="E180" i="7"/>
  <c r="E179" i="7"/>
  <c r="F179" i="7"/>
  <c r="E178" i="7"/>
  <c r="F178" i="7" s="1"/>
  <c r="E177" i="7"/>
  <c r="F177" i="7" s="1"/>
  <c r="F176" i="7"/>
  <c r="E176" i="7"/>
  <c r="E175" i="7"/>
  <c r="F175" i="7" s="1"/>
  <c r="F174" i="7"/>
  <c r="E174" i="7"/>
  <c r="E173" i="7"/>
  <c r="F173" i="7" s="1"/>
  <c r="E172" i="7"/>
  <c r="F172" i="7" s="1"/>
  <c r="E171" i="7"/>
  <c r="F171" i="7"/>
  <c r="E170" i="7"/>
  <c r="F170" i="7" s="1"/>
  <c r="D167" i="7"/>
  <c r="C167" i="7"/>
  <c r="E166" i="7"/>
  <c r="F166" i="7"/>
  <c r="F165" i="7"/>
  <c r="E165" i="7"/>
  <c r="E164" i="7"/>
  <c r="F164" i="7" s="1"/>
  <c r="E163" i="7"/>
  <c r="F163" i="7" s="1"/>
  <c r="F162" i="7"/>
  <c r="E162" i="7"/>
  <c r="E161" i="7"/>
  <c r="F161" i="7"/>
  <c r="E160" i="7"/>
  <c r="F160" i="7" s="1"/>
  <c r="F159" i="7"/>
  <c r="E159" i="7"/>
  <c r="F158" i="7"/>
  <c r="E158" i="7"/>
  <c r="E157" i="7"/>
  <c r="F157" i="7" s="1"/>
  <c r="E156" i="7"/>
  <c r="F156" i="7" s="1"/>
  <c r="E155" i="7"/>
  <c r="F155" i="7" s="1"/>
  <c r="E154" i="7"/>
  <c r="F154" i="7"/>
  <c r="F153" i="7"/>
  <c r="E153" i="7"/>
  <c r="E152" i="7"/>
  <c r="F152" i="7" s="1"/>
  <c r="E151" i="7"/>
  <c r="F151" i="7" s="1"/>
  <c r="E150" i="7"/>
  <c r="F150" i="7" s="1"/>
  <c r="E149" i="7"/>
  <c r="F149" i="7"/>
  <c r="E148" i="7"/>
  <c r="F148" i="7" s="1"/>
  <c r="E147" i="7"/>
  <c r="F147" i="7" s="1"/>
  <c r="E146" i="7"/>
  <c r="F146" i="7" s="1"/>
  <c r="E145" i="7"/>
  <c r="F145" i="7" s="1"/>
  <c r="E144" i="7"/>
  <c r="F144" i="7" s="1"/>
  <c r="F143" i="7"/>
  <c r="E143" i="7"/>
  <c r="E142" i="7"/>
  <c r="F142" i="7"/>
  <c r="E141" i="7"/>
  <c r="F141" i="7"/>
  <c r="E140" i="7"/>
  <c r="F140" i="7" s="1"/>
  <c r="E139" i="7"/>
  <c r="F139" i="7" s="1"/>
  <c r="E138" i="7"/>
  <c r="F138" i="7" s="1"/>
  <c r="E137" i="7"/>
  <c r="F137" i="7"/>
  <c r="E136" i="7"/>
  <c r="F136" i="7" s="1"/>
  <c r="E135" i="7"/>
  <c r="F135" i="7" s="1"/>
  <c r="E134" i="7"/>
  <c r="F134" i="7" s="1"/>
  <c r="E133" i="7"/>
  <c r="F133" i="7" s="1"/>
  <c r="D130" i="7"/>
  <c r="C130" i="7"/>
  <c r="E129" i="7"/>
  <c r="F129" i="7" s="1"/>
  <c r="E128" i="7"/>
  <c r="F128" i="7" s="1"/>
  <c r="E127" i="7"/>
  <c r="F127" i="7" s="1"/>
  <c r="E126" i="7"/>
  <c r="F126" i="7" s="1"/>
  <c r="E125" i="7"/>
  <c r="F125" i="7" s="1"/>
  <c r="E124" i="7"/>
  <c r="F124" i="7" s="1"/>
  <c r="D121" i="7"/>
  <c r="C121" i="7"/>
  <c r="E120" i="7"/>
  <c r="F120" i="7" s="1"/>
  <c r="E119" i="7"/>
  <c r="F119" i="7" s="1"/>
  <c r="E118" i="7"/>
  <c r="F118" i="7"/>
  <c r="E117" i="7"/>
  <c r="F117" i="7" s="1"/>
  <c r="E116" i="7"/>
  <c r="F116" i="7" s="1"/>
  <c r="E115" i="7"/>
  <c r="F115" i="7" s="1"/>
  <c r="F114" i="7"/>
  <c r="E114" i="7"/>
  <c r="E113" i="7"/>
  <c r="F113" i="7"/>
  <c r="E112" i="7"/>
  <c r="F112" i="7" s="1"/>
  <c r="E111" i="7"/>
  <c r="F111" i="7" s="1"/>
  <c r="E110" i="7"/>
  <c r="F110" i="7" s="1"/>
  <c r="E109" i="7"/>
  <c r="F109" i="7"/>
  <c r="E108" i="7"/>
  <c r="F108" i="7" s="1"/>
  <c r="E107" i="7"/>
  <c r="F107" i="7" s="1"/>
  <c r="E106" i="7"/>
  <c r="F106" i="7" s="1"/>
  <c r="E105" i="7"/>
  <c r="F105" i="7" s="1"/>
  <c r="E104" i="7"/>
  <c r="F104" i="7" s="1"/>
  <c r="E103" i="7"/>
  <c r="F103" i="7" s="1"/>
  <c r="E93" i="7"/>
  <c r="F93" i="7"/>
  <c r="D90" i="7"/>
  <c r="C90" i="7"/>
  <c r="E89" i="7"/>
  <c r="F89" i="7" s="1"/>
  <c r="E88" i="7"/>
  <c r="F88" i="7" s="1"/>
  <c r="E87" i="7"/>
  <c r="F87" i="7"/>
  <c r="F86" i="7"/>
  <c r="E86" i="7"/>
  <c r="E85" i="7"/>
  <c r="F85" i="7" s="1"/>
  <c r="E84" i="7"/>
  <c r="F84" i="7" s="1"/>
  <c r="E83" i="7"/>
  <c r="F83" i="7" s="1"/>
  <c r="E82" i="7"/>
  <c r="F82" i="7"/>
  <c r="E81" i="7"/>
  <c r="F81" i="7" s="1"/>
  <c r="E80" i="7"/>
  <c r="F80" i="7" s="1"/>
  <c r="E79" i="7"/>
  <c r="F79" i="7"/>
  <c r="E78" i="7"/>
  <c r="F78" i="7" s="1"/>
  <c r="F77" i="7"/>
  <c r="E77" i="7"/>
  <c r="E76" i="7"/>
  <c r="F76" i="7" s="1"/>
  <c r="E75" i="7"/>
  <c r="F75" i="7"/>
  <c r="E74" i="7"/>
  <c r="F74" i="7"/>
  <c r="F73" i="7"/>
  <c r="E73" i="7"/>
  <c r="F72" i="7"/>
  <c r="E72" i="7"/>
  <c r="E71" i="7"/>
  <c r="F71" i="7" s="1"/>
  <c r="E70" i="7"/>
  <c r="F70" i="7" s="1"/>
  <c r="E69" i="7"/>
  <c r="F69" i="7" s="1"/>
  <c r="F68" i="7"/>
  <c r="E68" i="7"/>
  <c r="E67" i="7"/>
  <c r="F67" i="7" s="1"/>
  <c r="E66" i="7"/>
  <c r="F66" i="7" s="1"/>
  <c r="E65" i="7"/>
  <c r="F65" i="7" s="1"/>
  <c r="E64" i="7"/>
  <c r="F64" i="7" s="1"/>
  <c r="E63" i="7"/>
  <c r="F63" i="7" s="1"/>
  <c r="E62" i="7"/>
  <c r="F62" i="7" s="1"/>
  <c r="D59" i="7"/>
  <c r="E59" i="7" s="1"/>
  <c r="F59" i="7" s="1"/>
  <c r="C59" i="7"/>
  <c r="F58" i="7"/>
  <c r="E58" i="7"/>
  <c r="E57" i="7"/>
  <c r="F57" i="7" s="1"/>
  <c r="F56" i="7"/>
  <c r="E56" i="7"/>
  <c r="E55" i="7"/>
  <c r="F55" i="7" s="1"/>
  <c r="E54" i="7"/>
  <c r="F54" i="7" s="1"/>
  <c r="E53" i="7"/>
  <c r="F53" i="7" s="1"/>
  <c r="E50" i="7"/>
  <c r="F50" i="7" s="1"/>
  <c r="F47" i="7"/>
  <c r="E47" i="7"/>
  <c r="F44" i="7"/>
  <c r="E44" i="7"/>
  <c r="D41" i="7"/>
  <c r="E41" i="7" s="1"/>
  <c r="C41" i="7"/>
  <c r="F41" i="7" s="1"/>
  <c r="F40" i="7"/>
  <c r="E40" i="7"/>
  <c r="E39" i="7"/>
  <c r="F39" i="7" s="1"/>
  <c r="E38" i="7"/>
  <c r="F38" i="7" s="1"/>
  <c r="D35" i="7"/>
  <c r="E35" i="7" s="1"/>
  <c r="C35" i="7"/>
  <c r="F35" i="7" s="1"/>
  <c r="E34" i="7"/>
  <c r="F34" i="7" s="1"/>
  <c r="E33" i="7"/>
  <c r="F33" i="7" s="1"/>
  <c r="D30" i="7"/>
  <c r="C30" i="7"/>
  <c r="E29" i="7"/>
  <c r="F29" i="7" s="1"/>
  <c r="F28" i="7"/>
  <c r="E28" i="7"/>
  <c r="E27" i="7"/>
  <c r="F27" i="7" s="1"/>
  <c r="D24" i="7"/>
  <c r="E24" i="7" s="1"/>
  <c r="C24" i="7"/>
  <c r="E23" i="7"/>
  <c r="F23" i="7" s="1"/>
  <c r="F22" i="7"/>
  <c r="E22" i="7"/>
  <c r="E21" i="7"/>
  <c r="F21" i="7" s="1"/>
  <c r="D18" i="7"/>
  <c r="D95" i="7" s="1"/>
  <c r="C18" i="7"/>
  <c r="E17" i="7"/>
  <c r="F17" i="7" s="1"/>
  <c r="F16" i="7"/>
  <c r="E16" i="7"/>
  <c r="E15" i="7"/>
  <c r="F15" i="7" s="1"/>
  <c r="D179" i="6"/>
  <c r="C179" i="6"/>
  <c r="E179" i="6" s="1"/>
  <c r="F179" i="6" s="1"/>
  <c r="E178" i="6"/>
  <c r="F178" i="6" s="1"/>
  <c r="F177" i="6"/>
  <c r="E177" i="6"/>
  <c r="E176" i="6"/>
  <c r="F176" i="6" s="1"/>
  <c r="E175" i="6"/>
  <c r="F175" i="6"/>
  <c r="E174" i="6"/>
  <c r="F174" i="6" s="1"/>
  <c r="E173" i="6"/>
  <c r="F173" i="6" s="1"/>
  <c r="E172" i="6"/>
  <c r="F172" i="6"/>
  <c r="F171" i="6"/>
  <c r="E171" i="6"/>
  <c r="E170" i="6"/>
  <c r="F170" i="6" s="1"/>
  <c r="F169" i="6"/>
  <c r="E169" i="6"/>
  <c r="E168" i="6"/>
  <c r="F168" i="6" s="1"/>
  <c r="D166" i="6"/>
  <c r="E166" i="6" s="1"/>
  <c r="C166" i="6"/>
  <c r="F166" i="6" s="1"/>
  <c r="E165" i="6"/>
  <c r="F165" i="6" s="1"/>
  <c r="F164" i="6"/>
  <c r="E164" i="6"/>
  <c r="F163" i="6"/>
  <c r="E163" i="6"/>
  <c r="E162" i="6"/>
  <c r="F162" i="6" s="1"/>
  <c r="E161" i="6"/>
  <c r="F161" i="6" s="1"/>
  <c r="E160" i="6"/>
  <c r="F160" i="6" s="1"/>
  <c r="E159" i="6"/>
  <c r="F159" i="6" s="1"/>
  <c r="F158" i="6"/>
  <c r="E158" i="6"/>
  <c r="E157" i="6"/>
  <c r="F157" i="6" s="1"/>
  <c r="E156" i="6"/>
  <c r="F156" i="6" s="1"/>
  <c r="E155" i="6"/>
  <c r="F155" i="6" s="1"/>
  <c r="D153" i="6"/>
  <c r="C153" i="6"/>
  <c r="E152" i="6"/>
  <c r="F152" i="6" s="1"/>
  <c r="F151" i="6"/>
  <c r="E151" i="6"/>
  <c r="E150" i="6"/>
  <c r="F150" i="6" s="1"/>
  <c r="F149" i="6"/>
  <c r="E149" i="6"/>
  <c r="E148" i="6"/>
  <c r="F148" i="6" s="1"/>
  <c r="E147" i="6"/>
  <c r="F147" i="6" s="1"/>
  <c r="E146" i="6"/>
  <c r="F146" i="6" s="1"/>
  <c r="F145" i="6"/>
  <c r="E145" i="6"/>
  <c r="E144" i="6"/>
  <c r="F144" i="6" s="1"/>
  <c r="E143" i="6"/>
  <c r="F143" i="6" s="1"/>
  <c r="F142" i="6"/>
  <c r="E142" i="6"/>
  <c r="D137" i="6"/>
  <c r="E137" i="6" s="1"/>
  <c r="C137" i="6"/>
  <c r="E136" i="6"/>
  <c r="F136" i="6" s="1"/>
  <c r="F135" i="6"/>
  <c r="E135" i="6"/>
  <c r="E134" i="6"/>
  <c r="F134" i="6" s="1"/>
  <c r="E133" i="6"/>
  <c r="F133" i="6" s="1"/>
  <c r="E132" i="6"/>
  <c r="F132" i="6" s="1"/>
  <c r="E131" i="6"/>
  <c r="F131" i="6" s="1"/>
  <c r="F130" i="6"/>
  <c r="E130" i="6"/>
  <c r="F129" i="6"/>
  <c r="E129" i="6"/>
  <c r="E128" i="6"/>
  <c r="F128" i="6" s="1"/>
  <c r="F127" i="6"/>
  <c r="E127" i="6"/>
  <c r="E126" i="6"/>
  <c r="F126" i="6" s="1"/>
  <c r="D124" i="6"/>
  <c r="C124" i="6"/>
  <c r="E123" i="6"/>
  <c r="F123" i="6" s="1"/>
  <c r="F122" i="6"/>
  <c r="E122" i="6"/>
  <c r="E121" i="6"/>
  <c r="F121" i="6" s="1"/>
  <c r="E120" i="6"/>
  <c r="F120" i="6" s="1"/>
  <c r="F119" i="6"/>
  <c r="E119" i="6"/>
  <c r="E118" i="6"/>
  <c r="F118" i="6" s="1"/>
  <c r="E117" i="6"/>
  <c r="F117" i="6" s="1"/>
  <c r="F116" i="6"/>
  <c r="E116" i="6"/>
  <c r="F115" i="6"/>
  <c r="E115" i="6"/>
  <c r="E114" i="6"/>
  <c r="F114" i="6" s="1"/>
  <c r="E113" i="6"/>
  <c r="F113" i="6" s="1"/>
  <c r="D111" i="6"/>
  <c r="E111" i="6" s="1"/>
  <c r="F111" i="6" s="1"/>
  <c r="C111" i="6"/>
  <c r="F110" i="6"/>
  <c r="E110" i="6"/>
  <c r="F109" i="6"/>
  <c r="E109" i="6"/>
  <c r="E108" i="6"/>
  <c r="F108" i="6" s="1"/>
  <c r="F107" i="6"/>
  <c r="E107" i="6"/>
  <c r="E106" i="6"/>
  <c r="F106" i="6" s="1"/>
  <c r="E105" i="6"/>
  <c r="F105" i="6" s="1"/>
  <c r="E104" i="6"/>
  <c r="F104" i="6" s="1"/>
  <c r="F103" i="6"/>
  <c r="E103" i="6"/>
  <c r="F102" i="6"/>
  <c r="E102" i="6"/>
  <c r="E101" i="6"/>
  <c r="F101" i="6" s="1"/>
  <c r="E100" i="6"/>
  <c r="F100" i="6" s="1"/>
  <c r="D94" i="6"/>
  <c r="E94" i="6" s="1"/>
  <c r="F94" i="6" s="1"/>
  <c r="C94" i="6"/>
  <c r="D93" i="6"/>
  <c r="C93" i="6"/>
  <c r="F93" i="6" s="1"/>
  <c r="D92" i="6"/>
  <c r="C92" i="6"/>
  <c r="D91" i="6"/>
  <c r="C91" i="6"/>
  <c r="D90" i="6"/>
  <c r="C90" i="6"/>
  <c r="D89" i="6"/>
  <c r="C89" i="6"/>
  <c r="D88" i="6"/>
  <c r="C88" i="6"/>
  <c r="D87" i="6"/>
  <c r="E87" i="6" s="1"/>
  <c r="C87" i="6"/>
  <c r="F87" i="6" s="1"/>
  <c r="D86" i="6"/>
  <c r="E86" i="6" s="1"/>
  <c r="C86" i="6"/>
  <c r="F86" i="6" s="1"/>
  <c r="D85" i="6"/>
  <c r="C85" i="6"/>
  <c r="D84" i="6"/>
  <c r="C84" i="6"/>
  <c r="D81" i="6"/>
  <c r="C81" i="6"/>
  <c r="E80" i="6"/>
  <c r="F80" i="6" s="1"/>
  <c r="F79" i="6"/>
  <c r="E79" i="6"/>
  <c r="F78" i="6"/>
  <c r="E78" i="6"/>
  <c r="E77" i="6"/>
  <c r="F77" i="6" s="1"/>
  <c r="F76" i="6"/>
  <c r="E76" i="6"/>
  <c r="F75" i="6"/>
  <c r="E75" i="6"/>
  <c r="E74" i="6"/>
  <c r="F74" i="6" s="1"/>
  <c r="F73" i="6"/>
  <c r="E73" i="6"/>
  <c r="E72" i="6"/>
  <c r="F72" i="6" s="1"/>
  <c r="E71" i="6"/>
  <c r="F71" i="6" s="1"/>
  <c r="E70" i="6"/>
  <c r="F70" i="6" s="1"/>
  <c r="D68" i="6"/>
  <c r="E68" i="6"/>
  <c r="F68" i="6" s="1"/>
  <c r="C68" i="6"/>
  <c r="F67" i="6"/>
  <c r="E67" i="6"/>
  <c r="F66" i="6"/>
  <c r="E66" i="6"/>
  <c r="F65" i="6"/>
  <c r="E65" i="6"/>
  <c r="F64" i="6"/>
  <c r="E64" i="6"/>
  <c r="F63" i="6"/>
  <c r="E63" i="6"/>
  <c r="E62" i="6"/>
  <c r="F62" i="6" s="1"/>
  <c r="E61" i="6"/>
  <c r="F61" i="6" s="1"/>
  <c r="F60" i="6"/>
  <c r="E60" i="6"/>
  <c r="F59" i="6"/>
  <c r="E59" i="6"/>
  <c r="E58" i="6"/>
  <c r="F58" i="6" s="1"/>
  <c r="E57" i="6"/>
  <c r="F57" i="6" s="1"/>
  <c r="D51" i="6"/>
  <c r="E51" i="6" s="1"/>
  <c r="C51" i="6"/>
  <c r="F51" i="6" s="1"/>
  <c r="D50" i="6"/>
  <c r="C50" i="6"/>
  <c r="F50" i="6" s="1"/>
  <c r="D49" i="6"/>
  <c r="C49" i="6"/>
  <c r="D48" i="6"/>
  <c r="C48" i="6"/>
  <c r="D47" i="6"/>
  <c r="C47" i="6"/>
  <c r="D46" i="6"/>
  <c r="C46" i="6"/>
  <c r="D45" i="6"/>
  <c r="E45" i="6" s="1"/>
  <c r="F45" i="6" s="1"/>
  <c r="C45" i="6"/>
  <c r="D44" i="6"/>
  <c r="C44" i="6"/>
  <c r="F44" i="6" s="1"/>
  <c r="D43" i="6"/>
  <c r="C43" i="6"/>
  <c r="D42" i="6"/>
  <c r="C42" i="6"/>
  <c r="D41" i="6"/>
  <c r="C41" i="6"/>
  <c r="D38" i="6"/>
  <c r="C38" i="6"/>
  <c r="E37" i="6"/>
  <c r="F37" i="6" s="1"/>
  <c r="F36" i="6"/>
  <c r="E36" i="6"/>
  <c r="E35" i="6"/>
  <c r="F35" i="6" s="1"/>
  <c r="E34" i="6"/>
  <c r="F34" i="6" s="1"/>
  <c r="F33" i="6"/>
  <c r="E33" i="6"/>
  <c r="E32" i="6"/>
  <c r="F32" i="6" s="1"/>
  <c r="F31" i="6"/>
  <c r="E31" i="6"/>
  <c r="F30" i="6"/>
  <c r="E30" i="6"/>
  <c r="F29" i="6"/>
  <c r="E29" i="6"/>
  <c r="E28" i="6"/>
  <c r="F28" i="6" s="1"/>
  <c r="F27" i="6"/>
  <c r="E27" i="6"/>
  <c r="D25" i="6"/>
  <c r="E25" i="6" s="1"/>
  <c r="F25" i="6" s="1"/>
  <c r="C25" i="6"/>
  <c r="E24" i="6"/>
  <c r="F24" i="6" s="1"/>
  <c r="F23" i="6"/>
  <c r="E23" i="6"/>
  <c r="E22" i="6"/>
  <c r="F22" i="6" s="1"/>
  <c r="E21" i="6"/>
  <c r="F21" i="6" s="1"/>
  <c r="F20" i="6"/>
  <c r="E20" i="6"/>
  <c r="F19" i="6"/>
  <c r="E19" i="6"/>
  <c r="E18" i="6"/>
  <c r="F18" i="6" s="1"/>
  <c r="F17" i="6"/>
  <c r="E17" i="6"/>
  <c r="F16" i="6"/>
  <c r="E16" i="6"/>
  <c r="E15" i="6"/>
  <c r="F15" i="6" s="1"/>
  <c r="E14" i="6"/>
  <c r="F14" i="6" s="1"/>
  <c r="E51" i="5"/>
  <c r="F51" i="5" s="1"/>
  <c r="D48" i="5"/>
  <c r="E48" i="5" s="1"/>
  <c r="C48" i="5"/>
  <c r="F48" i="5" s="1"/>
  <c r="F47" i="5"/>
  <c r="E47" i="5"/>
  <c r="F46" i="5"/>
  <c r="E46" i="5"/>
  <c r="D41" i="5"/>
  <c r="C41" i="5"/>
  <c r="F40" i="5"/>
  <c r="E40" i="5"/>
  <c r="F39" i="5"/>
  <c r="E39" i="5"/>
  <c r="E38" i="5"/>
  <c r="F38" i="5" s="1"/>
  <c r="D33" i="5"/>
  <c r="C33" i="5"/>
  <c r="E32" i="5"/>
  <c r="F32" i="5" s="1"/>
  <c r="F31" i="5"/>
  <c r="E31" i="5"/>
  <c r="E30" i="5"/>
  <c r="F30" i="5" s="1"/>
  <c r="F29" i="5"/>
  <c r="E29" i="5"/>
  <c r="F28" i="5"/>
  <c r="E28" i="5"/>
  <c r="F27" i="5"/>
  <c r="E27" i="5"/>
  <c r="F26" i="5"/>
  <c r="E26" i="5"/>
  <c r="E25" i="5"/>
  <c r="F25" i="5" s="1"/>
  <c r="F24" i="5"/>
  <c r="E24" i="5"/>
  <c r="E20" i="5"/>
  <c r="F20" i="5" s="1"/>
  <c r="F19" i="5"/>
  <c r="E19" i="5"/>
  <c r="E17" i="5"/>
  <c r="F17" i="5" s="1"/>
  <c r="D16" i="5"/>
  <c r="E16" i="5" s="1"/>
  <c r="C16" i="5"/>
  <c r="F16" i="5" s="1"/>
  <c r="F15" i="5"/>
  <c r="E15" i="5"/>
  <c r="E14" i="5"/>
  <c r="F14" i="5" s="1"/>
  <c r="E13" i="5"/>
  <c r="F13" i="5" s="1"/>
  <c r="E12" i="5"/>
  <c r="F12" i="5" s="1"/>
  <c r="D73" i="4"/>
  <c r="C73" i="4"/>
  <c r="E72" i="4"/>
  <c r="F72" i="4" s="1"/>
  <c r="E71" i="4"/>
  <c r="F71" i="4" s="1"/>
  <c r="E70" i="4"/>
  <c r="F70" i="4" s="1"/>
  <c r="F67" i="4"/>
  <c r="E67" i="4"/>
  <c r="E64" i="4"/>
  <c r="F64" i="4" s="1"/>
  <c r="E63" i="4"/>
  <c r="F63" i="4" s="1"/>
  <c r="D61" i="4"/>
  <c r="C61" i="4"/>
  <c r="F60" i="4"/>
  <c r="E60" i="4"/>
  <c r="E59" i="4"/>
  <c r="F59" i="4" s="1"/>
  <c r="D56" i="4"/>
  <c r="E56" i="4" s="1"/>
  <c r="C56" i="4"/>
  <c r="F56" i="4" s="1"/>
  <c r="F55" i="4"/>
  <c r="E55" i="4"/>
  <c r="F54" i="4"/>
  <c r="E54" i="4"/>
  <c r="E53" i="4"/>
  <c r="F53" i="4" s="1"/>
  <c r="E52" i="4"/>
  <c r="F52" i="4" s="1"/>
  <c r="E51" i="4"/>
  <c r="F51" i="4" s="1"/>
  <c r="A53" i="4"/>
  <c r="A54" i="4" s="1"/>
  <c r="A55" i="4" s="1"/>
  <c r="E50" i="4"/>
  <c r="F50" i="4" s="1"/>
  <c r="A50" i="4"/>
  <c r="A51" i="4" s="1"/>
  <c r="A52" i="4" s="1"/>
  <c r="E49" i="4"/>
  <c r="F49" i="4" s="1"/>
  <c r="E40" i="4"/>
  <c r="F40" i="4" s="1"/>
  <c r="D38" i="4"/>
  <c r="C38" i="4"/>
  <c r="E38" i="4" s="1"/>
  <c r="E37" i="4"/>
  <c r="F37" i="4" s="1"/>
  <c r="E36" i="4"/>
  <c r="F36" i="4" s="1"/>
  <c r="F33" i="4"/>
  <c r="E33" i="4"/>
  <c r="F32" i="4"/>
  <c r="E32" i="4"/>
  <c r="F31" i="4"/>
  <c r="E31" i="4"/>
  <c r="D29" i="4"/>
  <c r="C29" i="4"/>
  <c r="F28" i="4"/>
  <c r="E28" i="4"/>
  <c r="F27" i="4"/>
  <c r="E27" i="4"/>
  <c r="F26" i="4"/>
  <c r="E26" i="4"/>
  <c r="F25" i="4"/>
  <c r="E25" i="4"/>
  <c r="D22" i="4"/>
  <c r="E22" i="4" s="1"/>
  <c r="C22" i="4"/>
  <c r="E21" i="4"/>
  <c r="F21" i="4" s="1"/>
  <c r="E20" i="4"/>
  <c r="F20" i="4" s="1"/>
  <c r="E19" i="4"/>
  <c r="F19" i="4" s="1"/>
  <c r="F18" i="4"/>
  <c r="E18" i="4"/>
  <c r="E17" i="4"/>
  <c r="F17" i="4" s="1"/>
  <c r="F16" i="4"/>
  <c r="E16" i="4"/>
  <c r="E15" i="4"/>
  <c r="F15" i="4" s="1"/>
  <c r="F14" i="4"/>
  <c r="E14" i="4"/>
  <c r="E13" i="4"/>
  <c r="F13" i="4" s="1"/>
  <c r="D53" i="22"/>
  <c r="D45" i="22"/>
  <c r="D39" i="22"/>
  <c r="D34" i="22"/>
  <c r="D23" i="22"/>
  <c r="D29" i="22"/>
  <c r="D35" i="22"/>
  <c r="D101" i="22"/>
  <c r="D103" i="22" s="1"/>
  <c r="C22" i="22"/>
  <c r="E22" i="22"/>
  <c r="E19" i="21"/>
  <c r="F19" i="21" s="1"/>
  <c r="E21" i="21"/>
  <c r="F21" i="21" s="1"/>
  <c r="D41" i="20"/>
  <c r="F16" i="20"/>
  <c r="E19" i="20"/>
  <c r="F19" i="20" s="1"/>
  <c r="C20" i="20"/>
  <c r="E36" i="20"/>
  <c r="F36" i="20"/>
  <c r="C39" i="20"/>
  <c r="C40" i="20"/>
  <c r="E44" i="20"/>
  <c r="F44" i="20" s="1"/>
  <c r="E45" i="20"/>
  <c r="F45" i="20" s="1"/>
  <c r="C46" i="20"/>
  <c r="C114" i="19"/>
  <c r="C116" i="19" s="1"/>
  <c r="C119" i="19" s="1"/>
  <c r="C123" i="19" s="1"/>
  <c r="C49" i="19"/>
  <c r="D283" i="18"/>
  <c r="D22" i="18"/>
  <c r="E21" i="18"/>
  <c r="C33" i="18"/>
  <c r="E32" i="18"/>
  <c r="D43" i="18"/>
  <c r="E54" i="18"/>
  <c r="C289" i="18"/>
  <c r="E289" i="18" s="1"/>
  <c r="C71" i="18"/>
  <c r="C65" i="18"/>
  <c r="E60" i="18"/>
  <c r="C175" i="18"/>
  <c r="E175" i="18" s="1"/>
  <c r="C144" i="18"/>
  <c r="E139" i="18"/>
  <c r="C163" i="18"/>
  <c r="C189" i="18"/>
  <c r="C211" i="18"/>
  <c r="D44" i="18"/>
  <c r="D66" i="18"/>
  <c r="D156" i="18"/>
  <c r="E151" i="18"/>
  <c r="D244" i="18"/>
  <c r="E244" i="18"/>
  <c r="D253" i="18"/>
  <c r="E265" i="18"/>
  <c r="E316" i="18"/>
  <c r="D192" i="17"/>
  <c r="D261" i="18"/>
  <c r="D189" i="18"/>
  <c r="E189" i="18"/>
  <c r="E188" i="18"/>
  <c r="E195" i="18"/>
  <c r="D210" i="18"/>
  <c r="E205" i="18"/>
  <c r="E215" i="18"/>
  <c r="E221" i="18"/>
  <c r="E231" i="18"/>
  <c r="E314" i="18"/>
  <c r="D326" i="18"/>
  <c r="C222" i="18"/>
  <c r="E20" i="17"/>
  <c r="F20" i="17" s="1"/>
  <c r="D31" i="17"/>
  <c r="D37" i="17"/>
  <c r="D48" i="17"/>
  <c r="D60" i="17"/>
  <c r="D68" i="17"/>
  <c r="E88" i="17"/>
  <c r="F88" i="17" s="1"/>
  <c r="D77" i="17"/>
  <c r="E85" i="17"/>
  <c r="E146" i="17"/>
  <c r="E94" i="17"/>
  <c r="E100" i="17"/>
  <c r="C102" i="17"/>
  <c r="E109" i="17"/>
  <c r="F109" i="17" s="1"/>
  <c r="E110" i="17"/>
  <c r="C111" i="17"/>
  <c r="E123" i="17"/>
  <c r="F123" i="17" s="1"/>
  <c r="C124" i="17"/>
  <c r="E135" i="17"/>
  <c r="F135" i="17" s="1"/>
  <c r="E144" i="17"/>
  <c r="F144" i="17" s="1"/>
  <c r="E145" i="17"/>
  <c r="F145" i="17" s="1"/>
  <c r="C146" i="17"/>
  <c r="E158" i="17"/>
  <c r="F158" i="17" s="1"/>
  <c r="E164" i="17"/>
  <c r="F164" i="17" s="1"/>
  <c r="E170" i="17"/>
  <c r="F170" i="17" s="1"/>
  <c r="C173" i="17"/>
  <c r="E179" i="17"/>
  <c r="F179" i="17" s="1"/>
  <c r="C181" i="17"/>
  <c r="C277" i="17"/>
  <c r="E188" i="17"/>
  <c r="F188" i="17" s="1"/>
  <c r="C280" i="17"/>
  <c r="E280" i="17" s="1"/>
  <c r="F280" i="17" s="1"/>
  <c r="E191" i="17"/>
  <c r="F191" i="17" s="1"/>
  <c r="C200" i="17"/>
  <c r="E285" i="17"/>
  <c r="E223" i="17"/>
  <c r="F223" i="17" s="1"/>
  <c r="E230" i="17"/>
  <c r="F230" i="17" s="1"/>
  <c r="E238" i="17"/>
  <c r="F238" i="17" s="1"/>
  <c r="C261" i="17"/>
  <c r="C264" i="17"/>
  <c r="C21" i="17"/>
  <c r="D124" i="17"/>
  <c r="E155" i="17"/>
  <c r="F155" i="17" s="1"/>
  <c r="C159" i="17"/>
  <c r="E171" i="17"/>
  <c r="F171" i="17" s="1"/>
  <c r="E180" i="17"/>
  <c r="F180" i="17" s="1"/>
  <c r="C290" i="17"/>
  <c r="C274" i="17"/>
  <c r="E198" i="17"/>
  <c r="F198" i="17" s="1"/>
  <c r="C285" i="17"/>
  <c r="E204" i="17"/>
  <c r="F204" i="17" s="1"/>
  <c r="E226" i="17"/>
  <c r="F226" i="17" s="1"/>
  <c r="C239" i="17"/>
  <c r="C306" i="17"/>
  <c r="E306" i="17" s="1"/>
  <c r="E250" i="17"/>
  <c r="F250" i="17" s="1"/>
  <c r="E307" i="17"/>
  <c r="F307" i="17" s="1"/>
  <c r="E311" i="17"/>
  <c r="D190" i="17"/>
  <c r="D193" i="17"/>
  <c r="D199" i="17"/>
  <c r="D200" i="17"/>
  <c r="E200" i="17" s="1"/>
  <c r="F200" i="17" s="1"/>
  <c r="D205" i="17"/>
  <c r="D261" i="17"/>
  <c r="D264" i="17"/>
  <c r="D267" i="17"/>
  <c r="D269" i="17"/>
  <c r="E269" i="17"/>
  <c r="D274" i="17"/>
  <c r="D300" i="17" s="1"/>
  <c r="E300" i="17" s="1"/>
  <c r="F300" i="17" s="1"/>
  <c r="E18" i="16"/>
  <c r="F18" i="16"/>
  <c r="E16" i="15"/>
  <c r="F16" i="15"/>
  <c r="E30" i="15"/>
  <c r="F30" i="15" s="1"/>
  <c r="E37" i="15"/>
  <c r="F37" i="15"/>
  <c r="E45" i="15"/>
  <c r="F45" i="15" s="1"/>
  <c r="E55" i="15"/>
  <c r="F55" i="15" s="1"/>
  <c r="E65" i="15"/>
  <c r="F65" i="15"/>
  <c r="E70" i="15"/>
  <c r="F70" i="15" s="1"/>
  <c r="E75" i="15"/>
  <c r="E92" i="15"/>
  <c r="F92" i="15" s="1"/>
  <c r="E107" i="15"/>
  <c r="F107" i="15"/>
  <c r="F36" i="14"/>
  <c r="F38" i="14" s="1"/>
  <c r="F40" i="14" s="1"/>
  <c r="I17" i="14"/>
  <c r="C33" i="14"/>
  <c r="E33" i="14"/>
  <c r="E36" i="14" s="1"/>
  <c r="E38" i="14" s="1"/>
  <c r="E40" i="14" s="1"/>
  <c r="G33" i="14"/>
  <c r="H17" i="14"/>
  <c r="E15" i="13"/>
  <c r="C48" i="13"/>
  <c r="E48" i="13"/>
  <c r="E42" i="13"/>
  <c r="D20" i="12"/>
  <c r="D34" i="12" s="1"/>
  <c r="E15" i="12"/>
  <c r="F15" i="12" s="1"/>
  <c r="C17" i="12"/>
  <c r="E47" i="12"/>
  <c r="F38" i="11"/>
  <c r="F22" i="11"/>
  <c r="E22" i="11"/>
  <c r="E29" i="11"/>
  <c r="F29" i="11" s="1"/>
  <c r="E38" i="11"/>
  <c r="C41" i="11"/>
  <c r="E56" i="11"/>
  <c r="C65" i="11"/>
  <c r="E73" i="11"/>
  <c r="F73" i="11" s="1"/>
  <c r="E24" i="10"/>
  <c r="E36" i="10"/>
  <c r="E47" i="10"/>
  <c r="E48" i="10"/>
  <c r="E59" i="10"/>
  <c r="E60" i="10"/>
  <c r="E71" i="10"/>
  <c r="E72" i="10"/>
  <c r="E84" i="10"/>
  <c r="E95" i="10"/>
  <c r="E96" i="10"/>
  <c r="E107" i="10"/>
  <c r="E108" i="10"/>
  <c r="E112" i="10"/>
  <c r="E114" i="10"/>
  <c r="E115" i="10"/>
  <c r="E116" i="10"/>
  <c r="E118" i="10"/>
  <c r="E120" i="10"/>
  <c r="C121" i="10"/>
  <c r="F121" i="10" s="1"/>
  <c r="C122" i="10"/>
  <c r="F122" i="10" s="1"/>
  <c r="F36" i="9"/>
  <c r="F37" i="9"/>
  <c r="E50" i="9"/>
  <c r="F50" i="9" s="1"/>
  <c r="E63" i="9"/>
  <c r="E76" i="9"/>
  <c r="E88" i="9"/>
  <c r="F88" i="9" s="1"/>
  <c r="E102" i="9"/>
  <c r="F102" i="9" s="1"/>
  <c r="E127" i="9"/>
  <c r="F127" i="9" s="1"/>
  <c r="E141" i="9"/>
  <c r="F141" i="9" s="1"/>
  <c r="E154" i="9"/>
  <c r="F154" i="9" s="1"/>
  <c r="E167" i="9"/>
  <c r="E180" i="9"/>
  <c r="E193" i="9"/>
  <c r="E199" i="9"/>
  <c r="F199" i="9" s="1"/>
  <c r="E201" i="9"/>
  <c r="F203" i="9"/>
  <c r="E203" i="9"/>
  <c r="E205" i="9"/>
  <c r="E49" i="9"/>
  <c r="F49" i="9" s="1"/>
  <c r="E62" i="9"/>
  <c r="E75" i="9"/>
  <c r="E114" i="9"/>
  <c r="E128" i="9"/>
  <c r="F128" i="9" s="1"/>
  <c r="E153" i="9"/>
  <c r="E198" i="9"/>
  <c r="F198" i="9" s="1"/>
  <c r="E202" i="9"/>
  <c r="F202" i="9" s="1"/>
  <c r="E206" i="9"/>
  <c r="F206" i="9" s="1"/>
  <c r="D53" i="8"/>
  <c r="E88" i="8"/>
  <c r="E90" i="8" s="1"/>
  <c r="E86" i="8" s="1"/>
  <c r="E77" i="8"/>
  <c r="E71" i="8"/>
  <c r="D152" i="8"/>
  <c r="D153" i="8"/>
  <c r="C25" i="8"/>
  <c r="C27" i="8"/>
  <c r="E25" i="8"/>
  <c r="E27" i="8"/>
  <c r="E15" i="8"/>
  <c r="E24" i="8" s="1"/>
  <c r="E20" i="8" s="1"/>
  <c r="D71" i="8"/>
  <c r="C109" i="8"/>
  <c r="C106" i="8" s="1"/>
  <c r="E149" i="8"/>
  <c r="E139" i="8" s="1"/>
  <c r="C157" i="8"/>
  <c r="C155" i="8"/>
  <c r="E157" i="8"/>
  <c r="E152" i="8"/>
  <c r="C49" i="8"/>
  <c r="E121" i="7"/>
  <c r="F121" i="7" s="1"/>
  <c r="E130" i="7"/>
  <c r="F130" i="7" s="1"/>
  <c r="D18" i="5"/>
  <c r="D41" i="4"/>
  <c r="D65" i="4"/>
  <c r="C53" i="22"/>
  <c r="C110" i="22"/>
  <c r="D54" i="22"/>
  <c r="D46" i="22"/>
  <c r="D40" i="22"/>
  <c r="D36" i="22"/>
  <c r="D30" i="22"/>
  <c r="D56" i="22" s="1"/>
  <c r="E53" i="22"/>
  <c r="E45" i="22"/>
  <c r="E39" i="22"/>
  <c r="E35" i="22"/>
  <c r="E29" i="22"/>
  <c r="D55" i="22"/>
  <c r="D47" i="22"/>
  <c r="D37" i="22"/>
  <c r="E20" i="20"/>
  <c r="F20" i="20" s="1"/>
  <c r="E39" i="20"/>
  <c r="D234" i="18"/>
  <c r="E210" i="18"/>
  <c r="D211" i="18"/>
  <c r="E156" i="18"/>
  <c r="D157" i="18"/>
  <c r="D258" i="18"/>
  <c r="D100" i="18"/>
  <c r="D98" i="18"/>
  <c r="D96" i="18"/>
  <c r="D89" i="18"/>
  <c r="D87" i="18"/>
  <c r="D85" i="18"/>
  <c r="D83" i="18"/>
  <c r="D99" i="18"/>
  <c r="D95" i="18"/>
  <c r="D88" i="18"/>
  <c r="D84" i="18"/>
  <c r="D101" i="18"/>
  <c r="D97" i="18"/>
  <c r="D102" i="18" s="1"/>
  <c r="D103" i="18" s="1"/>
  <c r="D86" i="18"/>
  <c r="C168" i="18"/>
  <c r="C180" i="18"/>
  <c r="C145" i="18"/>
  <c r="C181" i="18" s="1"/>
  <c r="E264" i="17"/>
  <c r="F264" i="17" s="1"/>
  <c r="D194" i="17"/>
  <c r="C161" i="17"/>
  <c r="C162" i="17" s="1"/>
  <c r="C126" i="17"/>
  <c r="C300" i="17"/>
  <c r="C207" i="17"/>
  <c r="C208" i="17" s="1"/>
  <c r="C138" i="17"/>
  <c r="F239" i="17"/>
  <c r="D90" i="17"/>
  <c r="E31" i="17"/>
  <c r="F31" i="17"/>
  <c r="D32" i="17"/>
  <c r="D270" i="17"/>
  <c r="E159" i="17"/>
  <c r="D61" i="17"/>
  <c r="D62" i="17" s="1"/>
  <c r="E37" i="17"/>
  <c r="G36" i="14"/>
  <c r="G38" i="14" s="1"/>
  <c r="G40" i="14" s="1"/>
  <c r="C20" i="12"/>
  <c r="E20" i="12" s="1"/>
  <c r="E121" i="10"/>
  <c r="E208" i="9"/>
  <c r="F208" i="9" s="1"/>
  <c r="E21" i="8"/>
  <c r="C21" i="8"/>
  <c r="E138" i="8"/>
  <c r="E17" i="8"/>
  <c r="E28" i="8" s="1"/>
  <c r="C20" i="8"/>
  <c r="C17" i="8"/>
  <c r="C28" i="8" s="1"/>
  <c r="C99" i="8" s="1"/>
  <c r="C101" i="8" s="1"/>
  <c r="D43" i="4"/>
  <c r="D48" i="22"/>
  <c r="C169" i="18"/>
  <c r="E32" i="17"/>
  <c r="F32" i="17" s="1"/>
  <c r="C127" i="17"/>
  <c r="D42" i="12"/>
  <c r="D49" i="12" s="1"/>
  <c r="D195" i="17" l="1"/>
  <c r="D125" i="17"/>
  <c r="E261" i="18"/>
  <c r="E89" i="9"/>
  <c r="F89" i="9"/>
  <c r="D173" i="17"/>
  <c r="E173" i="17" s="1"/>
  <c r="F173" i="17" s="1"/>
  <c r="E172" i="17"/>
  <c r="F172" i="17" s="1"/>
  <c r="C215" i="17"/>
  <c r="C255" i="17"/>
  <c r="C278" i="17"/>
  <c r="C279" i="17" s="1"/>
  <c r="C190" i="17"/>
  <c r="E190" i="17" s="1"/>
  <c r="F190" i="17" s="1"/>
  <c r="F37" i="17"/>
  <c r="E70" i="18"/>
  <c r="E274" i="17"/>
  <c r="F274" i="17" s="1"/>
  <c r="D43" i="8"/>
  <c r="D57" i="8"/>
  <c r="D62" i="8" s="1"/>
  <c r="D49" i="8"/>
  <c r="E155" i="8"/>
  <c r="E153" i="8"/>
  <c r="E156" i="8"/>
  <c r="E158" i="8" s="1"/>
  <c r="E154" i="8"/>
  <c r="F140" i="9"/>
  <c r="E140" i="9"/>
  <c r="D65" i="11"/>
  <c r="E61" i="11"/>
  <c r="F61" i="11" s="1"/>
  <c r="C25" i="13"/>
  <c r="C27" i="13" s="1"/>
  <c r="C15" i="13"/>
  <c r="D21" i="17"/>
  <c r="D282" i="17"/>
  <c r="D281" i="17" s="1"/>
  <c r="D266" i="17"/>
  <c r="D265" i="17" s="1"/>
  <c r="E36" i="17"/>
  <c r="F36" i="17" s="1"/>
  <c r="C75" i="11"/>
  <c r="C283" i="17"/>
  <c r="C205" i="17"/>
  <c r="C206" i="17"/>
  <c r="C214" i="17"/>
  <c r="C267" i="17"/>
  <c r="D24" i="8"/>
  <c r="D17" i="8"/>
  <c r="F119" i="10"/>
  <c r="E119" i="10"/>
  <c r="E297" i="17"/>
  <c r="F297" i="17" s="1"/>
  <c r="C55" i="18"/>
  <c r="C235" i="18" s="1"/>
  <c r="C234" i="18"/>
  <c r="C283" i="18"/>
  <c r="E283" i="18" s="1"/>
  <c r="D268" i="17"/>
  <c r="E261" i="17"/>
  <c r="F261" i="17" s="1"/>
  <c r="C66" i="18"/>
  <c r="E65" i="18"/>
  <c r="C294" i="18"/>
  <c r="E17" i="12"/>
  <c r="F17" i="12" s="1"/>
  <c r="E27" i="13"/>
  <c r="E21" i="13" s="1"/>
  <c r="F179" i="9"/>
  <c r="E179" i="9"/>
  <c r="E205" i="17"/>
  <c r="F47" i="6"/>
  <c r="E33" i="18"/>
  <c r="D295" i="18"/>
  <c r="E218" i="18"/>
  <c r="D217" i="18"/>
  <c r="D242" i="18"/>
  <c r="E242" i="18" s="1"/>
  <c r="D102" i="17"/>
  <c r="E101" i="17"/>
  <c r="F101" i="17" s="1"/>
  <c r="C139" i="8"/>
  <c r="E136" i="8"/>
  <c r="E137" i="8"/>
  <c r="E135" i="8"/>
  <c r="E140" i="8"/>
  <c r="E112" i="8"/>
  <c r="E111" i="8" s="1"/>
  <c r="D271" i="17"/>
  <c r="D304" i="17" s="1"/>
  <c r="C254" i="17"/>
  <c r="F146" i="17"/>
  <c r="C45" i="22"/>
  <c r="C39" i="22"/>
  <c r="C35" i="22"/>
  <c r="C29" i="22"/>
  <c r="C112" i="22" s="1"/>
  <c r="F92" i="6"/>
  <c r="E92" i="6"/>
  <c r="D157" i="8"/>
  <c r="D158" i="8" s="1"/>
  <c r="D155" i="8"/>
  <c r="D156" i="8"/>
  <c r="D154" i="8"/>
  <c r="E129" i="17"/>
  <c r="F129" i="17"/>
  <c r="F22" i="20"/>
  <c r="E25" i="20"/>
  <c r="F25" i="20" s="1"/>
  <c r="C98" i="8"/>
  <c r="E211" i="18"/>
  <c r="E290" i="17"/>
  <c r="F290" i="17" s="1"/>
  <c r="C18" i="5"/>
  <c r="C21" i="5" s="1"/>
  <c r="E43" i="6"/>
  <c r="F43" i="6" s="1"/>
  <c r="E88" i="6"/>
  <c r="F88" i="6" s="1"/>
  <c r="D86" i="8"/>
  <c r="D149" i="8"/>
  <c r="E36" i="9"/>
  <c r="C192" i="17"/>
  <c r="E192" i="17" s="1"/>
  <c r="F192" i="17" s="1"/>
  <c r="E294" i="17"/>
  <c r="F294" i="17" s="1"/>
  <c r="D71" i="18"/>
  <c r="D76" i="18" s="1"/>
  <c r="E167" i="18"/>
  <c r="C252" i="18"/>
  <c r="E276" i="18"/>
  <c r="E287" i="18"/>
  <c r="E292" i="18"/>
  <c r="C102" i="22"/>
  <c r="D38" i="22"/>
  <c r="D90" i="18"/>
  <c r="E47" i="6"/>
  <c r="F137" i="6"/>
  <c r="D188" i="7"/>
  <c r="E23" i="9"/>
  <c r="F23" i="9" s="1"/>
  <c r="E50" i="13"/>
  <c r="D160" i="17"/>
  <c r="E40" i="18"/>
  <c r="E234" i="18"/>
  <c r="C42" i="13"/>
  <c r="E77" i="17"/>
  <c r="E73" i="4"/>
  <c r="F73" i="4" s="1"/>
  <c r="E167" i="7"/>
  <c r="F167" i="7" s="1"/>
  <c r="C50" i="13"/>
  <c r="E23" i="17"/>
  <c r="F23" i="17" s="1"/>
  <c r="E72" i="18"/>
  <c r="E173" i="18"/>
  <c r="E277" i="18"/>
  <c r="E280" i="18"/>
  <c r="E41" i="5"/>
  <c r="F41" i="5" s="1"/>
  <c r="D109" i="8"/>
  <c r="D106" i="8" s="1"/>
  <c r="D15" i="13"/>
  <c r="D50" i="13"/>
  <c r="E227" i="17"/>
  <c r="F227" i="17" s="1"/>
  <c r="F298" i="17"/>
  <c r="E290" i="18"/>
  <c r="C34" i="22"/>
  <c r="D77" i="22"/>
  <c r="C88" i="22"/>
  <c r="E98" i="22"/>
  <c r="E90" i="6"/>
  <c r="F90" i="6" s="1"/>
  <c r="E93" i="6"/>
  <c r="D43" i="11"/>
  <c r="E80" i="13"/>
  <c r="E77" i="13" s="1"/>
  <c r="C199" i="17"/>
  <c r="E199" i="17" s="1"/>
  <c r="F199" i="17" s="1"/>
  <c r="C217" i="18"/>
  <c r="C241" i="18" s="1"/>
  <c r="E233" i="18"/>
  <c r="C23" i="22"/>
  <c r="E77" i="22"/>
  <c r="E157" i="18"/>
  <c r="F75" i="15"/>
  <c r="C246" i="18"/>
  <c r="E29" i="4"/>
  <c r="F29" i="4" s="1"/>
  <c r="E49" i="6"/>
  <c r="F49" i="6" s="1"/>
  <c r="F24" i="7"/>
  <c r="E57" i="13"/>
  <c r="E60" i="15"/>
  <c r="E100" i="15"/>
  <c r="F100" i="15" s="1"/>
  <c r="E67" i="17"/>
  <c r="F67" i="17" s="1"/>
  <c r="F296" i="17"/>
  <c r="F299" i="17"/>
  <c r="E38" i="18"/>
  <c r="D294" i="18"/>
  <c r="E294" i="18" s="1"/>
  <c r="D163" i="18"/>
  <c r="E326" i="18"/>
  <c r="E163" i="18"/>
  <c r="C95" i="6"/>
  <c r="E153" i="6"/>
  <c r="F153" i="6" s="1"/>
  <c r="E30" i="7"/>
  <c r="F30" i="7" s="1"/>
  <c r="E40" i="12"/>
  <c r="F40" i="12" s="1"/>
  <c r="D48" i="13"/>
  <c r="D42" i="13" s="1"/>
  <c r="E52" i="17"/>
  <c r="E58" i="17"/>
  <c r="E42" i="18"/>
  <c r="E74" i="18"/>
  <c r="E302" i="18"/>
  <c r="D93" i="22"/>
  <c r="E200" i="9"/>
  <c r="F200" i="9"/>
  <c r="E90" i="7"/>
  <c r="F90" i="7" s="1"/>
  <c r="C95" i="7"/>
  <c r="E183" i="7"/>
  <c r="F183" i="7" s="1"/>
  <c r="C188" i="7"/>
  <c r="E57" i="8"/>
  <c r="E62" i="8" s="1"/>
  <c r="E49" i="8"/>
  <c r="E53" i="8"/>
  <c r="E43" i="8"/>
  <c r="D63" i="17"/>
  <c r="C112" i="8"/>
  <c r="C111" i="8" s="1"/>
  <c r="E99" i="8"/>
  <c r="E101" i="8" s="1"/>
  <c r="E98" i="8" s="1"/>
  <c r="E22" i="8"/>
  <c r="C197" i="17"/>
  <c r="E41" i="20"/>
  <c r="F39" i="20"/>
  <c r="C35" i="5"/>
  <c r="C77" i="8"/>
  <c r="C71" i="8" s="1"/>
  <c r="C88" i="8"/>
  <c r="C90" i="8" s="1"/>
  <c r="C86" i="8" s="1"/>
  <c r="D21" i="5"/>
  <c r="E18" i="5"/>
  <c r="F18" i="5" s="1"/>
  <c r="C22" i="8"/>
  <c r="E204" i="9"/>
  <c r="F204" i="9" s="1"/>
  <c r="D21" i="8"/>
  <c r="D20" i="8"/>
  <c r="E55" i="22"/>
  <c r="E47" i="22"/>
  <c r="E37" i="22"/>
  <c r="C76" i="18"/>
  <c r="E71" i="18"/>
  <c r="D52" i="6"/>
  <c r="E41" i="6"/>
  <c r="F41" i="6" s="1"/>
  <c r="C152" i="8"/>
  <c r="C153" i="8"/>
  <c r="C156" i="8"/>
  <c r="C154" i="8"/>
  <c r="F153" i="9"/>
  <c r="F205" i="9"/>
  <c r="D122" i="10"/>
  <c r="E122" i="10" s="1"/>
  <c r="E113" i="10"/>
  <c r="F117" i="10"/>
  <c r="E117" i="10"/>
  <c r="F56" i="11"/>
  <c r="C175" i="17"/>
  <c r="C140" i="17"/>
  <c r="C210" i="17"/>
  <c r="E68" i="17"/>
  <c r="F68" i="17" s="1"/>
  <c r="E130" i="17"/>
  <c r="F130" i="17" s="1"/>
  <c r="D137" i="17"/>
  <c r="E136" i="17"/>
  <c r="F136" i="17" s="1"/>
  <c r="F269" i="17"/>
  <c r="C111" i="22"/>
  <c r="C109" i="22"/>
  <c r="C108" i="22"/>
  <c r="D284" i="18"/>
  <c r="E22" i="18"/>
  <c r="E188" i="7"/>
  <c r="F159" i="17"/>
  <c r="D235" i="18"/>
  <c r="D330" i="18"/>
  <c r="E330" i="18" s="1"/>
  <c r="C140" i="8"/>
  <c r="C138" i="8"/>
  <c r="C136" i="8"/>
  <c r="C135" i="8"/>
  <c r="C141" i="8" s="1"/>
  <c r="C286" i="17"/>
  <c r="F285" i="17"/>
  <c r="C288" i="17"/>
  <c r="C103" i="17"/>
  <c r="F89" i="17"/>
  <c r="E89" i="17"/>
  <c r="F38" i="4"/>
  <c r="F41" i="11"/>
  <c r="C43" i="11"/>
  <c r="I33" i="14"/>
  <c r="I36" i="14" s="1"/>
  <c r="I38" i="14" s="1"/>
  <c r="I40" i="14" s="1"/>
  <c r="C36" i="14"/>
  <c r="C38" i="14" s="1"/>
  <c r="C40" i="14" s="1"/>
  <c r="H33" i="14"/>
  <c r="H36" i="14" s="1"/>
  <c r="H38" i="14" s="1"/>
  <c r="H40" i="14" s="1"/>
  <c r="D75" i="4"/>
  <c r="E84" i="6"/>
  <c r="F84" i="6" s="1"/>
  <c r="C41" i="20"/>
  <c r="E40" i="20"/>
  <c r="F40" i="20" s="1"/>
  <c r="C65" i="4"/>
  <c r="E91" i="6"/>
  <c r="F91" i="6" s="1"/>
  <c r="E48" i="6"/>
  <c r="F48" i="6"/>
  <c r="D91" i="18"/>
  <c r="F20" i="12"/>
  <c r="C34" i="12"/>
  <c r="E141" i="8"/>
  <c r="F201" i="9"/>
  <c r="E50" i="6"/>
  <c r="D95" i="6"/>
  <c r="E95" i="6" s="1"/>
  <c r="F95" i="6" s="1"/>
  <c r="C270" i="17"/>
  <c r="E270" i="17" s="1"/>
  <c r="C271" i="17"/>
  <c r="E267" i="17"/>
  <c r="F267" i="17" s="1"/>
  <c r="C268" i="17"/>
  <c r="E124" i="6"/>
  <c r="F124" i="6" s="1"/>
  <c r="C55" i="22"/>
  <c r="C47" i="22"/>
  <c r="C37" i="22"/>
  <c r="E95" i="7"/>
  <c r="E24" i="13"/>
  <c r="E20" i="13" s="1"/>
  <c r="E17" i="13"/>
  <c r="E28" i="13" s="1"/>
  <c r="E66" i="18"/>
  <c r="E38" i="6"/>
  <c r="F38" i="6" s="1"/>
  <c r="E277" i="17"/>
  <c r="F277" i="17" s="1"/>
  <c r="E229" i="17"/>
  <c r="F229" i="17"/>
  <c r="F22" i="4"/>
  <c r="E33" i="5"/>
  <c r="F33" i="5" s="1"/>
  <c r="C52" i="6"/>
  <c r="E44" i="6"/>
  <c r="E85" i="6"/>
  <c r="F85" i="6" s="1"/>
  <c r="D278" i="17"/>
  <c r="D279" i="17" s="1"/>
  <c r="E279" i="17" s="1"/>
  <c r="F279" i="17" s="1"/>
  <c r="D215" i="17"/>
  <c r="E189" i="17"/>
  <c r="F189" i="17" s="1"/>
  <c r="D262" i="17"/>
  <c r="D283" i="17"/>
  <c r="D284" i="17" s="1"/>
  <c r="D206" i="17"/>
  <c r="D214" i="17"/>
  <c r="E203" i="17"/>
  <c r="F203" i="17" s="1"/>
  <c r="E36" i="18"/>
  <c r="E42" i="6"/>
  <c r="F42" i="6"/>
  <c r="E89" i="6"/>
  <c r="F89" i="6" s="1"/>
  <c r="E18" i="7"/>
  <c r="F18" i="7" s="1"/>
  <c r="C207" i="9"/>
  <c r="D46" i="20"/>
  <c r="E43" i="20"/>
  <c r="E46" i="20" s="1"/>
  <c r="F46" i="20" s="1"/>
  <c r="E61" i="4"/>
  <c r="F61" i="4" s="1"/>
  <c r="E237" i="17"/>
  <c r="F237" i="17" s="1"/>
  <c r="E124" i="17"/>
  <c r="F124" i="17" s="1"/>
  <c r="C295" i="18"/>
  <c r="E295" i="18" s="1"/>
  <c r="E46" i="6"/>
  <c r="F46" i="6" s="1"/>
  <c r="E81" i="6"/>
  <c r="F81" i="6" s="1"/>
  <c r="C223" i="18"/>
  <c r="C247" i="18" s="1"/>
  <c r="C239" i="18"/>
  <c r="E239" i="18" s="1"/>
  <c r="C53" i="8"/>
  <c r="C57" i="8"/>
  <c r="C62" i="8" s="1"/>
  <c r="D79" i="8"/>
  <c r="D181" i="17"/>
  <c r="E181" i="17" s="1"/>
  <c r="F181" i="17" s="1"/>
  <c r="E281" i="18"/>
  <c r="C30" i="22"/>
  <c r="C41" i="4"/>
  <c r="E79" i="8"/>
  <c r="F52" i="17"/>
  <c r="F58" i="17"/>
  <c r="E245" i="18"/>
  <c r="C37" i="19"/>
  <c r="C38" i="19" s="1"/>
  <c r="C127" i="19" s="1"/>
  <c r="C129" i="19" s="1"/>
  <c r="C133" i="19" s="1"/>
  <c r="E102" i="22"/>
  <c r="E101" i="22"/>
  <c r="C193" i="17"/>
  <c r="E219" i="18"/>
  <c r="D243" i="18"/>
  <c r="D303" i="18"/>
  <c r="F31" i="14"/>
  <c r="H31" i="14" s="1"/>
  <c r="F17" i="17"/>
  <c r="F53" i="17"/>
  <c r="D222" i="18"/>
  <c r="C43" i="8"/>
  <c r="F24" i="17"/>
  <c r="E232" i="18"/>
  <c r="D144" i="18"/>
  <c r="D240" i="18"/>
  <c r="E240" i="18" s="1"/>
  <c r="E23" i="22"/>
  <c r="D33" i="22"/>
  <c r="C48" i="17"/>
  <c r="C60" i="17"/>
  <c r="C262" i="17"/>
  <c r="C43" i="18"/>
  <c r="C44" i="18" s="1"/>
  <c r="C253" i="18"/>
  <c r="C254" i="18" s="1"/>
  <c r="C101" i="22"/>
  <c r="C103" i="22" s="1"/>
  <c r="C22" i="19"/>
  <c r="D259" i="18" l="1"/>
  <c r="D263" i="18" s="1"/>
  <c r="D264" i="18" s="1"/>
  <c r="D77" i="18"/>
  <c r="E235" i="18"/>
  <c r="D112" i="22"/>
  <c r="D111" i="22"/>
  <c r="D108" i="22"/>
  <c r="D113" i="22"/>
  <c r="D109" i="22"/>
  <c r="D110" i="22"/>
  <c r="D103" i="17"/>
  <c r="E102" i="17"/>
  <c r="F102" i="17" s="1"/>
  <c r="F205" i="17"/>
  <c r="C24" i="13"/>
  <c r="C20" i="13" s="1"/>
  <c r="C17" i="13"/>
  <c r="C28" i="13" s="1"/>
  <c r="C70" i="13" s="1"/>
  <c r="C72" i="13" s="1"/>
  <c r="C69" i="13" s="1"/>
  <c r="D174" i="17"/>
  <c r="E52" i="6"/>
  <c r="C287" i="17"/>
  <c r="C284" i="17"/>
  <c r="C21" i="13"/>
  <c r="D137" i="8"/>
  <c r="D135" i="8"/>
  <c r="D136" i="8"/>
  <c r="D138" i="8"/>
  <c r="D139" i="8"/>
  <c r="D140" i="8"/>
  <c r="E206" i="17"/>
  <c r="F206" i="17" s="1"/>
  <c r="F43" i="20"/>
  <c r="E217" i="18"/>
  <c r="D241" i="18"/>
  <c r="E241" i="18" s="1"/>
  <c r="D112" i="8"/>
  <c r="D111" i="8" s="1"/>
  <c r="D28" i="8"/>
  <c r="E284" i="17"/>
  <c r="F284" i="17" s="1"/>
  <c r="D175" i="17"/>
  <c r="D75" i="11"/>
  <c r="E75" i="11" s="1"/>
  <c r="F75" i="11" s="1"/>
  <c r="E65" i="11"/>
  <c r="F65" i="11" s="1"/>
  <c r="D161" i="17"/>
  <c r="D91" i="17"/>
  <c r="E21" i="17"/>
  <c r="F21" i="17" s="1"/>
  <c r="D49" i="17"/>
  <c r="D50" i="17" s="1"/>
  <c r="D196" i="17"/>
  <c r="D197" i="17" s="1"/>
  <c r="E197" i="17" s="1"/>
  <c r="D126" i="17"/>
  <c r="E108" i="22"/>
  <c r="E110" i="22"/>
  <c r="E109" i="22"/>
  <c r="E284" i="18"/>
  <c r="C36" i="22"/>
  <c r="C46" i="22"/>
  <c r="C40" i="22"/>
  <c r="C54" i="22"/>
  <c r="E55" i="18"/>
  <c r="C284" i="18"/>
  <c r="E103" i="22"/>
  <c r="D24" i="13"/>
  <c r="D20" i="13" s="1"/>
  <c r="D17" i="13"/>
  <c r="D28" i="13" s="1"/>
  <c r="C216" i="17"/>
  <c r="C304" i="17"/>
  <c r="E304" i="17" s="1"/>
  <c r="F304" i="17" s="1"/>
  <c r="E112" i="22"/>
  <c r="C99" i="18"/>
  <c r="E99" i="18" s="1"/>
  <c r="C83" i="18"/>
  <c r="C95" i="18"/>
  <c r="C96" i="18"/>
  <c r="C88" i="18"/>
  <c r="E88" i="18" s="1"/>
  <c r="C86" i="18"/>
  <c r="E86" i="18" s="1"/>
  <c r="C89" i="18"/>
  <c r="E89" i="18" s="1"/>
  <c r="C84" i="18"/>
  <c r="C85" i="18"/>
  <c r="E85" i="18" s="1"/>
  <c r="C101" i="18"/>
  <c r="E101" i="18" s="1"/>
  <c r="C97" i="18"/>
  <c r="E97" i="18" s="1"/>
  <c r="C98" i="18"/>
  <c r="E98" i="18" s="1"/>
  <c r="C100" i="18"/>
  <c r="E100" i="18" s="1"/>
  <c r="E44" i="18"/>
  <c r="C258" i="18"/>
  <c r="C87" i="18"/>
  <c r="E87" i="18" s="1"/>
  <c r="C272" i="17"/>
  <c r="C263" i="17"/>
  <c r="D216" i="17"/>
  <c r="E216" i="17" s="1"/>
  <c r="F216" i="17" s="1"/>
  <c r="D254" i="17"/>
  <c r="E214" i="17"/>
  <c r="F214" i="17" s="1"/>
  <c r="C61" i="17"/>
  <c r="E60" i="17"/>
  <c r="F60" i="17" s="1"/>
  <c r="D105" i="18"/>
  <c r="E253" i="18"/>
  <c r="C141" i="17"/>
  <c r="E283" i="17"/>
  <c r="F283" i="17" s="1"/>
  <c r="D286" i="17"/>
  <c r="E286" i="17" s="1"/>
  <c r="F286" i="17" s="1"/>
  <c r="D287" i="17"/>
  <c r="C176" i="17"/>
  <c r="C77" i="18"/>
  <c r="E76" i="18"/>
  <c r="C75" i="4"/>
  <c r="E41" i="4"/>
  <c r="F41" i="4" s="1"/>
  <c r="C43" i="4"/>
  <c r="E268" i="17"/>
  <c r="F268" i="17" s="1"/>
  <c r="D223" i="18"/>
  <c r="D246" i="18"/>
  <c r="E246" i="18" s="1"/>
  <c r="E222" i="18"/>
  <c r="C113" i="22"/>
  <c r="C56" i="22"/>
  <c r="C48" i="22"/>
  <c r="C38" i="22"/>
  <c r="E262" i="17"/>
  <c r="F262" i="17" s="1"/>
  <c r="D263" i="17"/>
  <c r="E263" i="17" s="1"/>
  <c r="D272" i="17"/>
  <c r="F41" i="20"/>
  <c r="D176" i="17"/>
  <c r="E176" i="17" s="1"/>
  <c r="E175" i="17"/>
  <c r="F175" i="17" s="1"/>
  <c r="E43" i="11"/>
  <c r="F43" i="11" s="1"/>
  <c r="D207" i="17"/>
  <c r="E137" i="17"/>
  <c r="F137" i="17" s="1"/>
  <c r="D138" i="17"/>
  <c r="D35" i="5"/>
  <c r="E21" i="5"/>
  <c r="F21" i="5" s="1"/>
  <c r="F188" i="7"/>
  <c r="D252" i="18"/>
  <c r="E243" i="18"/>
  <c r="E65" i="4"/>
  <c r="F65" i="4" s="1"/>
  <c r="C194" i="17"/>
  <c r="C195" i="17" s="1"/>
  <c r="C266" i="17"/>
  <c r="C282" i="17"/>
  <c r="E193" i="17"/>
  <c r="F193" i="17" s="1"/>
  <c r="E46" i="22"/>
  <c r="E40" i="22"/>
  <c r="E30" i="22"/>
  <c r="E111" i="22"/>
  <c r="E54" i="22"/>
  <c r="E36" i="22"/>
  <c r="E271" i="17"/>
  <c r="C273" i="17"/>
  <c r="F271" i="17"/>
  <c r="E207" i="9"/>
  <c r="F207" i="9" s="1"/>
  <c r="D255" i="17"/>
  <c r="E255" i="17" s="1"/>
  <c r="F255" i="17" s="1"/>
  <c r="E215" i="17"/>
  <c r="F215" i="17" s="1"/>
  <c r="F270" i="17"/>
  <c r="E103" i="17"/>
  <c r="F103" i="17"/>
  <c r="C105" i="17"/>
  <c r="C43" i="5"/>
  <c r="D70" i="17"/>
  <c r="D266" i="18"/>
  <c r="C90" i="17"/>
  <c r="C160" i="17"/>
  <c r="C49" i="17"/>
  <c r="F48" i="17"/>
  <c r="E48" i="17"/>
  <c r="C125" i="17"/>
  <c r="F52" i="6"/>
  <c r="E278" i="17"/>
  <c r="F278" i="17" s="1"/>
  <c r="D288" i="17"/>
  <c r="E288" i="17" s="1"/>
  <c r="F288" i="17" s="1"/>
  <c r="E22" i="13"/>
  <c r="E70" i="13"/>
  <c r="E72" i="13" s="1"/>
  <c r="E69" i="13" s="1"/>
  <c r="C158" i="8"/>
  <c r="F197" i="17"/>
  <c r="D125" i="18"/>
  <c r="D124" i="18"/>
  <c r="D121" i="18"/>
  <c r="D111" i="18"/>
  <c r="D114" i="18"/>
  <c r="D115" i="18"/>
  <c r="D112" i="18"/>
  <c r="D122" i="18"/>
  <c r="D110" i="18"/>
  <c r="D126" i="18"/>
  <c r="E77" i="18"/>
  <c r="D127" i="18"/>
  <c r="D123" i="18"/>
  <c r="D113" i="18"/>
  <c r="D109" i="18"/>
  <c r="D145" i="18"/>
  <c r="E144" i="18"/>
  <c r="D180" i="18"/>
  <c r="E180" i="18" s="1"/>
  <c r="D168" i="18"/>
  <c r="E168" i="18" s="1"/>
  <c r="C259" i="18"/>
  <c r="E43" i="18"/>
  <c r="D306" i="18"/>
  <c r="E303" i="18"/>
  <c r="E34" i="12"/>
  <c r="F34" i="12"/>
  <c r="C42" i="12"/>
  <c r="E75" i="4"/>
  <c r="C289" i="17"/>
  <c r="C291" i="17"/>
  <c r="F95" i="7"/>
  <c r="D92" i="17" l="1"/>
  <c r="E91" i="17"/>
  <c r="F91" i="17" s="1"/>
  <c r="D141" i="8"/>
  <c r="D162" i="17"/>
  <c r="E161" i="17"/>
  <c r="F161" i="17" s="1"/>
  <c r="C22" i="13"/>
  <c r="D70" i="13"/>
  <c r="D72" i="13" s="1"/>
  <c r="D69" i="13" s="1"/>
  <c r="D22" i="13"/>
  <c r="D127" i="17"/>
  <c r="E127" i="17" s="1"/>
  <c r="F127" i="17" s="1"/>
  <c r="E126" i="17"/>
  <c r="F126" i="17" s="1"/>
  <c r="D104" i="17"/>
  <c r="D105" i="17"/>
  <c r="D106" i="17" s="1"/>
  <c r="D324" i="17" s="1"/>
  <c r="D99" i="8"/>
  <c r="D101" i="8" s="1"/>
  <c r="D98" i="8" s="1"/>
  <c r="D22" i="8"/>
  <c r="C174" i="17"/>
  <c r="C139" i="17"/>
  <c r="C209" i="17"/>
  <c r="C104" i="17"/>
  <c r="E61" i="17"/>
  <c r="F61" i="17" s="1"/>
  <c r="C62" i="17"/>
  <c r="D116" i="18"/>
  <c r="C50" i="17"/>
  <c r="E49" i="17"/>
  <c r="F49" i="17" s="1"/>
  <c r="C126" i="18"/>
  <c r="E126" i="18" s="1"/>
  <c r="C111" i="18"/>
  <c r="C110" i="18"/>
  <c r="E110" i="18" s="1"/>
  <c r="C124" i="18"/>
  <c r="C127" i="18"/>
  <c r="C115" i="18"/>
  <c r="C113" i="18"/>
  <c r="E113" i="18" s="1"/>
  <c r="C123" i="18"/>
  <c r="C109" i="18"/>
  <c r="C112" i="18"/>
  <c r="C125" i="18"/>
  <c r="E125" i="18" s="1"/>
  <c r="C121" i="18"/>
  <c r="C114" i="18"/>
  <c r="C122" i="18"/>
  <c r="C322" i="17"/>
  <c r="C211" i="17"/>
  <c r="C148" i="17"/>
  <c r="E145" i="18"/>
  <c r="D169" i="18"/>
  <c r="E169" i="18" s="1"/>
  <c r="D181" i="18"/>
  <c r="E181" i="18" s="1"/>
  <c r="E160" i="17"/>
  <c r="F160" i="17" s="1"/>
  <c r="E105" i="17"/>
  <c r="F105" i="17" s="1"/>
  <c r="C106" i="17"/>
  <c r="E252" i="18"/>
  <c r="D254" i="18"/>
  <c r="E254" i="18" s="1"/>
  <c r="E43" i="4"/>
  <c r="F43" i="4" s="1"/>
  <c r="E254" i="17"/>
  <c r="F254" i="17" s="1"/>
  <c r="D117" i="18"/>
  <c r="E112" i="18"/>
  <c r="F90" i="17"/>
  <c r="E90" i="17"/>
  <c r="F176" i="17"/>
  <c r="C183" i="17"/>
  <c r="C323" i="17"/>
  <c r="C102" i="18"/>
  <c r="E102" i="18" s="1"/>
  <c r="E96" i="18"/>
  <c r="E207" i="17"/>
  <c r="F207" i="17" s="1"/>
  <c r="D208" i="17"/>
  <c r="E258" i="18"/>
  <c r="C264" i="18"/>
  <c r="D128" i="18"/>
  <c r="C305" i="17"/>
  <c r="D310" i="18"/>
  <c r="E310" i="18" s="1"/>
  <c r="E306" i="18"/>
  <c r="E115" i="18"/>
  <c r="D267" i="18"/>
  <c r="D291" i="17"/>
  <c r="D289" i="17"/>
  <c r="E289" i="17" s="1"/>
  <c r="F289" i="17" s="1"/>
  <c r="E287" i="17"/>
  <c r="F287" i="17" s="1"/>
  <c r="F263" i="17"/>
  <c r="E95" i="18"/>
  <c r="C103" i="18"/>
  <c r="E103" i="18" s="1"/>
  <c r="E195" i="17"/>
  <c r="F195" i="17" s="1"/>
  <c r="D247" i="18"/>
  <c r="E247" i="18" s="1"/>
  <c r="E223" i="18"/>
  <c r="E42" i="12"/>
  <c r="F42" i="12" s="1"/>
  <c r="C49" i="12"/>
  <c r="C50" i="5"/>
  <c r="E114" i="18"/>
  <c r="E125" i="17"/>
  <c r="F125" i="17" s="1"/>
  <c r="C281" i="17"/>
  <c r="E282" i="17"/>
  <c r="F282" i="17"/>
  <c r="E35" i="5"/>
  <c r="F35" i="5" s="1"/>
  <c r="D43" i="5"/>
  <c r="F75" i="4"/>
  <c r="E83" i="18"/>
  <c r="C196" i="17"/>
  <c r="E194" i="17"/>
  <c r="F194" i="17" s="1"/>
  <c r="C90" i="18"/>
  <c r="E90" i="18" s="1"/>
  <c r="E84" i="18"/>
  <c r="E124" i="18"/>
  <c r="E113" i="22"/>
  <c r="E56" i="22"/>
  <c r="E48" i="22"/>
  <c r="E38" i="22"/>
  <c r="E123" i="18"/>
  <c r="C263" i="18"/>
  <c r="E263" i="18" s="1"/>
  <c r="E259" i="18"/>
  <c r="E127" i="18"/>
  <c r="E111" i="18"/>
  <c r="C265" i="17"/>
  <c r="E266" i="17"/>
  <c r="F266" i="17" s="1"/>
  <c r="E138" i="17"/>
  <c r="F138" i="17" s="1"/>
  <c r="D139" i="17"/>
  <c r="D140" i="17"/>
  <c r="E272" i="17"/>
  <c r="F272" i="17" s="1"/>
  <c r="D273" i="17"/>
  <c r="E273" i="17" s="1"/>
  <c r="F273" i="17" s="1"/>
  <c r="C91" i="18" l="1"/>
  <c r="E162" i="17"/>
  <c r="F162" i="17" s="1"/>
  <c r="D323" i="17"/>
  <c r="E323" i="17" s="1"/>
  <c r="D183" i="17"/>
  <c r="E183" i="17" s="1"/>
  <c r="F183" i="17" s="1"/>
  <c r="E139" i="17"/>
  <c r="F139" i="17" s="1"/>
  <c r="D113" i="17"/>
  <c r="E92" i="17"/>
  <c r="F92" i="17" s="1"/>
  <c r="E196" i="17"/>
  <c r="F196" i="17" s="1"/>
  <c r="E49" i="12"/>
  <c r="F49" i="12" s="1"/>
  <c r="E104" i="17"/>
  <c r="F104" i="17" s="1"/>
  <c r="C105" i="18"/>
  <c r="E105" i="18" s="1"/>
  <c r="E91" i="18"/>
  <c r="E208" i="17"/>
  <c r="F208" i="17" s="1"/>
  <c r="D209" i="17"/>
  <c r="E209" i="17" s="1"/>
  <c r="F209" i="17" s="1"/>
  <c r="D210" i="17"/>
  <c r="C128" i="18"/>
  <c r="E281" i="17"/>
  <c r="F281" i="17" s="1"/>
  <c r="E50" i="17"/>
  <c r="F50" i="17" s="1"/>
  <c r="D305" i="17"/>
  <c r="E291" i="17"/>
  <c r="F291" i="17" s="1"/>
  <c r="C309" i="17"/>
  <c r="C129" i="18"/>
  <c r="E174" i="17"/>
  <c r="F174" i="17" s="1"/>
  <c r="C266" i="18"/>
  <c r="E264" i="18"/>
  <c r="E128" i="18"/>
  <c r="C116" i="18"/>
  <c r="C117" i="18" s="1"/>
  <c r="E121" i="18"/>
  <c r="D141" i="17"/>
  <c r="E140" i="17"/>
  <c r="F140" i="17" s="1"/>
  <c r="D50" i="5"/>
  <c r="E50" i="5" s="1"/>
  <c r="E43" i="5"/>
  <c r="F43" i="5" s="1"/>
  <c r="E265" i="17"/>
  <c r="F265" i="17" s="1"/>
  <c r="F50" i="5"/>
  <c r="D268" i="18"/>
  <c r="D269" i="18"/>
  <c r="E122" i="18"/>
  <c r="F323" i="17"/>
  <c r="E109" i="18"/>
  <c r="F106" i="17"/>
  <c r="E106" i="17"/>
  <c r="C113" i="17"/>
  <c r="C324" i="17"/>
  <c r="C63" i="17"/>
  <c r="C70" i="17" s="1"/>
  <c r="E62" i="17"/>
  <c r="F62" i="17" s="1"/>
  <c r="D129" i="18"/>
  <c r="E129" i="18" s="1"/>
  <c r="C131" i="18" l="1"/>
  <c r="E117" i="18"/>
  <c r="E70" i="17"/>
  <c r="F70" i="17" s="1"/>
  <c r="D271" i="18"/>
  <c r="E210" i="17"/>
  <c r="F210" i="17" s="1"/>
  <c r="D211" i="17"/>
  <c r="E211" i="17" s="1"/>
  <c r="F211" i="17" s="1"/>
  <c r="E116" i="18"/>
  <c r="E266" i="18"/>
  <c r="C267" i="18"/>
  <c r="D131" i="18"/>
  <c r="E131" i="18" s="1"/>
  <c r="C310" i="17"/>
  <c r="E63" i="17"/>
  <c r="F63" i="17" s="1"/>
  <c r="E113" i="17"/>
  <c r="F113" i="17" s="1"/>
  <c r="C325" i="17"/>
  <c r="E324" i="17"/>
  <c r="F324" i="17" s="1"/>
  <c r="D148" i="17"/>
  <c r="E148" i="17" s="1"/>
  <c r="F148" i="17" s="1"/>
  <c r="D322" i="17"/>
  <c r="E141" i="17"/>
  <c r="F141" i="17" s="1"/>
  <c r="E305" i="17"/>
  <c r="F305" i="17" s="1"/>
  <c r="D309" i="17"/>
  <c r="E322" i="17" l="1"/>
  <c r="F322" i="17" s="1"/>
  <c r="D325" i="17"/>
  <c r="E325" i="17" s="1"/>
  <c r="F325" i="17" s="1"/>
  <c r="D310" i="17"/>
  <c r="E309" i="17"/>
  <c r="F309" i="17" s="1"/>
  <c r="C269" i="18"/>
  <c r="E269" i="18" s="1"/>
  <c r="C268" i="18"/>
  <c r="E267" i="18"/>
  <c r="C312" i="17"/>
  <c r="C271" i="18" l="1"/>
  <c r="E271" i="18" s="1"/>
  <c r="E268" i="18"/>
  <c r="D312" i="17"/>
  <c r="E310" i="17"/>
  <c r="F310" i="17" s="1"/>
  <c r="C313" i="17"/>
  <c r="C251" i="17" l="1"/>
  <c r="C314" i="17"/>
  <c r="C315" i="17"/>
  <c r="C256" i="17"/>
  <c r="D313" i="17"/>
  <c r="E312" i="17"/>
  <c r="F312" i="17" s="1"/>
  <c r="D314" i="17" l="1"/>
  <c r="D315" i="17"/>
  <c r="E315" i="17" s="1"/>
  <c r="D251" i="17"/>
  <c r="E251" i="17" s="1"/>
  <c r="F251" i="17" s="1"/>
  <c r="E313" i="17"/>
  <c r="F313" i="17" s="1"/>
  <c r="D256" i="17"/>
  <c r="C257" i="17"/>
  <c r="F315" i="17"/>
  <c r="C318" i="17"/>
  <c r="D257" i="17" l="1"/>
  <c r="E257" i="17" s="1"/>
  <c r="F257" i="17" s="1"/>
  <c r="E256" i="17"/>
  <c r="F256" i="17" s="1"/>
  <c r="D318" i="17"/>
  <c r="E318" i="17" s="1"/>
  <c r="F318" i="17" s="1"/>
  <c r="E314" i="17"/>
  <c r="F314" i="17" s="1"/>
</calcChain>
</file>

<file path=xl/sharedStrings.xml><?xml version="1.0" encoding="utf-8"?>
<sst xmlns="http://schemas.openxmlformats.org/spreadsheetml/2006/main" count="2335" uniqueCount="1010">
  <si>
    <t>LAWRENCE AND MEMORIAL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</si>
  <si>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</si>
  <si>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</si>
  <si>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</si>
  <si>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</si>
  <si>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</si>
  <si>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</si>
  <si>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</si>
  <si>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</si>
  <si>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</si>
  <si>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</si>
  <si>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</si>
  <si>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</si>
  <si>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</si>
  <si>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</si>
  <si>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</si>
  <si>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</si>
  <si>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</si>
  <si>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</si>
  <si>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</si>
  <si>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</si>
  <si>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</si>
  <si>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</si>
  <si>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</si>
  <si>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</si>
  <si>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</si>
  <si>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</si>
  <si>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</si>
  <si>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</si>
  <si>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</si>
  <si>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</si>
  <si>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</si>
  <si>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</si>
  <si>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</si>
  <si>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</si>
  <si>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</si>
  <si>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</si>
  <si>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</si>
  <si>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</si>
  <si>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</si>
  <si>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</si>
  <si>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</si>
  <si>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</si>
  <si>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</si>
  <si>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</si>
  <si>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</si>
  <si>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</si>
  <si>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</si>
  <si>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</si>
  <si>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</si>
  <si>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</si>
  <si>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</si>
  <si>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</si>
  <si>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</si>
  <si>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</si>
  <si>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</si>
  <si>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</si>
  <si>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</si>
  <si>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</si>
  <si>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</si>
  <si>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</si>
  <si>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</si>
  <si>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</si>
  <si>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</si>
  <si>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</si>
  <si>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</si>
  <si>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</si>
  <si>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</si>
  <si>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</si>
  <si>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</si>
  <si>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</si>
  <si>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</si>
  <si>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</si>
  <si>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</si>
  <si>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</si>
  <si>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</si>
  <si>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</si>
  <si>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</si>
  <si>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</si>
  <si>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</si>
  <si>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</si>
  <si>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</si>
  <si>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</si>
  <si>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</si>
  <si>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</si>
  <si>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</si>
  <si>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</si>
  <si>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</si>
  <si>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</si>
  <si>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</si>
  <si>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</si>
  <si>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</si>
  <si>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</si>
  <si>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</si>
  <si>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</si>
  <si>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</si>
  <si>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</si>
  <si>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</si>
  <si>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</si>
  <si>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</si>
  <si>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</si>
  <si>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</si>
  <si>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</si>
  <si>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</si>
  <si>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</si>
  <si>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</si>
  <si>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</si>
  <si>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</si>
  <si>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</si>
  <si>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</si>
  <si>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</si>
  <si>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</si>
  <si>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</si>
  <si>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</si>
  <si>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</si>
  <si>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</si>
  <si>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</si>
  <si>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</si>
  <si>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</si>
  <si>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</si>
  <si>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</si>
  <si>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</si>
  <si>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</si>
  <si>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</si>
  <si>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</si>
  <si>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</si>
  <si>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</si>
  <si>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</si>
  <si>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</si>
  <si>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</si>
  <si>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</si>
  <si>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</si>
  <si>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</si>
  <si>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</si>
  <si>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</si>
  <si>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</si>
  <si>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</si>
  <si>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</si>
  <si>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</si>
  <si>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</si>
  <si>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</si>
  <si>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</si>
  <si>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</si>
  <si>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</si>
  <si>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</si>
  <si>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</si>
  <si>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</si>
  <si>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</si>
  <si>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</si>
  <si>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</si>
  <si>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</si>
  <si>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</si>
  <si>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</si>
  <si>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</si>
  <si>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</si>
  <si>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</si>
  <si>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</si>
  <si>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</si>
  <si>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</si>
  <si>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</si>
  <si>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</si>
  <si>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</si>
  <si>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</si>
  <si>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</si>
  <si>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</si>
  <si>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</si>
  <si>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</si>
  <si>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</si>
  <si>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</si>
  <si>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</si>
  <si>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</si>
  <si>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</si>
  <si>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</si>
  <si>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</si>
  <si>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</si>
  <si>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</si>
  <si>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</si>
  <si>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</si>
  <si>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</si>
  <si>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</si>
  <si>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</si>
  <si>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</si>
  <si>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</si>
  <si>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</si>
  <si>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</si>
  <si>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</si>
  <si>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</si>
  <si>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</si>
  <si>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</si>
  <si>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</si>
  <si>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</si>
  <si>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</si>
  <si>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</si>
  <si>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</si>
  <si>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</si>
  <si>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</si>
  <si>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</si>
  <si>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</si>
  <si>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</si>
  <si>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</si>
  <si>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</si>
  <si>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</si>
  <si>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</si>
  <si>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</si>
  <si>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</si>
  <si>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</si>
  <si>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</si>
  <si>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</si>
  <si>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</si>
  <si>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</si>
  <si>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</si>
  <si>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</si>
  <si>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</si>
  <si>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</si>
  <si>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</si>
  <si>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</si>
  <si>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</si>
  <si>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</si>
  <si>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</si>
  <si>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</si>
  <si>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</si>
  <si>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</si>
  <si>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</si>
  <si>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</si>
  <si>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</si>
  <si>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</si>
  <si>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</si>
  <si>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</si>
  <si>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</si>
  <si>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</si>
  <si>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</si>
  <si>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</si>
  <si>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</si>
  <si>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</si>
  <si>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</si>
  <si>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</si>
  <si>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</si>
  <si>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</si>
  <si>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</si>
  <si>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</si>
  <si>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</si>
  <si>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</si>
  <si>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</si>
  <si>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</si>
  <si>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</si>
  <si>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</si>
  <si>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</si>
  <si>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</si>
  <si>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</si>
  <si>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</si>
  <si>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</si>
  <si>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</si>
  <si>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</si>
  <si>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</si>
  <si>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</si>
  <si>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</si>
  <si>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</si>
  <si>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</si>
  <si>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</si>
  <si>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</si>
  <si>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</si>
  <si>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</si>
  <si>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</si>
  <si>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</si>
  <si>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</si>
  <si>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</si>
  <si>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</si>
  <si>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</si>
  <si>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</si>
  <si>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</si>
  <si>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</si>
  <si>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</si>
  <si>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</si>
  <si>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</si>
  <si>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</si>
  <si>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</si>
  <si>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</si>
  <si>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</si>
  <si>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</si>
  <si>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</si>
  <si>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</si>
  <si>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</si>
  <si>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</si>
  <si>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</si>
  <si>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</si>
  <si>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</si>
  <si>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</si>
  <si>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</si>
  <si>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</si>
  <si>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</si>
  <si>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</si>
  <si>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</si>
  <si>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</si>
  <si>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</si>
  <si>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</si>
  <si>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</si>
  <si>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</si>
  <si>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</si>
  <si>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</si>
  <si>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</si>
  <si>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</si>
  <si>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</si>
  <si>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</si>
  <si>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</si>
  <si>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</si>
  <si>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</si>
  <si>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</si>
  <si>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</si>
  <si>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</si>
  <si>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</si>
  <si>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</si>
  <si>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</si>
  <si>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</si>
  <si>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</si>
  <si>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</si>
  <si>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</si>
  <si>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</si>
  <si>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</si>
  <si>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</si>
  <si>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</si>
  <si>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</si>
  <si>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</si>
  <si>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</si>
  <si>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</si>
  <si>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</si>
  <si>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</si>
  <si>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</si>
  <si>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</si>
  <si>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</si>
  <si>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</si>
  <si>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</si>
  <si>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</si>
  <si>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</si>
  <si>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</si>
  <si>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</si>
  <si>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</si>
  <si>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</si>
  <si>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</si>
  <si>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</si>
  <si>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</si>
  <si>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</si>
  <si>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</si>
  <si>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</si>
  <si>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</si>
  <si>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</si>
  <si>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</si>
  <si>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</si>
  <si>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</si>
  <si>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</si>
  <si>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</si>
  <si>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</si>
  <si>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</si>
  <si>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</si>
  <si>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</si>
  <si>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</si>
  <si>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</si>
  <si>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</si>
  <si>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</si>
  <si>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</si>
  <si>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</si>
  <si>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</si>
  <si>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</si>
  <si>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</si>
  <si>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</si>
  <si>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</si>
  <si>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</si>
  <si>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</si>
  <si>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</si>
  <si>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</si>
  <si>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</si>
  <si>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</si>
  <si>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</si>
  <si>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</si>
  <si>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</si>
  <si>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</si>
  <si>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</si>
  <si>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</si>
  <si>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</si>
  <si>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</si>
  <si>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</si>
  <si>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</si>
  <si>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</si>
  <si>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</si>
  <si>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</si>
  <si>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</si>
  <si>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</si>
  <si>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</si>
  <si>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</si>
  <si>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</si>
  <si>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</si>
  <si>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</si>
  <si>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</si>
  <si>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</si>
  <si>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</si>
  <si>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</si>
  <si>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</si>
  <si>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</si>
  <si>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</si>
  <si>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</si>
  <si>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</si>
  <si>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</si>
  <si>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</si>
  <si>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</si>
  <si>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</si>
  <si>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</si>
  <si>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</si>
  <si>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</si>
  <si>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</si>
  <si>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</si>
  <si>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</si>
  <si>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</si>
  <si>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</si>
  <si>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</si>
  <si>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</si>
  <si>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</si>
  <si>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</si>
  <si>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</si>
  <si>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</si>
  <si>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</si>
  <si>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</si>
  <si>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</si>
  <si>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</si>
  <si>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</si>
  <si>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</si>
  <si>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</si>
  <si>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</si>
  <si>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</si>
  <si>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</si>
  <si>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</si>
  <si>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</si>
  <si>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</si>
  <si>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</si>
  <si>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</si>
  <si>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</si>
  <si>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</si>
  <si>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</si>
  <si>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</si>
  <si>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</si>
  <si>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</si>
  <si>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</si>
  <si>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</si>
  <si>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</si>
  <si>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</si>
  <si>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</si>
  <si>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</si>
  <si>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</si>
  <si>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</si>
  <si>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</si>
  <si>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</si>
  <si>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</si>
  <si>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</si>
  <si>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</si>
  <si>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</si>
  <si>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</si>
  <si>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</si>
  <si>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</si>
  <si>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</si>
  <si>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</si>
  <si>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</si>
  <si>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</si>
  <si>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</si>
  <si>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</si>
  <si>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</si>
  <si>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</si>
  <si>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</si>
  <si>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</si>
  <si>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</si>
  <si>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</si>
  <si>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</si>
  <si>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</si>
  <si>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</si>
  <si>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</si>
  <si>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</si>
  <si>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</si>
  <si>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</si>
  <si>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</si>
  <si>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</si>
  <si>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</si>
  <si>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</si>
  <si>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</si>
  <si>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</si>
  <si>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</si>
  <si>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</si>
  <si>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</si>
  <si>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</si>
  <si>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</si>
  <si>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</si>
  <si>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</si>
  <si>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</si>
  <si>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</si>
  <si>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</si>
  <si>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</si>
  <si>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</si>
  <si>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</si>
  <si>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</si>
  <si>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</si>
  <si>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</si>
  <si>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</si>
  <si>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</si>
  <si>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</si>
  <si>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LAWRENCE +MEMORIAL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</si>
  <si>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</si>
  <si>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</si>
  <si>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</si>
  <si>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</si>
  <si>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</si>
  <si>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</si>
  <si>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</si>
  <si>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</si>
  <si>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</si>
  <si>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</si>
  <si>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</si>
  <si>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</si>
  <si>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</si>
  <si>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</si>
  <si>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</si>
  <si>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</si>
  <si>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</si>
  <si>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</si>
  <si>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</si>
  <si>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</si>
  <si>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</si>
  <si>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</si>
  <si>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</si>
  <si>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</si>
  <si>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</si>
  <si>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</si>
  <si>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</si>
  <si>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</si>
  <si>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</si>
  <si>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</si>
  <si>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</si>
  <si>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</si>
  <si>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</si>
  <si>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</si>
  <si>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</si>
  <si>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</si>
  <si>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</si>
  <si>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</si>
  <si>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</si>
  <si>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</si>
  <si>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</si>
  <si>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</si>
  <si>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</si>
  <si>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</si>
  <si>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</si>
  <si>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</si>
  <si>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</si>
  <si>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</si>
  <si>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</si>
  <si>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</si>
  <si>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</si>
  <si>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</si>
  <si>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</si>
  <si>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</si>
  <si>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</si>
  <si>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</si>
  <si>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</si>
  <si>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</si>
  <si>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</si>
  <si>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</si>
  <si>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</si>
  <si>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</si>
  <si>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</si>
  <si>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</si>
  <si>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</si>
  <si>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</si>
  <si>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</si>
  <si>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</si>
  <si>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</si>
  <si>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</si>
  <si>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</si>
  <si>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</si>
  <si>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</si>
  <si>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</si>
  <si>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</si>
  <si>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</si>
  <si>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</si>
  <si>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</si>
  <si>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</si>
  <si>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</si>
  <si>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</si>
  <si>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</si>
  <si>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</si>
  <si>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</si>
  <si>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</si>
  <si>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</si>
  <si>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</si>
  <si>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</si>
  <si>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</si>
  <si>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</si>
  <si>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</si>
  <si>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</si>
  <si>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</si>
  <si>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</si>
  <si>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</si>
  <si>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</si>
  <si>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</si>
  <si>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</si>
  <si>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</si>
  <si>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</si>
  <si>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</si>
  <si>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</si>
  <si>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</si>
  <si>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</si>
  <si>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</si>
  <si>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</si>
  <si>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</si>
  <si>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</si>
  <si>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</si>
  <si>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</si>
  <si>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</si>
  <si>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</si>
  <si>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</si>
  <si>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</si>
  <si>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</si>
  <si>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</si>
  <si>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</si>
  <si>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</si>
  <si>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</si>
  <si>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</si>
  <si>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L&amp;M 365 Montauk Hospital</t>
  </si>
  <si>
    <t>Pequot Health Center Groton</t>
  </si>
  <si>
    <t>Total Outpatient Surgical Procedures(A)</t>
  </si>
  <si>
    <t>L&amp;M 365 Montauk Ave Hospital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</si>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</sst>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activeCell="A2" sqref="A2:F2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13348901</v>
      </c>
      <c r="D13" s="22">
        <v>3965054</v>
      </c>
      <c r="E13" s="22">
        <f t="shared" ref="E13:E22" si="0">D13-C13</f>
        <v>-9383847</v>
      </c>
      <c r="F13" s="23">
        <f t="shared" ref="F13:F22" si="1">IF(C13=0,0,E13/C13)</f>
        <v>-0.70296775742062956</v>
      </c>
    </row>
    <row r="14" spans="1:8" ht="24" customHeight="1" x14ac:dyDescent="0.2">
      <c r="A14" s="20">
        <v>2</v>
      </c>
      <c r="B14" s="21" t="s">
        <v>17</v>
      </c>
      <c r="C14" s="22">
        <v>107365636</v>
      </c>
      <c r="D14" s="22">
        <v>92026239</v>
      </c>
      <c r="E14" s="22">
        <f t="shared" si="0"/>
        <v>-15339397</v>
      </c>
      <c r="F14" s="23">
        <f t="shared" si="1"/>
        <v>-0.1428706387954522</v>
      </c>
    </row>
    <row r="15" spans="1:8" ht="24" customHeight="1" x14ac:dyDescent="0.2">
      <c r="A15" s="20">
        <v>3</v>
      </c>
      <c r="B15" s="21" t="s">
        <v>18</v>
      </c>
      <c r="C15" s="22">
        <v>37925784</v>
      </c>
      <c r="D15" s="22">
        <v>35197755</v>
      </c>
      <c r="E15" s="22">
        <f t="shared" si="0"/>
        <v>-2728029</v>
      </c>
      <c r="F15" s="23">
        <f t="shared" si="1"/>
        <v>-7.1930721326683711E-2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2065142</v>
      </c>
      <c r="D17" s="22">
        <v>2063848</v>
      </c>
      <c r="E17" s="22">
        <f t="shared" si="0"/>
        <v>-1294</v>
      </c>
      <c r="F17" s="23">
        <f t="shared" si="1"/>
        <v>-6.2659129493274556E-4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6194355</v>
      </c>
      <c r="D19" s="22">
        <v>6339039</v>
      </c>
      <c r="E19" s="22">
        <f t="shared" si="0"/>
        <v>144684</v>
      </c>
      <c r="F19" s="23">
        <f t="shared" si="1"/>
        <v>2.3357395564187072E-2</v>
      </c>
    </row>
    <row r="20" spans="1:11" ht="24" customHeight="1" x14ac:dyDescent="0.2">
      <c r="A20" s="20">
        <v>8</v>
      </c>
      <c r="B20" s="21" t="s">
        <v>23</v>
      </c>
      <c r="C20" s="22">
        <v>3125348</v>
      </c>
      <c r="D20" s="22">
        <v>2228771</v>
      </c>
      <c r="E20" s="22">
        <f t="shared" si="0"/>
        <v>-896577</v>
      </c>
      <c r="F20" s="23">
        <f t="shared" si="1"/>
        <v>-0.28687269385681208</v>
      </c>
    </row>
    <row r="21" spans="1:11" ht="24" customHeight="1" x14ac:dyDescent="0.2">
      <c r="A21" s="20">
        <v>9</v>
      </c>
      <c r="B21" s="21" t="s">
        <v>24</v>
      </c>
      <c r="C21" s="22">
        <v>5435867</v>
      </c>
      <c r="D21" s="22">
        <v>4774484</v>
      </c>
      <c r="E21" s="22">
        <f t="shared" si="0"/>
        <v>-661383</v>
      </c>
      <c r="F21" s="23">
        <f t="shared" si="1"/>
        <v>-0.12167019538925437</v>
      </c>
    </row>
    <row r="22" spans="1:11" ht="24" customHeight="1" x14ac:dyDescent="0.25">
      <c r="A22" s="24"/>
      <c r="B22" s="25" t="s">
        <v>25</v>
      </c>
      <c r="C22" s="26">
        <f>SUM(C13:C21)</f>
        <v>175461033</v>
      </c>
      <c r="D22" s="26">
        <f>SUM(D13:D21)</f>
        <v>146595190</v>
      </c>
      <c r="E22" s="26">
        <f t="shared" si="0"/>
        <v>-28865843</v>
      </c>
      <c r="F22" s="27">
        <f t="shared" si="1"/>
        <v>-0.1645142656831389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926080</v>
      </c>
      <c r="D25" s="22">
        <v>25563</v>
      </c>
      <c r="E25" s="22">
        <f>D25-C25</f>
        <v>-900517</v>
      </c>
      <c r="F25" s="23">
        <f>IF(C25=0,0,E25/C25)</f>
        <v>-0.97239655321354523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21590850</v>
      </c>
      <c r="D28" s="22">
        <v>23128435</v>
      </c>
      <c r="E28" s="22">
        <f>D28-C28</f>
        <v>1537585</v>
      </c>
      <c r="F28" s="23">
        <f>IF(C28=0,0,E28/C28)</f>
        <v>7.1214658061169431E-2</v>
      </c>
    </row>
    <row r="29" spans="1:11" ht="24" customHeight="1" x14ac:dyDescent="0.25">
      <c r="A29" s="24"/>
      <c r="B29" s="25" t="s">
        <v>32</v>
      </c>
      <c r="C29" s="26">
        <f>SUM(C25:C28)</f>
        <v>22516930</v>
      </c>
      <c r="D29" s="26">
        <f>SUM(D25:D28)</f>
        <v>23153998</v>
      </c>
      <c r="E29" s="26">
        <f>D29-C29</f>
        <v>637068</v>
      </c>
      <c r="F29" s="27">
        <f>IF(C29=0,0,E29/C29)</f>
        <v>2.829284453964195E-2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21783378</v>
      </c>
      <c r="D33" s="22">
        <v>36989211</v>
      </c>
      <c r="E33" s="22">
        <f>D33-C33</f>
        <v>15205833</v>
      </c>
      <c r="F33" s="23">
        <f>IF(C33=0,0,E33/C33)</f>
        <v>0.69804752045343932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432048550</v>
      </c>
      <c r="D36" s="22">
        <v>440717310</v>
      </c>
      <c r="E36" s="22">
        <f>D36-C36</f>
        <v>8668760</v>
      </c>
      <c r="F36" s="23">
        <f>IF(C36=0,0,E36/C36)</f>
        <v>2.0064319160427689E-2</v>
      </c>
    </row>
    <row r="37" spans="1:8" ht="24" customHeight="1" x14ac:dyDescent="0.2">
      <c r="A37" s="20">
        <v>2</v>
      </c>
      <c r="B37" s="21" t="s">
        <v>39</v>
      </c>
      <c r="C37" s="22">
        <v>283857350</v>
      </c>
      <c r="D37" s="22">
        <v>307044724</v>
      </c>
      <c r="E37" s="22">
        <f>D37-C37</f>
        <v>23187374</v>
      </c>
      <c r="F37" s="23">
        <f>IF(C37=0,0,E37/C37)</f>
        <v>8.1686713414325887E-2</v>
      </c>
    </row>
    <row r="38" spans="1:8" ht="24" customHeight="1" x14ac:dyDescent="0.25">
      <c r="A38" s="24"/>
      <c r="B38" s="25" t="s">
        <v>40</v>
      </c>
      <c r="C38" s="26">
        <f>C36-C37</f>
        <v>148191200</v>
      </c>
      <c r="D38" s="26">
        <f>D36-D37</f>
        <v>133672586</v>
      </c>
      <c r="E38" s="26">
        <f>D38-C38</f>
        <v>-14518614</v>
      </c>
      <c r="F38" s="27">
        <f>IF(C38=0,0,E38/C38)</f>
        <v>-9.7972173786297703E-2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2785773</v>
      </c>
      <c r="D40" s="22">
        <v>9718135</v>
      </c>
      <c r="E40" s="22">
        <f>D40-C40</f>
        <v>6932362</v>
      </c>
      <c r="F40" s="23">
        <f>IF(C40=0,0,E40/C40)</f>
        <v>2.4884877554632054</v>
      </c>
    </row>
    <row r="41" spans="1:8" ht="24" customHeight="1" x14ac:dyDescent="0.25">
      <c r="A41" s="24"/>
      <c r="B41" s="25" t="s">
        <v>42</v>
      </c>
      <c r="C41" s="26">
        <f>+C38+C40</f>
        <v>150976973</v>
      </c>
      <c r="D41" s="26">
        <f>+D38+D40</f>
        <v>143390721</v>
      </c>
      <c r="E41" s="26">
        <f>D41-C41</f>
        <v>-7586252</v>
      </c>
      <c r="F41" s="27">
        <f>IF(C41=0,0,E41/C41)</f>
        <v>-5.0247742084483307E-2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370738314</v>
      </c>
      <c r="D43" s="26">
        <f>D22+D29+D31+D32+D33+D41</f>
        <v>350129120</v>
      </c>
      <c r="E43" s="26">
        <f>D43-C43</f>
        <v>-20609194</v>
      </c>
      <c r="F43" s="27">
        <f>IF(C43=0,0,E43/C43)</f>
        <v>-5.5589598435731143E-2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43009002</v>
      </c>
      <c r="D49" s="22">
        <v>41254457</v>
      </c>
      <c r="E49" s="22">
        <f t="shared" ref="E49:E56" si="2">D49-C49</f>
        <v>-1754545</v>
      </c>
      <c r="F49" s="23">
        <f t="shared" ref="F49:F56" si="3">IF(C49=0,0,E49/C49)</f>
        <v>-4.0794831742433826E-2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4908525</v>
      </c>
      <c r="D50" s="22">
        <v>2526943</v>
      </c>
      <c r="E50" s="22">
        <f t="shared" si="2"/>
        <v>-2381582</v>
      </c>
      <c r="F50" s="23">
        <f t="shared" si="3"/>
        <v>-0.48519300604560434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6711203</v>
      </c>
      <c r="D51" s="22">
        <v>7944521</v>
      </c>
      <c r="E51" s="22">
        <f t="shared" si="2"/>
        <v>1233318</v>
      </c>
      <c r="F51" s="23">
        <f t="shared" si="3"/>
        <v>0.18377003347983961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2512703</v>
      </c>
      <c r="D52" s="22">
        <v>2860336</v>
      </c>
      <c r="E52" s="22">
        <f t="shared" si="2"/>
        <v>347633</v>
      </c>
      <c r="F52" s="23">
        <f t="shared" si="3"/>
        <v>0.13835021488811053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5495740</v>
      </c>
      <c r="D53" s="22">
        <v>5729505</v>
      </c>
      <c r="E53" s="22">
        <f t="shared" si="2"/>
        <v>233765</v>
      </c>
      <c r="F53" s="23">
        <f t="shared" si="3"/>
        <v>4.2535673084971269E-2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0</v>
      </c>
      <c r="D55" s="22">
        <v>0</v>
      </c>
      <c r="E55" s="22">
        <f t="shared" si="2"/>
        <v>0</v>
      </c>
      <c r="F55" s="23">
        <f t="shared" si="3"/>
        <v>0</v>
      </c>
    </row>
    <row r="56" spans="1:6" ht="24" customHeight="1" x14ac:dyDescent="0.25">
      <c r="A56" s="24"/>
      <c r="B56" s="25" t="s">
        <v>54</v>
      </c>
      <c r="C56" s="26">
        <f>SUM(C49:C55)</f>
        <v>62637173</v>
      </c>
      <c r="D56" s="26">
        <f>SUM(D49:D55)</f>
        <v>60315762</v>
      </c>
      <c r="E56" s="26">
        <f t="shared" si="2"/>
        <v>-2321411</v>
      </c>
      <c r="F56" s="27">
        <f t="shared" si="3"/>
        <v>-3.7061235186971159E-2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102938747</v>
      </c>
      <c r="D59" s="22">
        <v>94968208</v>
      </c>
      <c r="E59" s="22">
        <f>D59-C59</f>
        <v>-7970539</v>
      </c>
      <c r="F59" s="23">
        <f>IF(C59=0,0,E59/C59)</f>
        <v>-7.7429920533227392E-2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102938747</v>
      </c>
      <c r="D61" s="26">
        <f>SUM(D59:D60)</f>
        <v>94968208</v>
      </c>
      <c r="E61" s="26">
        <f>D61-C61</f>
        <v>-7970539</v>
      </c>
      <c r="F61" s="27">
        <f>IF(C61=0,0,E61/C61)</f>
        <v>-7.7429920533227392E-2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52989394</v>
      </c>
      <c r="D63" s="22">
        <v>55475184</v>
      </c>
      <c r="E63" s="22">
        <f>D63-C63</f>
        <v>2485790</v>
      </c>
      <c r="F63" s="23">
        <f>IF(C63=0,0,E63/C63)</f>
        <v>4.691108564102469E-2</v>
      </c>
    </row>
    <row r="64" spans="1:6" ht="24" customHeight="1" x14ac:dyDescent="0.2">
      <c r="A64" s="20">
        <v>4</v>
      </c>
      <c r="B64" s="21" t="s">
        <v>60</v>
      </c>
      <c r="C64" s="22">
        <v>23691278</v>
      </c>
      <c r="D64" s="22">
        <v>26768140</v>
      </c>
      <c r="E64" s="22">
        <f>D64-C64</f>
        <v>3076862</v>
      </c>
      <c r="F64" s="23">
        <f>IF(C64=0,0,E64/C64)</f>
        <v>0.12987319637209946</v>
      </c>
    </row>
    <row r="65" spans="1:6" ht="24" customHeight="1" x14ac:dyDescent="0.25">
      <c r="A65" s="24"/>
      <c r="B65" s="25" t="s">
        <v>61</v>
      </c>
      <c r="C65" s="26">
        <f>SUM(C61:C64)</f>
        <v>179619419</v>
      </c>
      <c r="D65" s="26">
        <f>SUM(D61:D64)</f>
        <v>177211532</v>
      </c>
      <c r="E65" s="26">
        <f>D65-C65</f>
        <v>-2407887</v>
      </c>
      <c r="F65" s="27">
        <f>IF(C65=0,0,E65/C65)</f>
        <v>-1.3405493756774706E-2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103558083</v>
      </c>
      <c r="D70" s="22">
        <v>86150497</v>
      </c>
      <c r="E70" s="22">
        <f>D70-C70</f>
        <v>-17407586</v>
      </c>
      <c r="F70" s="23">
        <f>IF(C70=0,0,E70/C70)</f>
        <v>-0.16809490380388753</v>
      </c>
    </row>
    <row r="71" spans="1:6" ht="24" customHeight="1" x14ac:dyDescent="0.2">
      <c r="A71" s="20">
        <v>2</v>
      </c>
      <c r="B71" s="21" t="s">
        <v>65</v>
      </c>
      <c r="C71" s="22">
        <v>18960042</v>
      </c>
      <c r="D71" s="22">
        <v>20326874</v>
      </c>
      <c r="E71" s="22">
        <f>D71-C71</f>
        <v>1366832</v>
      </c>
      <c r="F71" s="23">
        <f>IF(C71=0,0,E71/C71)</f>
        <v>7.2090135665311292E-2</v>
      </c>
    </row>
    <row r="72" spans="1:6" ht="24" customHeight="1" x14ac:dyDescent="0.2">
      <c r="A72" s="20">
        <v>3</v>
      </c>
      <c r="B72" s="21" t="s">
        <v>66</v>
      </c>
      <c r="C72" s="22">
        <v>5963597</v>
      </c>
      <c r="D72" s="22">
        <v>6124455</v>
      </c>
      <c r="E72" s="22">
        <f>D72-C72</f>
        <v>160858</v>
      </c>
      <c r="F72" s="23">
        <f>IF(C72=0,0,E72/C72)</f>
        <v>2.6973318284250262E-2</v>
      </c>
    </row>
    <row r="73" spans="1:6" ht="24" customHeight="1" x14ac:dyDescent="0.25">
      <c r="A73" s="20"/>
      <c r="B73" s="25" t="s">
        <v>67</v>
      </c>
      <c r="C73" s="26">
        <f>SUM(C70:C72)</f>
        <v>128481722</v>
      </c>
      <c r="D73" s="26">
        <f>SUM(D70:D72)</f>
        <v>112601826</v>
      </c>
      <c r="E73" s="26">
        <f>D73-C73</f>
        <v>-15879896</v>
      </c>
      <c r="F73" s="27">
        <f>IF(C73=0,0,E73/C73)</f>
        <v>-0.12359653772386395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370738314</v>
      </c>
      <c r="D75" s="26">
        <f>D56+D65+D67+D73</f>
        <v>350129120</v>
      </c>
      <c r="E75" s="26">
        <f>D75-C75</f>
        <v>-20609194</v>
      </c>
      <c r="F75" s="27">
        <f>IF(C75=0,0,E75/C75)</f>
        <v>-5.5589598435731143E-2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9" fitToHeight="0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433230714</v>
      </c>
      <c r="D11" s="76">
        <v>438782073</v>
      </c>
      <c r="E11" s="76">
        <v>354943516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21671490</v>
      </c>
      <c r="D12" s="185">
        <v>21207462</v>
      </c>
      <c r="E12" s="185">
        <v>31972697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454902204</v>
      </c>
      <c r="D13" s="76">
        <f>+D11+D12</f>
        <v>459989535</v>
      </c>
      <c r="E13" s="76">
        <f>+E11+E12</f>
        <v>386916213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473587676</v>
      </c>
      <c r="D14" s="185">
        <v>470286422</v>
      </c>
      <c r="E14" s="185">
        <v>409151406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-18685472</v>
      </c>
      <c r="D15" s="76">
        <f>+D13-D14</f>
        <v>-10296887</v>
      </c>
      <c r="E15" s="76">
        <f>+E13-E14</f>
        <v>-22235193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15297404</v>
      </c>
      <c r="D16" s="185">
        <v>11832973</v>
      </c>
      <c r="E16" s="185">
        <v>2398311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-3388068</v>
      </c>
      <c r="D17" s="76">
        <f>D15+D16</f>
        <v>1536086</v>
      </c>
      <c r="E17" s="76">
        <f>E15+E16</f>
        <v>-19836882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-3.9739446146029117E-2</v>
      </c>
      <c r="D20" s="189">
        <f>IF(+D27=0,0,+D24/+D27)</f>
        <v>-2.1823645174638424E-2</v>
      </c>
      <c r="E20" s="189">
        <f>IF(+E27=0,0,+E24/+E27)</f>
        <v>-5.711370018139883E-2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3.2533851027795838E-2</v>
      </c>
      <c r="D21" s="189">
        <f>IF(+D27=0,0,+D26/+D27)</f>
        <v>2.5079288926165431E-2</v>
      </c>
      <c r="E21" s="189">
        <f>IF(+E27=0,0,+E26/+E27)</f>
        <v>6.1603429930089122E-3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-7.205595118233276E-3</v>
      </c>
      <c r="D22" s="189">
        <f>IF(+D27=0,0,+D28/+D27)</f>
        <v>3.2556437515270042E-3</v>
      </c>
      <c r="E22" s="189">
        <f>IF(+E27=0,0,+E28/+E27)</f>
        <v>-5.0953357188389919E-2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-18685472</v>
      </c>
      <c r="D24" s="76">
        <f>+D15</f>
        <v>-10296887</v>
      </c>
      <c r="E24" s="76">
        <f>+E15</f>
        <v>-22235193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454902204</v>
      </c>
      <c r="D25" s="76">
        <f>+D13</f>
        <v>459989535</v>
      </c>
      <c r="E25" s="76">
        <f>+E13</f>
        <v>386916213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15297404</v>
      </c>
      <c r="D26" s="76">
        <f>+D16</f>
        <v>11832973</v>
      </c>
      <c r="E26" s="76">
        <f>+E16</f>
        <v>2398311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470199608</v>
      </c>
      <c r="D27" s="76">
        <f>SUM(D25:D26)</f>
        <v>471822508</v>
      </c>
      <c r="E27" s="76">
        <f>SUM(E25:E26)</f>
        <v>389314524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-3388068</v>
      </c>
      <c r="D28" s="76">
        <f>+D17</f>
        <v>1536086</v>
      </c>
      <c r="E28" s="76">
        <f>+E17</f>
        <v>-19836882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241902500</v>
      </c>
      <c r="D31" s="76">
        <v>208910764</v>
      </c>
      <c r="E31" s="76">
        <v>178490102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282377005</v>
      </c>
      <c r="D32" s="76">
        <v>244531317</v>
      </c>
      <c r="E32" s="76">
        <v>205187934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-3598601</v>
      </c>
      <c r="D33" s="76">
        <f>+D32-C32</f>
        <v>-37845688</v>
      </c>
      <c r="E33" s="76">
        <f>+E32-D32</f>
        <v>-39343383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0.98740000000000006</v>
      </c>
      <c r="D34" s="193">
        <f>IF(C32=0,0,+D33/C32)</f>
        <v>-0.13402538921326118</v>
      </c>
      <c r="E34" s="193">
        <f>IF(D32=0,0,+E33/D32)</f>
        <v>-0.16089302377576448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3.5333922495585575</v>
      </c>
      <c r="D38" s="338">
        <f>IF(+D40=0,0,+D39/+D40)</f>
        <v>3.4268680182797122</v>
      </c>
      <c r="E38" s="338">
        <f>IF(+E40=0,0,+E39/+E40)</f>
        <v>3.2909458278960022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267628231</v>
      </c>
      <c r="D39" s="341">
        <v>256360011</v>
      </c>
      <c r="E39" s="341">
        <v>227228584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75742576</v>
      </c>
      <c r="D40" s="341">
        <v>74808837</v>
      </c>
      <c r="E40" s="341">
        <v>69046589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164.37904331240418</v>
      </c>
      <c r="D42" s="343">
        <f>IF((D48/365)=0,0,+D45/(D48/365))</f>
        <v>154.27881346200127</v>
      </c>
      <c r="E42" s="343">
        <f>IF((E48/365)=0,0,+E45/(E48/365))</f>
        <v>161.39949374599723</v>
      </c>
    </row>
    <row r="43" spans="1:14" ht="24" customHeight="1" x14ac:dyDescent="0.2">
      <c r="A43" s="339">
        <v>5</v>
      </c>
      <c r="B43" s="344" t="s">
        <v>16</v>
      </c>
      <c r="C43" s="345">
        <v>16480529</v>
      </c>
      <c r="D43" s="345">
        <v>24264612</v>
      </c>
      <c r="E43" s="345">
        <v>14026653</v>
      </c>
    </row>
    <row r="44" spans="1:14" ht="24" customHeight="1" x14ac:dyDescent="0.2">
      <c r="A44" s="339">
        <v>6</v>
      </c>
      <c r="B44" s="346" t="s">
        <v>17</v>
      </c>
      <c r="C44" s="345">
        <v>184426039</v>
      </c>
      <c r="D44" s="345">
        <v>162278643</v>
      </c>
      <c r="E44" s="345">
        <v>156268365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200906568</v>
      </c>
      <c r="D45" s="341">
        <f>+D43+D44</f>
        <v>186543255</v>
      </c>
      <c r="E45" s="341">
        <f>+E43+E44</f>
        <v>170295018</v>
      </c>
    </row>
    <row r="46" spans="1:14" ht="24" customHeight="1" x14ac:dyDescent="0.2">
      <c r="A46" s="339">
        <v>8</v>
      </c>
      <c r="B46" s="340" t="s">
        <v>334</v>
      </c>
      <c r="C46" s="341">
        <f>+C14</f>
        <v>473587676</v>
      </c>
      <c r="D46" s="341">
        <f>+D14</f>
        <v>470286422</v>
      </c>
      <c r="E46" s="341">
        <f>+E14</f>
        <v>409151406</v>
      </c>
    </row>
    <row r="47" spans="1:14" ht="24" customHeight="1" x14ac:dyDescent="0.2">
      <c r="A47" s="339">
        <v>9</v>
      </c>
      <c r="B47" s="340" t="s">
        <v>356</v>
      </c>
      <c r="C47" s="341">
        <v>27479122</v>
      </c>
      <c r="D47" s="341">
        <v>28953704</v>
      </c>
      <c r="E47" s="341">
        <v>24034451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446108554</v>
      </c>
      <c r="D48" s="341">
        <f>+D46-D47</f>
        <v>441332718</v>
      </c>
      <c r="E48" s="341">
        <f>+E46-E47</f>
        <v>385116955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33.889856721931309</v>
      </c>
      <c r="D50" s="350">
        <f>IF((D55/365)=0,0,+D54/(D55/365))</f>
        <v>35.183634359647144</v>
      </c>
      <c r="E50" s="350">
        <f>IF((E55/365)=0,0,+E54/(E55/365))</f>
        <v>32.59764774798704</v>
      </c>
    </row>
    <row r="51" spans="1:5" ht="24" customHeight="1" x14ac:dyDescent="0.2">
      <c r="A51" s="339">
        <v>12</v>
      </c>
      <c r="B51" s="344" t="s">
        <v>359</v>
      </c>
      <c r="C51" s="351">
        <v>47482954</v>
      </c>
      <c r="D51" s="351">
        <v>50471594</v>
      </c>
      <c r="E51" s="351">
        <v>39781581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7257949</v>
      </c>
      <c r="D53" s="341">
        <v>8175846</v>
      </c>
      <c r="E53" s="341">
        <v>8082064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40225005</v>
      </c>
      <c r="D54" s="352">
        <f>+D51+D52-D53</f>
        <v>42295748</v>
      </c>
      <c r="E54" s="352">
        <f>+E51+E52-E53</f>
        <v>31699517</v>
      </c>
    </row>
    <row r="55" spans="1:5" ht="24" customHeight="1" x14ac:dyDescent="0.2">
      <c r="A55" s="339">
        <v>16</v>
      </c>
      <c r="B55" s="340" t="s">
        <v>75</v>
      </c>
      <c r="C55" s="341">
        <f>+C11</f>
        <v>433230714</v>
      </c>
      <c r="D55" s="341">
        <f>+D11</f>
        <v>438782073</v>
      </c>
      <c r="E55" s="341">
        <f>+E11</f>
        <v>354943516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61.971553766709441</v>
      </c>
      <c r="D57" s="355">
        <f>IF((D61/365)=0,0,+D58/(D61/365))</f>
        <v>61.869932573183938</v>
      </c>
      <c r="E57" s="355">
        <f>IF((E61/365)=0,0,+E58/(E61/365))</f>
        <v>65.439873933880691</v>
      </c>
    </row>
    <row r="58" spans="1:5" ht="24" customHeight="1" x14ac:dyDescent="0.2">
      <c r="A58" s="339">
        <v>18</v>
      </c>
      <c r="B58" s="340" t="s">
        <v>54</v>
      </c>
      <c r="C58" s="353">
        <f>+C40</f>
        <v>75742576</v>
      </c>
      <c r="D58" s="353">
        <f>+D40</f>
        <v>74808837</v>
      </c>
      <c r="E58" s="353">
        <f>+E40</f>
        <v>69046589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473587676</v>
      </c>
      <c r="D59" s="353">
        <f t="shared" si="0"/>
        <v>470286422</v>
      </c>
      <c r="E59" s="353">
        <f t="shared" si="0"/>
        <v>409151406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27479122</v>
      </c>
      <c r="D60" s="356">
        <f t="shared" si="0"/>
        <v>28953704</v>
      </c>
      <c r="E60" s="356">
        <f t="shared" si="0"/>
        <v>24034451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446108554</v>
      </c>
      <c r="D61" s="353">
        <f>+D59-D60</f>
        <v>441332718</v>
      </c>
      <c r="E61" s="353">
        <f>+E59-E60</f>
        <v>385116955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52.728091172456274</v>
      </c>
      <c r="D65" s="357">
        <f>IF(D67=0,0,(D66/D67)*100)</f>
        <v>48.195184609770493</v>
      </c>
      <c r="E65" s="357">
        <f>IF(E67=0,0,(E66/E67)*100)</f>
        <v>44.951479089978804</v>
      </c>
    </row>
    <row r="66" spans="1:5" ht="24" customHeight="1" x14ac:dyDescent="0.2">
      <c r="A66" s="339">
        <v>2</v>
      </c>
      <c r="B66" s="340" t="s">
        <v>67</v>
      </c>
      <c r="C66" s="353">
        <f>+C32</f>
        <v>282377005</v>
      </c>
      <c r="D66" s="353">
        <f>+D32</f>
        <v>244531317</v>
      </c>
      <c r="E66" s="353">
        <f>+E32</f>
        <v>205187934</v>
      </c>
    </row>
    <row r="67" spans="1:5" ht="24" customHeight="1" x14ac:dyDescent="0.2">
      <c r="A67" s="339">
        <v>3</v>
      </c>
      <c r="B67" s="340" t="s">
        <v>43</v>
      </c>
      <c r="C67" s="353">
        <v>535534283</v>
      </c>
      <c r="D67" s="353">
        <v>507377073</v>
      </c>
      <c r="E67" s="353">
        <v>456465367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13.069497421634974</v>
      </c>
      <c r="D69" s="357">
        <f>IF(D75=0,0,(D72/D75)*100)</f>
        <v>17.153420211888786</v>
      </c>
      <c r="E69" s="357">
        <f>IF(E75=0,0,(E72/E75)*100)</f>
        <v>2.5592623816740145</v>
      </c>
    </row>
    <row r="70" spans="1:5" ht="24" customHeight="1" x14ac:dyDescent="0.2">
      <c r="A70" s="339">
        <v>5</v>
      </c>
      <c r="B70" s="340" t="s">
        <v>366</v>
      </c>
      <c r="C70" s="353">
        <f>+C28</f>
        <v>-3388068</v>
      </c>
      <c r="D70" s="353">
        <f>+D28</f>
        <v>1536086</v>
      </c>
      <c r="E70" s="353">
        <f>+E28</f>
        <v>-19836882</v>
      </c>
    </row>
    <row r="71" spans="1:5" ht="24" customHeight="1" x14ac:dyDescent="0.2">
      <c r="A71" s="339">
        <v>6</v>
      </c>
      <c r="B71" s="340" t="s">
        <v>356</v>
      </c>
      <c r="C71" s="356">
        <f>+C47</f>
        <v>27479122</v>
      </c>
      <c r="D71" s="356">
        <f>+D47</f>
        <v>28953704</v>
      </c>
      <c r="E71" s="356">
        <f>+E47</f>
        <v>24034451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24091054</v>
      </c>
      <c r="D72" s="353">
        <f>+D70+D71</f>
        <v>30489790</v>
      </c>
      <c r="E72" s="353">
        <f>+E70+E71</f>
        <v>4197569</v>
      </c>
    </row>
    <row r="73" spans="1:5" ht="24" customHeight="1" x14ac:dyDescent="0.2">
      <c r="A73" s="339">
        <v>8</v>
      </c>
      <c r="B73" s="340" t="s">
        <v>54</v>
      </c>
      <c r="C73" s="341">
        <f>+C40</f>
        <v>75742576</v>
      </c>
      <c r="D73" s="341">
        <f>+D40</f>
        <v>74808837</v>
      </c>
      <c r="E73" s="341">
        <f>+E40</f>
        <v>69046589</v>
      </c>
    </row>
    <row r="74" spans="1:5" ht="24" customHeight="1" x14ac:dyDescent="0.2">
      <c r="A74" s="339">
        <v>9</v>
      </c>
      <c r="B74" s="340" t="s">
        <v>58</v>
      </c>
      <c r="C74" s="353">
        <v>108587802</v>
      </c>
      <c r="D74" s="353">
        <v>102938747</v>
      </c>
      <c r="E74" s="353">
        <v>94968208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184330378</v>
      </c>
      <c r="D75" s="341">
        <f>+D73+D74</f>
        <v>177747584</v>
      </c>
      <c r="E75" s="341">
        <f>+E73+E74</f>
        <v>164014797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27.7743162698529</v>
      </c>
      <c r="D77" s="359">
        <f>IF(D80=0,0,(D78/D80)*100)</f>
        <v>29.625213123395859</v>
      </c>
      <c r="E77" s="359">
        <f>IF(E80=0,0,(E78/E80)*100)</f>
        <v>31.639601764337712</v>
      </c>
    </row>
    <row r="78" spans="1:5" ht="24" customHeight="1" x14ac:dyDescent="0.2">
      <c r="A78" s="339">
        <v>12</v>
      </c>
      <c r="B78" s="340" t="s">
        <v>58</v>
      </c>
      <c r="C78" s="341">
        <f>+C74</f>
        <v>108587802</v>
      </c>
      <c r="D78" s="341">
        <f>+D74</f>
        <v>102938747</v>
      </c>
      <c r="E78" s="341">
        <f>+E74</f>
        <v>94968208</v>
      </c>
    </row>
    <row r="79" spans="1:5" ht="24" customHeight="1" x14ac:dyDescent="0.2">
      <c r="A79" s="339">
        <v>13</v>
      </c>
      <c r="B79" s="340" t="s">
        <v>67</v>
      </c>
      <c r="C79" s="341">
        <f>+C32</f>
        <v>282377005</v>
      </c>
      <c r="D79" s="341">
        <f>+D32</f>
        <v>244531317</v>
      </c>
      <c r="E79" s="341">
        <f>+E32</f>
        <v>205187934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390964807</v>
      </c>
      <c r="D80" s="341">
        <f>+D78+D79</f>
        <v>347470064</v>
      </c>
      <c r="E80" s="341">
        <f>+E78+E79</f>
        <v>300156142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fitToHeight="0" orientation="portrait" horizontalDpi="1200" verticalDpi="1200" r:id="rId1"/>
  <headerFooter>
    <oddHeader>_x000D_
                &amp;L&amp;8OFFICE OF HEALTH CARE ACCESS&amp;C&amp;8TWELVE MONTHS ACTUAL FILING&amp;R&amp;8LAWRENCE +MEMORIAL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36477</v>
      </c>
      <c r="D11" s="376">
        <v>9438</v>
      </c>
      <c r="E11" s="376">
        <v>8779</v>
      </c>
      <c r="F11" s="377">
        <v>141</v>
      </c>
      <c r="G11" s="377">
        <v>141</v>
      </c>
      <c r="H11" s="378">
        <f>IF(F11=0,0,$C11/(F11*365))</f>
        <v>0.7087729524919848</v>
      </c>
      <c r="I11" s="378">
        <f>IF(G11=0,0,$C11/(G11*365))</f>
        <v>0.7087729524919848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5304</v>
      </c>
      <c r="D13" s="376">
        <v>409</v>
      </c>
      <c r="E13" s="376">
        <v>0</v>
      </c>
      <c r="F13" s="377">
        <v>20</v>
      </c>
      <c r="G13" s="377">
        <v>20</v>
      </c>
      <c r="H13" s="378">
        <f>IF(F13=0,0,$C13/(F13*365))</f>
        <v>0.72657534246575339</v>
      </c>
      <c r="I13" s="378">
        <f>IF(G13=0,0,$C13/(G13*365))</f>
        <v>0.72657534246575339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5110</v>
      </c>
      <c r="D16" s="376">
        <v>679</v>
      </c>
      <c r="E16" s="376">
        <v>679</v>
      </c>
      <c r="F16" s="377">
        <v>18</v>
      </c>
      <c r="G16" s="377">
        <v>18</v>
      </c>
      <c r="H16" s="378">
        <f t="shared" si="0"/>
        <v>0.77777777777777779</v>
      </c>
      <c r="I16" s="378">
        <f t="shared" si="0"/>
        <v>0.77777777777777779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5110</v>
      </c>
      <c r="D17" s="381">
        <f>SUM(D15:D16)</f>
        <v>679</v>
      </c>
      <c r="E17" s="381">
        <f>SUM(E15:E16)</f>
        <v>679</v>
      </c>
      <c r="F17" s="381">
        <f>SUM(F15:F16)</f>
        <v>18</v>
      </c>
      <c r="G17" s="381">
        <f>SUM(G15:G16)</f>
        <v>18</v>
      </c>
      <c r="H17" s="382">
        <f t="shared" si="0"/>
        <v>0.77777777777777779</v>
      </c>
      <c r="I17" s="382">
        <f t="shared" si="0"/>
        <v>0.77777777777777779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4340</v>
      </c>
      <c r="D19" s="376">
        <v>275</v>
      </c>
      <c r="E19" s="376">
        <v>275</v>
      </c>
      <c r="F19" s="377">
        <v>16</v>
      </c>
      <c r="G19" s="377">
        <v>16</v>
      </c>
      <c r="H19" s="378">
        <f>IF(F19=0,0,$C19/(F19*365))</f>
        <v>0.74315068493150682</v>
      </c>
      <c r="I19" s="378">
        <f>IF(G19=0,0,$C19/(G19*365))</f>
        <v>0.74315068493150682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4074</v>
      </c>
      <c r="D21" s="376">
        <v>1472</v>
      </c>
      <c r="E21" s="376">
        <v>1472</v>
      </c>
      <c r="F21" s="377">
        <v>24</v>
      </c>
      <c r="G21" s="377">
        <v>24</v>
      </c>
      <c r="H21" s="378">
        <f>IF(F21=0,0,$C21/(F21*365))</f>
        <v>0.46506849315068494</v>
      </c>
      <c r="I21" s="378">
        <f>IF(G21=0,0,$C21/(G21*365))</f>
        <v>0.46506849315068494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3155</v>
      </c>
      <c r="D23" s="376">
        <v>1308</v>
      </c>
      <c r="E23" s="376">
        <v>1308</v>
      </c>
      <c r="F23" s="377">
        <v>14</v>
      </c>
      <c r="G23" s="377">
        <v>14</v>
      </c>
      <c r="H23" s="378">
        <f>IF(F23=0,0,$C23/(F23*365))</f>
        <v>0.61741682974559686</v>
      </c>
      <c r="I23" s="378">
        <f>IF(G23=0,0,$C23/(G23*365))</f>
        <v>0.61741682974559686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1874</v>
      </c>
      <c r="D25" s="376">
        <v>156</v>
      </c>
      <c r="E25" s="376">
        <v>0</v>
      </c>
      <c r="F25" s="377">
        <v>10</v>
      </c>
      <c r="G25" s="377">
        <v>10</v>
      </c>
      <c r="H25" s="378">
        <f>IF(F25=0,0,$C25/(F25*365))</f>
        <v>0.5134246575342466</v>
      </c>
      <c r="I25" s="378">
        <f>IF(G25=0,0,$C25/(G25*365))</f>
        <v>0.5134246575342466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300</v>
      </c>
      <c r="D27" s="376">
        <v>154</v>
      </c>
      <c r="E27" s="376">
        <v>154</v>
      </c>
      <c r="F27" s="377">
        <v>6</v>
      </c>
      <c r="G27" s="377">
        <v>6</v>
      </c>
      <c r="H27" s="378">
        <f>IF(F27=0,0,$C27/(F27*365))</f>
        <v>0.13698630136986301</v>
      </c>
      <c r="I27" s="378">
        <f>IF(G27=0,0,$C27/(G27*365))</f>
        <v>0.13698630136986301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57479</v>
      </c>
      <c r="D31" s="384">
        <f>SUM(D10:D29)-D13-D17-D23</f>
        <v>12174</v>
      </c>
      <c r="E31" s="384">
        <f>SUM(E10:E29)-E17-E23</f>
        <v>11359</v>
      </c>
      <c r="F31" s="384">
        <f>SUM(F10:F29)-F17-F23</f>
        <v>235</v>
      </c>
      <c r="G31" s="384">
        <f>SUM(G10:G29)-G17-G23</f>
        <v>235</v>
      </c>
      <c r="H31" s="385">
        <f>IF(F31=0,0,$C31/(F31*365))</f>
        <v>0.67011366948411544</v>
      </c>
      <c r="I31" s="385">
        <f>IF(G31=0,0,$C31/(G31*365))</f>
        <v>0.67011366948411544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60634</v>
      </c>
      <c r="D33" s="384">
        <f>SUM(D10:D29)-D13-D17</f>
        <v>13482</v>
      </c>
      <c r="E33" s="384">
        <f>SUM(E10:E29)-E17</f>
        <v>12667</v>
      </c>
      <c r="F33" s="384">
        <f>SUM(F10:F29)-F17</f>
        <v>249</v>
      </c>
      <c r="G33" s="384">
        <f>SUM(G10:G29)-G17</f>
        <v>249</v>
      </c>
      <c r="H33" s="385">
        <f>IF(F33=0,0,$C33/(F33*365))</f>
        <v>0.66715079496066454</v>
      </c>
      <c r="I33" s="385">
        <f>IF(G33=0,0,$C33/(G33*365))</f>
        <v>0.66715079496066454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60634</v>
      </c>
      <c r="D36" s="384">
        <f t="shared" si="1"/>
        <v>13482</v>
      </c>
      <c r="E36" s="384">
        <f t="shared" si="1"/>
        <v>12667</v>
      </c>
      <c r="F36" s="384">
        <f t="shared" si="1"/>
        <v>249</v>
      </c>
      <c r="G36" s="384">
        <f t="shared" si="1"/>
        <v>249</v>
      </c>
      <c r="H36" s="387">
        <f t="shared" si="1"/>
        <v>0.66715079496066454</v>
      </c>
      <c r="I36" s="387">
        <f t="shared" si="1"/>
        <v>0.66715079496066454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62219</v>
      </c>
      <c r="D37" s="384">
        <v>14070</v>
      </c>
      <c r="E37" s="384">
        <v>13521</v>
      </c>
      <c r="F37" s="386">
        <v>248</v>
      </c>
      <c r="G37" s="386">
        <v>248</v>
      </c>
      <c r="H37" s="385">
        <f>IF(F37=0,0,$C37/(F37*365))</f>
        <v>0.68735086168802473</v>
      </c>
      <c r="I37" s="385">
        <f>IF(G37=0,0,$C37/(G37*365))</f>
        <v>0.68735086168802473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-1585</v>
      </c>
      <c r="D38" s="384">
        <f t="shared" si="2"/>
        <v>-588</v>
      </c>
      <c r="E38" s="384">
        <f t="shared" si="2"/>
        <v>-854</v>
      </c>
      <c r="F38" s="384">
        <f t="shared" si="2"/>
        <v>1</v>
      </c>
      <c r="G38" s="384">
        <f t="shared" si="2"/>
        <v>1</v>
      </c>
      <c r="H38" s="387">
        <f t="shared" si="2"/>
        <v>-2.0200066727360189E-2</v>
      </c>
      <c r="I38" s="387">
        <f t="shared" si="2"/>
        <v>-2.0200066727360189E-2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-2.5474533502627815E-2</v>
      </c>
      <c r="D40" s="389">
        <f t="shared" si="3"/>
        <v>-4.1791044776119404E-2</v>
      </c>
      <c r="E40" s="389">
        <f t="shared" si="3"/>
        <v>-6.3161008801124172E-2</v>
      </c>
      <c r="F40" s="389">
        <f t="shared" si="3"/>
        <v>4.0322580645161289E-3</v>
      </c>
      <c r="G40" s="389">
        <f t="shared" si="3"/>
        <v>4.0322580645161289E-3</v>
      </c>
      <c r="H40" s="389">
        <f t="shared" si="3"/>
        <v>-2.9388290396191587E-2</v>
      </c>
      <c r="I40" s="389">
        <f t="shared" si="3"/>
        <v>-2.9388290396191587E-2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308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FILING&amp;RLAWRENCE AND MEMORIAL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6348</v>
      </c>
      <c r="D12" s="409">
        <v>6358</v>
      </c>
      <c r="E12" s="409">
        <f>+D12-C12</f>
        <v>10</v>
      </c>
      <c r="F12" s="410">
        <f>IF(C12=0,0,+E12/C12)</f>
        <v>1.5752993068683049E-3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9757</v>
      </c>
      <c r="D13" s="409">
        <v>8670</v>
      </c>
      <c r="E13" s="409">
        <f>+D13-C13</f>
        <v>-1087</v>
      </c>
      <c r="F13" s="410">
        <f>IF(C13=0,0,+E13/C13)</f>
        <v>-0.11140719483447781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7784</v>
      </c>
      <c r="D14" s="409">
        <v>8022</v>
      </c>
      <c r="E14" s="409">
        <f>+D14-C14</f>
        <v>238</v>
      </c>
      <c r="F14" s="410">
        <f>IF(C14=0,0,+E14/C14)</f>
        <v>3.0575539568345324E-2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23889</v>
      </c>
      <c r="D16" s="401">
        <f>SUM(D12:D15)</f>
        <v>23050</v>
      </c>
      <c r="E16" s="401">
        <f>+D16-C16</f>
        <v>-839</v>
      </c>
      <c r="F16" s="402">
        <f>IF(C16=0,0,+E16/C16)</f>
        <v>-3.5120766880154045E-2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1311</v>
      </c>
      <c r="D19" s="409">
        <v>1110</v>
      </c>
      <c r="E19" s="409">
        <f>+D19-C19</f>
        <v>-201</v>
      </c>
      <c r="F19" s="410">
        <f>IF(C19=0,0,+E19/C19)</f>
        <v>-0.15331807780320367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10545</v>
      </c>
      <c r="D20" s="409">
        <v>10229</v>
      </c>
      <c r="E20" s="409">
        <f>+D20-C20</f>
        <v>-316</v>
      </c>
      <c r="F20" s="410">
        <f>IF(C20=0,0,+E20/C20)</f>
        <v>-2.9966808914177336E-2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146</v>
      </c>
      <c r="D21" s="409">
        <v>135</v>
      </c>
      <c r="E21" s="409">
        <f>+D21-C21</f>
        <v>-11</v>
      </c>
      <c r="F21" s="410">
        <f>IF(C21=0,0,+E21/C21)</f>
        <v>-7.5342465753424653E-2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12002</v>
      </c>
      <c r="D23" s="401">
        <f>SUM(D19:D22)</f>
        <v>11474</v>
      </c>
      <c r="E23" s="401">
        <f>+D23-C23</f>
        <v>-528</v>
      </c>
      <c r="F23" s="402">
        <f>IF(C23=0,0,+E23/C23)</f>
        <v>-4.3992667888685222E-2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5</v>
      </c>
      <c r="D27" s="409">
        <v>4</v>
      </c>
      <c r="E27" s="409">
        <f>+D27-C27</f>
        <v>-1</v>
      </c>
      <c r="F27" s="410">
        <f>IF(C27=0,0,+E27/C27)</f>
        <v>-0.2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5</v>
      </c>
      <c r="D30" s="401">
        <f>SUM(D26:D29)</f>
        <v>4</v>
      </c>
      <c r="E30" s="401">
        <f>+D30-C30</f>
        <v>-1</v>
      </c>
      <c r="F30" s="402">
        <f>IF(C30=0,0,+E30/C30)</f>
        <v>-0.2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1</v>
      </c>
      <c r="D33" s="409">
        <v>1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549</v>
      </c>
      <c r="D34" s="409">
        <v>608</v>
      </c>
      <c r="E34" s="409">
        <f>+D34-C34</f>
        <v>59</v>
      </c>
      <c r="F34" s="410">
        <f>IF(C34=0,0,+E34/C34)</f>
        <v>0.10746812386156648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2</v>
      </c>
      <c r="E35" s="409">
        <f>+D35-C35</f>
        <v>2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550</v>
      </c>
      <c r="D37" s="401">
        <f>SUM(D33:D36)</f>
        <v>611</v>
      </c>
      <c r="E37" s="401">
        <f>+D37-C37</f>
        <v>61</v>
      </c>
      <c r="F37" s="402">
        <f>IF(C37=0,0,+E37/C37)</f>
        <v>0.11090909090909092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83</v>
      </c>
      <c r="D43" s="409">
        <v>114</v>
      </c>
      <c r="E43" s="409">
        <f>+D43-C43</f>
        <v>31</v>
      </c>
      <c r="F43" s="410">
        <f>IF(C43=0,0,+E43/C43)</f>
        <v>0.37349397590361444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7723</v>
      </c>
      <c r="D44" s="409">
        <v>7393</v>
      </c>
      <c r="E44" s="409">
        <f>+D44-C44</f>
        <v>-330</v>
      </c>
      <c r="F44" s="410">
        <f>IF(C44=0,0,+E44/C44)</f>
        <v>-4.2729509258060336E-2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7806</v>
      </c>
      <c r="D45" s="401">
        <f>SUM(D43:D44)</f>
        <v>7507</v>
      </c>
      <c r="E45" s="401">
        <f>+D45-C45</f>
        <v>-299</v>
      </c>
      <c r="F45" s="402">
        <f>IF(C45=0,0,+E45/C45)</f>
        <v>-3.8303868818857292E-2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314</v>
      </c>
      <c r="D48" s="409">
        <v>400</v>
      </c>
      <c r="E48" s="409">
        <f>+D48-C48</f>
        <v>86</v>
      </c>
      <c r="F48" s="410">
        <f>IF(C48=0,0,+E48/C48)</f>
        <v>0.27388535031847133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331</v>
      </c>
      <c r="D49" s="409">
        <v>344</v>
      </c>
      <c r="E49" s="409">
        <f>+D49-C49</f>
        <v>13</v>
      </c>
      <c r="F49" s="410">
        <f>IF(C49=0,0,+E49/C49)</f>
        <v>3.9274924471299093E-2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645</v>
      </c>
      <c r="D50" s="401">
        <f>SUM(D48:D49)</f>
        <v>744</v>
      </c>
      <c r="E50" s="401">
        <f>+D50-C50</f>
        <v>99</v>
      </c>
      <c r="F50" s="402">
        <f>IF(C50=0,0,+E50/C50)</f>
        <v>0.15348837209302327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121</v>
      </c>
      <c r="D53" s="409">
        <v>84</v>
      </c>
      <c r="E53" s="409">
        <f>+D53-C53</f>
        <v>-37</v>
      </c>
      <c r="F53" s="410">
        <f>IF(C53=0,0,+E53/C53)</f>
        <v>-0.30578512396694213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63</v>
      </c>
      <c r="D54" s="409">
        <v>74</v>
      </c>
      <c r="E54" s="409">
        <f>+D54-C54</f>
        <v>11</v>
      </c>
      <c r="F54" s="410">
        <f>IF(C54=0,0,+E54/C54)</f>
        <v>0.17460317460317459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184</v>
      </c>
      <c r="D55" s="401">
        <f>SUM(D53:D54)</f>
        <v>158</v>
      </c>
      <c r="E55" s="401">
        <f>+D55-C55</f>
        <v>-26</v>
      </c>
      <c r="F55" s="402">
        <f>IF(C55=0,0,+E55/C55)</f>
        <v>-0.14130434782608695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2474</v>
      </c>
      <c r="D63" s="409">
        <v>2302</v>
      </c>
      <c r="E63" s="409">
        <f>+D63-C63</f>
        <v>-172</v>
      </c>
      <c r="F63" s="410">
        <f>IF(C63=0,0,+E63/C63)</f>
        <v>-6.9523039611964432E-2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9870</v>
      </c>
      <c r="D64" s="409">
        <v>9668</v>
      </c>
      <c r="E64" s="409">
        <f>+D64-C64</f>
        <v>-202</v>
      </c>
      <c r="F64" s="410">
        <f>IF(C64=0,0,+E64/C64)</f>
        <v>-2.0466058763931105E-2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12344</v>
      </c>
      <c r="D65" s="401">
        <f>SUM(D63:D64)</f>
        <v>11970</v>
      </c>
      <c r="E65" s="401">
        <f>+D65-C65</f>
        <v>-374</v>
      </c>
      <c r="F65" s="402">
        <f>IF(C65=0,0,+E65/C65)</f>
        <v>-3.0298120544394038E-2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772</v>
      </c>
      <c r="D68" s="409">
        <v>694</v>
      </c>
      <c r="E68" s="409">
        <f>+D68-C68</f>
        <v>-78</v>
      </c>
      <c r="F68" s="410">
        <f>IF(C68=0,0,+E68/C68)</f>
        <v>-0.10103626943005181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1951</v>
      </c>
      <c r="D69" s="409">
        <v>1845</v>
      </c>
      <c r="E69" s="409">
        <f>+D69-C69</f>
        <v>-106</v>
      </c>
      <c r="F69" s="412">
        <f>IF(C69=0,0,+E69/C69)</f>
        <v>-5.4331112250128141E-2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2723</v>
      </c>
      <c r="D70" s="401">
        <f>SUM(D68:D69)</f>
        <v>2539</v>
      </c>
      <c r="E70" s="401">
        <f>+D70-C70</f>
        <v>-184</v>
      </c>
      <c r="F70" s="402">
        <f>IF(C70=0,0,+E70/C70)</f>
        <v>-6.757253029746603E-2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6573</v>
      </c>
      <c r="D73" s="376">
        <v>6539</v>
      </c>
      <c r="E73" s="409">
        <f>+D73-C73</f>
        <v>-34</v>
      </c>
      <c r="F73" s="410">
        <f>IF(C73=0,0,+E73/C73)</f>
        <v>-5.1726760991936708E-3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75641</v>
      </c>
      <c r="D74" s="376">
        <v>73005</v>
      </c>
      <c r="E74" s="409">
        <f>+D74-C74</f>
        <v>-2636</v>
      </c>
      <c r="F74" s="410">
        <f>IF(C74=0,0,+E74/C74)</f>
        <v>-3.4848825372483176E-2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82214</v>
      </c>
      <c r="D75" s="401">
        <f>SUM(D73:D74)</f>
        <v>79544</v>
      </c>
      <c r="E75" s="401">
        <f>SUM(E73:E74)</f>
        <v>-2670</v>
      </c>
      <c r="F75" s="402">
        <f>IF(C75=0,0,+E75/C75)</f>
        <v>-3.2476220595032475E-2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17342</v>
      </c>
      <c r="D81" s="376">
        <v>14678</v>
      </c>
      <c r="E81" s="409">
        <f t="shared" si="0"/>
        <v>-2664</v>
      </c>
      <c r="F81" s="410">
        <f t="shared" si="1"/>
        <v>-0.15361549994233653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17342</v>
      </c>
      <c r="D92" s="381">
        <f>SUM(D79:D91)</f>
        <v>14678</v>
      </c>
      <c r="E92" s="401">
        <f t="shared" si="0"/>
        <v>-2664</v>
      </c>
      <c r="F92" s="402">
        <f t="shared" si="1"/>
        <v>-0.15361549994233653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74977</v>
      </c>
      <c r="D95" s="414">
        <v>72237</v>
      </c>
      <c r="E95" s="415">
        <f t="shared" ref="E95:E100" si="2">+D95-C95</f>
        <v>-2740</v>
      </c>
      <c r="F95" s="412">
        <f t="shared" ref="F95:F100" si="3">IF(C95=0,0,+E95/C95)</f>
        <v>-3.6544540325699884E-2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5723</v>
      </c>
      <c r="D96" s="414">
        <v>5688</v>
      </c>
      <c r="E96" s="409">
        <f t="shared" si="2"/>
        <v>-35</v>
      </c>
      <c r="F96" s="410">
        <f t="shared" si="3"/>
        <v>-6.1156735977634111E-3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6961</v>
      </c>
      <c r="D97" s="414">
        <v>7163</v>
      </c>
      <c r="E97" s="409">
        <f t="shared" si="2"/>
        <v>202</v>
      </c>
      <c r="F97" s="410">
        <f t="shared" si="3"/>
        <v>2.9018819135181728E-2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3018</v>
      </c>
      <c r="D98" s="414">
        <v>2863</v>
      </c>
      <c r="E98" s="409">
        <f t="shared" si="2"/>
        <v>-155</v>
      </c>
      <c r="F98" s="410">
        <f t="shared" si="3"/>
        <v>-5.1358515573227306E-2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257499</v>
      </c>
      <c r="D99" s="414">
        <v>247796</v>
      </c>
      <c r="E99" s="409">
        <f t="shared" si="2"/>
        <v>-9703</v>
      </c>
      <c r="F99" s="410">
        <f t="shared" si="3"/>
        <v>-3.7681699734756255E-2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348178</v>
      </c>
      <c r="D100" s="381">
        <f>SUM(D95:D99)</f>
        <v>335747</v>
      </c>
      <c r="E100" s="401">
        <f t="shared" si="2"/>
        <v>-12431</v>
      </c>
      <c r="F100" s="402">
        <f t="shared" si="3"/>
        <v>-3.5703002487233543E-2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417.1</v>
      </c>
      <c r="D104" s="416">
        <v>429.8</v>
      </c>
      <c r="E104" s="417">
        <f>+D104-C104</f>
        <v>12.699999999999989</v>
      </c>
      <c r="F104" s="410">
        <f>IF(C104=0,0,+E104/C104)</f>
        <v>3.0448333732917738E-2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1.6</v>
      </c>
      <c r="D105" s="416">
        <v>1.5</v>
      </c>
      <c r="E105" s="417">
        <f>+D105-C105</f>
        <v>-0.10000000000000009</v>
      </c>
      <c r="F105" s="410">
        <f>IF(C105=0,0,+E105/C105)</f>
        <v>-6.2500000000000056E-2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1407</v>
      </c>
      <c r="D106" s="416">
        <v>1394.4</v>
      </c>
      <c r="E106" s="417">
        <f>+D106-C106</f>
        <v>-12.599999999999909</v>
      </c>
      <c r="F106" s="410">
        <f>IF(C106=0,0,+E106/C106)</f>
        <v>-8.9552238805969495E-3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1825.7</v>
      </c>
      <c r="D107" s="418">
        <f>SUM(D104:D106)</f>
        <v>1825.7</v>
      </c>
      <c r="E107" s="418">
        <f>+D107-C107</f>
        <v>0</v>
      </c>
      <c r="F107" s="402">
        <f>IF(C107=0,0,+E107/C107)</f>
        <v>0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FILING&amp;RLAWRENCE AND MEMORIAL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75" zoomScaleSheetLayoutView="90" workbookViewId="0">
      <selection activeCell="B29" sqref="B29:F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7532</v>
      </c>
      <c r="D12" s="409">
        <v>7635</v>
      </c>
      <c r="E12" s="409">
        <f>+D12-C12</f>
        <v>103</v>
      </c>
      <c r="F12" s="410">
        <f>IF(C12=0,0,+E12/C12)</f>
        <v>1.367498672331386E-2</v>
      </c>
    </row>
    <row r="13" spans="1:6" ht="15.75" customHeight="1" x14ac:dyDescent="0.2">
      <c r="A13" s="374">
        <v>2</v>
      </c>
      <c r="B13" s="408" t="s">
        <v>622</v>
      </c>
      <c r="C13" s="409">
        <v>2338</v>
      </c>
      <c r="D13" s="409">
        <v>2033</v>
      </c>
      <c r="E13" s="409">
        <f>+D13-C13</f>
        <v>-305</v>
      </c>
      <c r="F13" s="410">
        <f>IF(C13=0,0,+E13/C13)</f>
        <v>-0.13045337895637296</v>
      </c>
    </row>
    <row r="14" spans="1:6" ht="15.75" customHeight="1" x14ac:dyDescent="0.25">
      <c r="A14" s="374"/>
      <c r="B14" s="399" t="s">
        <v>623</v>
      </c>
      <c r="C14" s="401">
        <f>SUM(C11:C13)</f>
        <v>9870</v>
      </c>
      <c r="D14" s="401">
        <f>SUM(D11:D13)</f>
        <v>9668</v>
      </c>
      <c r="E14" s="401">
        <f>+D14-C14</f>
        <v>-202</v>
      </c>
      <c r="F14" s="402">
        <f>IF(C14=0,0,+E14/C14)</f>
        <v>-2.0466058763931105E-2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624</v>
      </c>
      <c r="C17" s="409">
        <v>1951</v>
      </c>
      <c r="D17" s="409">
        <v>1845</v>
      </c>
      <c r="E17" s="409">
        <f>+D17-C17</f>
        <v>-106</v>
      </c>
      <c r="F17" s="410">
        <f>IF(C17=0,0,+E17/C17)</f>
        <v>-5.4331112250128141E-2</v>
      </c>
    </row>
    <row r="18" spans="1:6" ht="15.75" customHeight="1" x14ac:dyDescent="0.25">
      <c r="A18" s="374"/>
      <c r="B18" s="399" t="s">
        <v>625</v>
      </c>
      <c r="C18" s="401">
        <f>SUM(C16:C17)</f>
        <v>1951</v>
      </c>
      <c r="D18" s="401">
        <f>SUM(D16:D17)</f>
        <v>1845</v>
      </c>
      <c r="E18" s="401">
        <f>+D18-C18</f>
        <v>-106</v>
      </c>
      <c r="F18" s="402">
        <f>IF(C18=0,0,+E18/C18)</f>
        <v>-5.4331112250128141E-2</v>
      </c>
    </row>
    <row r="19" spans="1:6" ht="15.75" customHeight="1" x14ac:dyDescent="0.25">
      <c r="A19" s="136"/>
      <c r="B19" s="399"/>
      <c r="C19" s="401"/>
      <c r="D19" s="401"/>
      <c r="E19" s="401"/>
      <c r="F19" s="402"/>
    </row>
    <row r="20" spans="1:6" ht="15.75" customHeight="1" x14ac:dyDescent="0.25">
      <c r="A20" s="136" t="s">
        <v>36</v>
      </c>
      <c r="B20" s="406" t="s">
        <v>626</v>
      </c>
      <c r="C20" s="409"/>
      <c r="D20" s="409"/>
      <c r="E20" s="409"/>
      <c r="F20" s="410"/>
    </row>
    <row r="21" spans="1:6" ht="15.75" customHeight="1" x14ac:dyDescent="0.2">
      <c r="A21" s="374">
        <v>1</v>
      </c>
      <c r="B21" s="408" t="s">
        <v>624</v>
      </c>
      <c r="C21" s="409">
        <v>43083</v>
      </c>
      <c r="D21" s="409">
        <v>41437</v>
      </c>
      <c r="E21" s="409">
        <f>+D21-C21</f>
        <v>-1646</v>
      </c>
      <c r="F21" s="410">
        <f>IF(C21=0,0,+E21/C21)</f>
        <v>-3.8205324605993081E-2</v>
      </c>
    </row>
    <row r="22" spans="1:6" ht="15.75" customHeight="1" x14ac:dyDescent="0.2">
      <c r="A22" s="374">
        <v>2</v>
      </c>
      <c r="B22" s="408" t="s">
        <v>622</v>
      </c>
      <c r="C22" s="409">
        <v>32558</v>
      </c>
      <c r="D22" s="409">
        <v>31568</v>
      </c>
      <c r="E22" s="409">
        <f>+D22-C22</f>
        <v>-990</v>
      </c>
      <c r="F22" s="410">
        <f>IF(C22=0,0,+E22/C22)</f>
        <v>-3.0407273174027888E-2</v>
      </c>
    </row>
    <row r="23" spans="1:6" ht="15.75" customHeight="1" x14ac:dyDescent="0.25">
      <c r="A23" s="374"/>
      <c r="B23" s="399" t="s">
        <v>627</v>
      </c>
      <c r="C23" s="401">
        <f>SUM(C20:C22)</f>
        <v>75641</v>
      </c>
      <c r="D23" s="401">
        <f>SUM(D20:D22)</f>
        <v>73005</v>
      </c>
      <c r="E23" s="401">
        <f>+D23-C23</f>
        <v>-2636</v>
      </c>
      <c r="F23" s="402">
        <f>IF(C23=0,0,+E23/C23)</f>
        <v>-3.4848825372483176E-2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0" t="s">
        <v>628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629</v>
      </c>
      <c r="C27" s="811"/>
      <c r="D27" s="811"/>
      <c r="E27" s="811"/>
      <c r="F27" s="812"/>
    </row>
    <row r="28" spans="1:6" ht="15.75" customHeight="1" x14ac:dyDescent="0.25">
      <c r="A28" s="392"/>
    </row>
    <row r="29" spans="1:6" ht="15.75" customHeight="1" x14ac:dyDescent="0.25">
      <c r="B29" s="810" t="s">
        <v>630</v>
      </c>
      <c r="C29" s="811"/>
      <c r="D29" s="811"/>
      <c r="E29" s="811"/>
      <c r="F29" s="812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FILING&amp;RLAWRENCE AND MEMORIAL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631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632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633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634</v>
      </c>
      <c r="D7" s="426" t="s">
        <v>634</v>
      </c>
      <c r="E7" s="426" t="s">
        <v>635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636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637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638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639</v>
      </c>
      <c r="C15" s="448">
        <v>168649538</v>
      </c>
      <c r="D15" s="448">
        <v>162481939</v>
      </c>
      <c r="E15" s="448">
        <f t="shared" ref="E15:E24" si="0">D15-C15</f>
        <v>-6167599</v>
      </c>
      <c r="F15" s="449">
        <f t="shared" ref="F15:F24" si="1">IF(C15=0,0,E15/C15)</f>
        <v>-3.6570506347903542E-2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640</v>
      </c>
      <c r="C16" s="448">
        <v>70353365</v>
      </c>
      <c r="D16" s="448">
        <v>69716407</v>
      </c>
      <c r="E16" s="448">
        <f t="shared" si="0"/>
        <v>-636958</v>
      </c>
      <c r="F16" s="449">
        <f t="shared" si="1"/>
        <v>-9.0536962944132091E-3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641</v>
      </c>
      <c r="C17" s="453">
        <f>IF(C15=0,0,C16/C15)</f>
        <v>0.41715717596569996</v>
      </c>
      <c r="D17" s="453">
        <f>IF(LN_IA1=0,0,LN_IA2/LN_IA1)</f>
        <v>0.42907173208955857</v>
      </c>
      <c r="E17" s="454">
        <f t="shared" si="0"/>
        <v>1.1914556123858611E-2</v>
      </c>
      <c r="F17" s="449">
        <f t="shared" si="1"/>
        <v>2.8561311683724375E-2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6527</v>
      </c>
      <c r="D18" s="456">
        <v>6205</v>
      </c>
      <c r="E18" s="456">
        <f t="shared" si="0"/>
        <v>-322</v>
      </c>
      <c r="F18" s="449">
        <f t="shared" si="1"/>
        <v>-4.9333537612992188E-2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642</v>
      </c>
      <c r="C19" s="459">
        <v>1.4419999999999999</v>
      </c>
      <c r="D19" s="459">
        <v>1.4489000000000001</v>
      </c>
      <c r="E19" s="460">
        <f t="shared" si="0"/>
        <v>6.9000000000001283E-3</v>
      </c>
      <c r="F19" s="449">
        <f t="shared" si="1"/>
        <v>4.7850208044383693E-3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643</v>
      </c>
      <c r="C20" s="463">
        <f>C18*C19</f>
        <v>9411.9339999999993</v>
      </c>
      <c r="D20" s="463">
        <f>LN_IA4*LN_IA5</f>
        <v>8990.424500000001</v>
      </c>
      <c r="E20" s="463">
        <f t="shared" si="0"/>
        <v>-421.5094999999983</v>
      </c>
      <c r="F20" s="449">
        <f t="shared" si="1"/>
        <v>-4.4784578812388433E-2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644</v>
      </c>
      <c r="C21" s="465">
        <f>IF(C20=0,0,C16/C20)</f>
        <v>7474.9105762960098</v>
      </c>
      <c r="D21" s="465">
        <f>IF(LN_IA6=0,0,LN_IA2/LN_IA6)</f>
        <v>7754.5178205990151</v>
      </c>
      <c r="E21" s="465">
        <f t="shared" si="0"/>
        <v>279.60724430300525</v>
      </c>
      <c r="F21" s="449">
        <f t="shared" si="1"/>
        <v>3.7406098902330556E-2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32565</v>
      </c>
      <c r="D22" s="456">
        <v>31881</v>
      </c>
      <c r="E22" s="456">
        <f t="shared" si="0"/>
        <v>-684</v>
      </c>
      <c r="F22" s="449">
        <f t="shared" si="1"/>
        <v>-2.1004145555043759E-2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645</v>
      </c>
      <c r="C23" s="465">
        <f>IF(C22=0,0,C16/C22)</f>
        <v>2160.3981268232765</v>
      </c>
      <c r="D23" s="465">
        <f>IF(LN_IA8=0,0,LN_IA2/LN_IA8)</f>
        <v>2186.7697688278286</v>
      </c>
      <c r="E23" s="465">
        <f t="shared" si="0"/>
        <v>26.371642004552086</v>
      </c>
      <c r="F23" s="449">
        <f t="shared" si="1"/>
        <v>1.2206843579951559E-2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646</v>
      </c>
      <c r="C24" s="466">
        <f>IF(C18=0,0,C22/C18)</f>
        <v>4.9892753179102192</v>
      </c>
      <c r="D24" s="466">
        <f>IF(LN_IA4=0,0,LN_IA8/LN_IA4)</f>
        <v>5.1379532634971801</v>
      </c>
      <c r="E24" s="466">
        <f t="shared" si="0"/>
        <v>0.1486779455869609</v>
      </c>
      <c r="F24" s="449">
        <f t="shared" si="1"/>
        <v>2.9799507165548713E-2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647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648</v>
      </c>
      <c r="C27" s="448">
        <v>198079775</v>
      </c>
      <c r="D27" s="448">
        <v>206322805</v>
      </c>
      <c r="E27" s="448">
        <f t="shared" ref="E27:E32" si="2">D27-C27</f>
        <v>8243030</v>
      </c>
      <c r="F27" s="449">
        <f t="shared" ref="F27:F32" si="3">IF(C27=0,0,E27/C27)</f>
        <v>4.1614697916533883E-2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649</v>
      </c>
      <c r="C28" s="448">
        <v>51831965</v>
      </c>
      <c r="D28" s="448">
        <v>47859860</v>
      </c>
      <c r="E28" s="448">
        <f t="shared" si="2"/>
        <v>-3972105</v>
      </c>
      <c r="F28" s="449">
        <f t="shared" si="3"/>
        <v>-7.6634273850123183E-2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650</v>
      </c>
      <c r="C29" s="453">
        <f>IF(C27=0,0,C28/C27)</f>
        <v>0.26167217223464639</v>
      </c>
      <c r="D29" s="453">
        <f>IF(LN_IA11=0,0,LN_IA12/LN_IA11)</f>
        <v>0.23196592349546624</v>
      </c>
      <c r="E29" s="454">
        <f t="shared" si="2"/>
        <v>-2.9706248739180152E-2</v>
      </c>
      <c r="F29" s="449">
        <f t="shared" si="3"/>
        <v>-0.11352467664212301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651</v>
      </c>
      <c r="C30" s="453">
        <f>IF(C15=0,0,C27/C15)</f>
        <v>1.1745052927450059</v>
      </c>
      <c r="D30" s="453">
        <f>IF(LN_IA1=0,0,LN_IA11/LN_IA1)</f>
        <v>1.2698199336481331</v>
      </c>
      <c r="E30" s="454">
        <f t="shared" si="2"/>
        <v>9.5314640903127135E-2</v>
      </c>
      <c r="F30" s="449">
        <f t="shared" si="3"/>
        <v>8.1153010967163583E-2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652</v>
      </c>
      <c r="C31" s="463">
        <f>C30*C18</f>
        <v>7665.9960457466541</v>
      </c>
      <c r="D31" s="463">
        <f>LN_IA14*LN_IA4</f>
        <v>7879.2326882866655</v>
      </c>
      <c r="E31" s="463">
        <f t="shared" si="2"/>
        <v>213.23664254001142</v>
      </c>
      <c r="F31" s="449">
        <f t="shared" si="3"/>
        <v>2.7815908235215188E-2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653</v>
      </c>
      <c r="C32" s="465">
        <f>IF(C31=0,0,C28/C31)</f>
        <v>6761.2825118476385</v>
      </c>
      <c r="D32" s="465">
        <f>IF(LN_IA15=0,0,LN_IA12/LN_IA15)</f>
        <v>6074.1777649426294</v>
      </c>
      <c r="E32" s="465">
        <f t="shared" si="2"/>
        <v>-687.10474690500905</v>
      </c>
      <c r="F32" s="449">
        <f t="shared" si="3"/>
        <v>-0.10162343397144127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654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655</v>
      </c>
      <c r="C35" s="448">
        <f>C15+C27</f>
        <v>366729313</v>
      </c>
      <c r="D35" s="448">
        <f>LN_IA1+LN_IA11</f>
        <v>368804744</v>
      </c>
      <c r="E35" s="448">
        <f>D35-C35</f>
        <v>2075431</v>
      </c>
      <c r="F35" s="449">
        <f>IF(C35=0,0,E35/C35)</f>
        <v>5.6592994517457619E-3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656</v>
      </c>
      <c r="C36" s="448">
        <f>C16+C28</f>
        <v>122185330</v>
      </c>
      <c r="D36" s="448">
        <f>LN_IA2+LN_IA12</f>
        <v>117576267</v>
      </c>
      <c r="E36" s="448">
        <f>D36-C36</f>
        <v>-4609063</v>
      </c>
      <c r="F36" s="449">
        <f>IF(C36=0,0,E36/C36)</f>
        <v>-3.7721901639092024E-2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657</v>
      </c>
      <c r="C37" s="448">
        <f>C35-C36</f>
        <v>244543983</v>
      </c>
      <c r="D37" s="448">
        <f>LN_IA17-LN_IA18</f>
        <v>251228477</v>
      </c>
      <c r="E37" s="448">
        <f>D37-C37</f>
        <v>6684494</v>
      </c>
      <c r="F37" s="449">
        <f>IF(C37=0,0,E37/C37)</f>
        <v>2.7334526566535886E-2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658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659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639</v>
      </c>
      <c r="C42" s="448">
        <v>70270602</v>
      </c>
      <c r="D42" s="448">
        <v>70898430</v>
      </c>
      <c r="E42" s="448">
        <f t="shared" ref="E42:E53" si="4">D42-C42</f>
        <v>627828</v>
      </c>
      <c r="F42" s="449">
        <f t="shared" ref="F42:F53" si="5">IF(C42=0,0,E42/C42)</f>
        <v>8.9344332072180052E-3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640</v>
      </c>
      <c r="C43" s="448">
        <v>48458517</v>
      </c>
      <c r="D43" s="448">
        <v>50728282</v>
      </c>
      <c r="E43" s="448">
        <f t="shared" si="4"/>
        <v>2269765</v>
      </c>
      <c r="F43" s="449">
        <f t="shared" si="5"/>
        <v>4.683934095630702E-2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641</v>
      </c>
      <c r="C44" s="453">
        <f>IF(C42=0,0,C43/C42)</f>
        <v>0.68959871725590172</v>
      </c>
      <c r="D44" s="453">
        <f>IF(LN_IB1=0,0,LN_IB2/LN_IB1)</f>
        <v>0.71550642235660222</v>
      </c>
      <c r="E44" s="454">
        <f t="shared" si="4"/>
        <v>2.5907705100700507E-2</v>
      </c>
      <c r="F44" s="449">
        <f t="shared" si="5"/>
        <v>3.7569247813850661E-2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3521</v>
      </c>
      <c r="D45" s="456">
        <v>3480</v>
      </c>
      <c r="E45" s="456">
        <f t="shared" si="4"/>
        <v>-41</v>
      </c>
      <c r="F45" s="449">
        <f t="shared" si="5"/>
        <v>-1.1644419199091167E-2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642</v>
      </c>
      <c r="C46" s="459">
        <v>1.1632</v>
      </c>
      <c r="D46" s="459">
        <v>1.2228000000000001</v>
      </c>
      <c r="E46" s="460">
        <f t="shared" si="4"/>
        <v>5.9600000000000097E-2</v>
      </c>
      <c r="F46" s="449">
        <f t="shared" si="5"/>
        <v>5.1237964236588801E-2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643</v>
      </c>
      <c r="C47" s="463">
        <f>C45*C46</f>
        <v>4095.6271999999999</v>
      </c>
      <c r="D47" s="463">
        <f>LN_IB4*LN_IB5</f>
        <v>4255.3440000000001</v>
      </c>
      <c r="E47" s="463">
        <f t="shared" si="4"/>
        <v>159.71680000000015</v>
      </c>
      <c r="F47" s="449">
        <f t="shared" si="5"/>
        <v>3.8996908703018709E-2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644</v>
      </c>
      <c r="C48" s="465">
        <f>IF(C47=0,0,C43/C47)</f>
        <v>11831.769502849284</v>
      </c>
      <c r="D48" s="465">
        <f>IF(LN_IB6=0,0,LN_IB2/LN_IB6)</f>
        <v>11921.076650912359</v>
      </c>
      <c r="E48" s="465">
        <f t="shared" si="4"/>
        <v>89.307148063075147</v>
      </c>
      <c r="F48" s="449">
        <f t="shared" si="5"/>
        <v>7.548080449130498E-3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660</v>
      </c>
      <c r="C49" s="465">
        <f>C21-C48</f>
        <v>-4356.8589265532737</v>
      </c>
      <c r="D49" s="465">
        <f>LN_IA7-LN_IB7</f>
        <v>-4166.5588303133436</v>
      </c>
      <c r="E49" s="465">
        <f t="shared" si="4"/>
        <v>190.3000962399301</v>
      </c>
      <c r="F49" s="449">
        <f t="shared" si="5"/>
        <v>-4.3678278192605419E-2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661</v>
      </c>
      <c r="C50" s="479">
        <f>C49*C47</f>
        <v>-17844069.92615439</v>
      </c>
      <c r="D50" s="479">
        <f>LN_IB8*LN_IB6</f>
        <v>-17730141.119220905</v>
      </c>
      <c r="E50" s="479">
        <f t="shared" si="4"/>
        <v>113928.80693348497</v>
      </c>
      <c r="F50" s="449">
        <f t="shared" si="5"/>
        <v>-6.3846873165688154E-3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12808</v>
      </c>
      <c r="D51" s="456">
        <v>12890</v>
      </c>
      <c r="E51" s="456">
        <f t="shared" si="4"/>
        <v>82</v>
      </c>
      <c r="F51" s="449">
        <f t="shared" si="5"/>
        <v>6.4022485946283571E-3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645</v>
      </c>
      <c r="C52" s="465">
        <f>IF(C51=0,0,C43/C51)</f>
        <v>3783.4569800124923</v>
      </c>
      <c r="D52" s="465">
        <f>IF(LN_IB10=0,0,LN_IB2/LN_IB10)</f>
        <v>3935.4757176105509</v>
      </c>
      <c r="E52" s="465">
        <f t="shared" si="4"/>
        <v>152.01873759805858</v>
      </c>
      <c r="F52" s="449">
        <f t="shared" si="5"/>
        <v>4.0179850967290938E-2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646</v>
      </c>
      <c r="C53" s="466">
        <f>IF(C45=0,0,C51/C45)</f>
        <v>3.6376029537063332</v>
      </c>
      <c r="D53" s="466">
        <f>IF(LN_IB4=0,0,LN_IB10/LN_IB4)</f>
        <v>3.7040229885057472</v>
      </c>
      <c r="E53" s="466">
        <f t="shared" si="4"/>
        <v>6.6420034799413941E-2</v>
      </c>
      <c r="F53" s="449">
        <f t="shared" si="5"/>
        <v>1.8259286580944448E-2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662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648</v>
      </c>
      <c r="C56" s="448">
        <v>211350912</v>
      </c>
      <c r="D56" s="448">
        <v>210984828</v>
      </c>
      <c r="E56" s="448">
        <f t="shared" ref="E56:E63" si="6">D56-C56</f>
        <v>-366084</v>
      </c>
      <c r="F56" s="449">
        <f t="shared" ref="F56:F63" si="7">IF(C56=0,0,E56/C56)</f>
        <v>-1.7321145981144383E-3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649</v>
      </c>
      <c r="C57" s="448">
        <v>115542619</v>
      </c>
      <c r="D57" s="448">
        <v>106150272</v>
      </c>
      <c r="E57" s="448">
        <f t="shared" si="6"/>
        <v>-9392347</v>
      </c>
      <c r="F57" s="449">
        <f t="shared" si="7"/>
        <v>-8.1289026346200444E-2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650</v>
      </c>
      <c r="C58" s="453">
        <f>IF(C56=0,0,C57/C56)</f>
        <v>0.54668616239517343</v>
      </c>
      <c r="D58" s="453">
        <f>IF(LN_IB13=0,0,LN_IB14/LN_IB13)</f>
        <v>0.50311803462948534</v>
      </c>
      <c r="E58" s="454">
        <f t="shared" si="6"/>
        <v>-4.3568127765688081E-2</v>
      </c>
      <c r="F58" s="449">
        <f t="shared" si="7"/>
        <v>-7.9694952538774441E-2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651</v>
      </c>
      <c r="C59" s="453">
        <f>IF(C42=0,0,C56/C42)</f>
        <v>3.0076718568598571</v>
      </c>
      <c r="D59" s="453">
        <f>IF(LN_IB1=0,0,LN_IB13/LN_IB1)</f>
        <v>2.975874472819779</v>
      </c>
      <c r="E59" s="454">
        <f t="shared" si="6"/>
        <v>-3.1797384040078036E-2</v>
      </c>
      <c r="F59" s="449">
        <f t="shared" si="7"/>
        <v>-1.0572092154120801E-2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652</v>
      </c>
      <c r="C60" s="463">
        <f>C59*C45</f>
        <v>10590.012608003557</v>
      </c>
      <c r="D60" s="463">
        <f>LN_IB16*LN_IB4</f>
        <v>10356.043165412832</v>
      </c>
      <c r="E60" s="463">
        <f t="shared" si="6"/>
        <v>-233.96944259072552</v>
      </c>
      <c r="F60" s="449">
        <f t="shared" si="7"/>
        <v>-2.2093405480357944E-2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653</v>
      </c>
      <c r="C61" s="465">
        <f>IF(C60=0,0,C57/C60)</f>
        <v>10910.527048162056</v>
      </c>
      <c r="D61" s="465">
        <f>IF(LN_IB17=0,0,LN_IB14/LN_IB17)</f>
        <v>10250.080103424178</v>
      </c>
      <c r="E61" s="465">
        <f t="shared" si="6"/>
        <v>-660.44694473787786</v>
      </c>
      <c r="F61" s="449">
        <f t="shared" si="7"/>
        <v>-6.0533001001920814E-2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663</v>
      </c>
      <c r="C62" s="465">
        <f>C32-C61</f>
        <v>-4149.244536314417</v>
      </c>
      <c r="D62" s="465">
        <f>LN_IA16-LN_IB18</f>
        <v>-4175.9023384815482</v>
      </c>
      <c r="E62" s="465">
        <f t="shared" si="6"/>
        <v>-26.657802167131194</v>
      </c>
      <c r="F62" s="449">
        <f t="shared" si="7"/>
        <v>6.4247363426813342E-3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664</v>
      </c>
      <c r="C63" s="448">
        <f>C62*C60</f>
        <v>-43940551.95325955</v>
      </c>
      <c r="D63" s="448">
        <f>LN_IB19*LN_IB17</f>
        <v>-43245824.871863298</v>
      </c>
      <c r="E63" s="448">
        <f t="shared" si="6"/>
        <v>694727.08139625192</v>
      </c>
      <c r="F63" s="449">
        <f t="shared" si="7"/>
        <v>-1.5810613442799878E-2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665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655</v>
      </c>
      <c r="C66" s="448">
        <f>C42+C56</f>
        <v>281621514</v>
      </c>
      <c r="D66" s="448">
        <f>LN_IB1+LN_IB13</f>
        <v>281883258</v>
      </c>
      <c r="E66" s="448">
        <f>D66-C66</f>
        <v>261744</v>
      </c>
      <c r="F66" s="449">
        <f>IF(C66=0,0,E66/C66)</f>
        <v>9.2941762964884845E-4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656</v>
      </c>
      <c r="C67" s="448">
        <f>C43+C57</f>
        <v>164001136</v>
      </c>
      <c r="D67" s="448">
        <f>LN_IB2+LN_IB14</f>
        <v>156878554</v>
      </c>
      <c r="E67" s="448">
        <f>D67-C67</f>
        <v>-7122582</v>
      </c>
      <c r="F67" s="449">
        <f>IF(C67=0,0,E67/C67)</f>
        <v>-4.3430077216050501E-2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657</v>
      </c>
      <c r="C68" s="448">
        <f>C66-C67</f>
        <v>117620378</v>
      </c>
      <c r="D68" s="448">
        <f>LN_IB21-LN_IB22</f>
        <v>125004704</v>
      </c>
      <c r="E68" s="448">
        <f>D68-C68</f>
        <v>7384326</v>
      </c>
      <c r="F68" s="449">
        <f>IF(C68=0,0,E68/C68)</f>
        <v>6.2781008916669184E-2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666</v>
      </c>
      <c r="C70" s="441">
        <f>C50+C63</f>
        <v>-61784621.87941394</v>
      </c>
      <c r="D70" s="441">
        <f>LN_IB9+LN_IB20</f>
        <v>-60975965.991084203</v>
      </c>
      <c r="E70" s="448">
        <f>D70-C70</f>
        <v>808655.88832973689</v>
      </c>
      <c r="F70" s="449">
        <f>IF(C70=0,0,E70/C70)</f>
        <v>-1.3088303589653811E-2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667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668</v>
      </c>
      <c r="C73" s="488">
        <v>257118682</v>
      </c>
      <c r="D73" s="488">
        <v>256935481</v>
      </c>
      <c r="E73" s="488">
        <f>D73-C73</f>
        <v>-183201</v>
      </c>
      <c r="F73" s="489">
        <f>IF(C73=0,0,E73/C73)</f>
        <v>-7.1251532006530742E-4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669</v>
      </c>
      <c r="C74" s="488">
        <v>160242760</v>
      </c>
      <c r="D74" s="488">
        <v>150322481</v>
      </c>
      <c r="E74" s="488">
        <f>D74-C74</f>
        <v>-9920279</v>
      </c>
      <c r="F74" s="489">
        <f>IF(C74=0,0,E74/C74)</f>
        <v>-6.1907814119027904E-2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670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671</v>
      </c>
      <c r="C76" s="441">
        <f>C73-C74</f>
        <v>96875922</v>
      </c>
      <c r="D76" s="441">
        <f>LN_IB32-LN_IB33</f>
        <v>106613000</v>
      </c>
      <c r="E76" s="488">
        <f>D76-C76</f>
        <v>9737078</v>
      </c>
      <c r="F76" s="489">
        <f>IF(E76=0,0,E76/C76)</f>
        <v>0.10051081629963739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672</v>
      </c>
      <c r="C77" s="453">
        <f>IF(C73=0,0,C76/C73)</f>
        <v>0.37677511897015714</v>
      </c>
      <c r="D77" s="453">
        <f>IF(LN_IB32=0,0,LN_IB34/LN_IB32)</f>
        <v>0.41494074537724124</v>
      </c>
      <c r="E77" s="493">
        <f>D77-C77</f>
        <v>3.8165626407084097E-2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673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674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639</v>
      </c>
      <c r="C83" s="448">
        <v>1054326</v>
      </c>
      <c r="D83" s="448">
        <v>1261614</v>
      </c>
      <c r="E83" s="448">
        <f t="shared" ref="E83:E95" si="8">D83-C83</f>
        <v>207288</v>
      </c>
      <c r="F83" s="449">
        <f t="shared" ref="F83:F95" si="9">IF(C83=0,0,E83/C83)</f>
        <v>0.1966071215164949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640</v>
      </c>
      <c r="C84" s="448">
        <v>0</v>
      </c>
      <c r="D84" s="448">
        <v>0</v>
      </c>
      <c r="E84" s="448">
        <f t="shared" si="8"/>
        <v>0</v>
      </c>
      <c r="F84" s="449">
        <f t="shared" si="9"/>
        <v>0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641</v>
      </c>
      <c r="C85" s="453">
        <f>IF(C83=0,0,C84/C83)</f>
        <v>0</v>
      </c>
      <c r="D85" s="453">
        <f>IF(LN_IC1=0,0,LN_IC2/LN_IC1)</f>
        <v>0</v>
      </c>
      <c r="E85" s="454">
        <f t="shared" si="8"/>
        <v>0</v>
      </c>
      <c r="F85" s="449">
        <f t="shared" si="9"/>
        <v>0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59</v>
      </c>
      <c r="D86" s="456">
        <v>70</v>
      </c>
      <c r="E86" s="456">
        <f t="shared" si="8"/>
        <v>11</v>
      </c>
      <c r="F86" s="449">
        <f t="shared" si="9"/>
        <v>0.1864406779661017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642</v>
      </c>
      <c r="C87" s="459">
        <v>1.0829</v>
      </c>
      <c r="D87" s="459">
        <v>1.0834999999999999</v>
      </c>
      <c r="E87" s="460">
        <f t="shared" si="8"/>
        <v>5.9999999999993392E-4</v>
      </c>
      <c r="F87" s="449">
        <f t="shared" si="9"/>
        <v>5.5406778095847627E-4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643</v>
      </c>
      <c r="C88" s="463">
        <f>C86*C87</f>
        <v>63.891100000000002</v>
      </c>
      <c r="D88" s="463">
        <f>LN_IC4*LN_IC5</f>
        <v>75.844999999999999</v>
      </c>
      <c r="E88" s="463">
        <f t="shared" si="8"/>
        <v>11.953899999999997</v>
      </c>
      <c r="F88" s="449">
        <f t="shared" si="9"/>
        <v>0.18709804651978126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644</v>
      </c>
      <c r="C89" s="465">
        <f>IF(C88=0,0,C84/C88)</f>
        <v>0</v>
      </c>
      <c r="D89" s="465">
        <f>IF(LN_IC6=0,0,LN_IC2/LN_IC6)</f>
        <v>0</v>
      </c>
      <c r="E89" s="465">
        <f t="shared" si="8"/>
        <v>0</v>
      </c>
      <c r="F89" s="449">
        <f t="shared" si="9"/>
        <v>0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675</v>
      </c>
      <c r="C90" s="465">
        <f>C48-C89</f>
        <v>11831.769502849284</v>
      </c>
      <c r="D90" s="465">
        <f>LN_IB7-LN_IC7</f>
        <v>11921.076650912359</v>
      </c>
      <c r="E90" s="465">
        <f t="shared" si="8"/>
        <v>89.307148063075147</v>
      </c>
      <c r="F90" s="449">
        <f t="shared" si="9"/>
        <v>7.548080449130498E-3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676</v>
      </c>
      <c r="C91" s="465">
        <f>C21-C89</f>
        <v>7474.9105762960098</v>
      </c>
      <c r="D91" s="465">
        <f>LN_IA7-LN_IC7</f>
        <v>7754.5178205990151</v>
      </c>
      <c r="E91" s="465">
        <f t="shared" si="8"/>
        <v>279.60724430300525</v>
      </c>
      <c r="F91" s="449">
        <f t="shared" si="9"/>
        <v>3.7406098902330556E-2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661</v>
      </c>
      <c r="C92" s="441">
        <f>C91*C88</f>
        <v>477580.25912118598</v>
      </c>
      <c r="D92" s="441">
        <f>LN_IC9*LN_IC6</f>
        <v>588141.40410333232</v>
      </c>
      <c r="E92" s="441">
        <f t="shared" si="8"/>
        <v>110561.14498214633</v>
      </c>
      <c r="F92" s="449">
        <f t="shared" si="9"/>
        <v>0.23150275345466373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166</v>
      </c>
      <c r="D93" s="456">
        <v>236</v>
      </c>
      <c r="E93" s="456">
        <f t="shared" si="8"/>
        <v>70</v>
      </c>
      <c r="F93" s="449">
        <f t="shared" si="9"/>
        <v>0.42168674698795183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645</v>
      </c>
      <c r="C94" s="499">
        <f>IF(C93=0,0,C84/C93)</f>
        <v>0</v>
      </c>
      <c r="D94" s="499">
        <f>IF(LN_IC11=0,0,LN_IC2/LN_IC11)</f>
        <v>0</v>
      </c>
      <c r="E94" s="499">
        <f t="shared" si="8"/>
        <v>0</v>
      </c>
      <c r="F94" s="449">
        <f t="shared" si="9"/>
        <v>0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646</v>
      </c>
      <c r="C95" s="466">
        <f>IF(C86=0,0,C93/C86)</f>
        <v>2.8135593220338984</v>
      </c>
      <c r="D95" s="466">
        <f>IF(LN_IC4=0,0,LN_IC11/LN_IC4)</f>
        <v>3.3714285714285714</v>
      </c>
      <c r="E95" s="466">
        <f t="shared" si="8"/>
        <v>0.55786924939467308</v>
      </c>
      <c r="F95" s="449">
        <f t="shared" si="9"/>
        <v>0.19827882960413079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677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648</v>
      </c>
      <c r="C98" s="448">
        <v>8932325</v>
      </c>
      <c r="D98" s="448">
        <v>10454134</v>
      </c>
      <c r="E98" s="448">
        <f t="shared" ref="E98:E106" si="10">D98-C98</f>
        <v>1521809</v>
      </c>
      <c r="F98" s="449">
        <f t="shared" ref="F98:F106" si="11">IF(C98=0,0,E98/C98)</f>
        <v>0.1703709840383103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649</v>
      </c>
      <c r="C99" s="448">
        <v>0</v>
      </c>
      <c r="D99" s="448">
        <v>0</v>
      </c>
      <c r="E99" s="448">
        <f t="shared" si="10"/>
        <v>0</v>
      </c>
      <c r="F99" s="449">
        <f t="shared" si="11"/>
        <v>0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650</v>
      </c>
      <c r="C100" s="453">
        <f>IF(C98=0,0,C99/C98)</f>
        <v>0</v>
      </c>
      <c r="D100" s="453">
        <f>IF(LN_IC14=0,0,LN_IC15/LN_IC14)</f>
        <v>0</v>
      </c>
      <c r="E100" s="454">
        <f t="shared" si="10"/>
        <v>0</v>
      </c>
      <c r="F100" s="449">
        <f t="shared" si="11"/>
        <v>0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651</v>
      </c>
      <c r="C101" s="453">
        <f>IF(C83=0,0,C98/C83)</f>
        <v>8.4720712568977721</v>
      </c>
      <c r="D101" s="453">
        <f>IF(LN_IC1=0,0,LN_IC14/LN_IC1)</f>
        <v>8.2863173680697901</v>
      </c>
      <c r="E101" s="454">
        <f t="shared" si="10"/>
        <v>-0.18575388882798194</v>
      </c>
      <c r="F101" s="449">
        <f t="shared" si="11"/>
        <v>-2.1925439859437592E-2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652</v>
      </c>
      <c r="C102" s="463">
        <f>C101*C86</f>
        <v>499.85220415696853</v>
      </c>
      <c r="D102" s="463">
        <f>LN_IC17*LN_IC4</f>
        <v>580.04221576488533</v>
      </c>
      <c r="E102" s="463">
        <f t="shared" si="10"/>
        <v>80.190011607916801</v>
      </c>
      <c r="F102" s="449">
        <f t="shared" si="11"/>
        <v>0.16042744423456567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653</v>
      </c>
      <c r="C103" s="465">
        <f>IF(C102=0,0,C99/C102)</f>
        <v>0</v>
      </c>
      <c r="D103" s="465">
        <f>IF(LN_IC18=0,0,LN_IC15/LN_IC18)</f>
        <v>0</v>
      </c>
      <c r="E103" s="465">
        <f t="shared" si="10"/>
        <v>0</v>
      </c>
      <c r="F103" s="449">
        <f t="shared" si="11"/>
        <v>0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678</v>
      </c>
      <c r="C104" s="465">
        <f>C61-C103</f>
        <v>10910.527048162056</v>
      </c>
      <c r="D104" s="465">
        <f>LN_IB18-LN_IC19</f>
        <v>10250.080103424178</v>
      </c>
      <c r="E104" s="465">
        <f t="shared" si="10"/>
        <v>-660.44694473787786</v>
      </c>
      <c r="F104" s="449">
        <f t="shared" si="11"/>
        <v>-6.0533001001920814E-2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679</v>
      </c>
      <c r="C105" s="465">
        <f>C32-C103</f>
        <v>6761.2825118476385</v>
      </c>
      <c r="D105" s="465">
        <f>LN_IA16-LN_IC19</f>
        <v>6074.1777649426294</v>
      </c>
      <c r="E105" s="465">
        <f t="shared" si="10"/>
        <v>-687.10474690500905</v>
      </c>
      <c r="F105" s="449">
        <f t="shared" si="11"/>
        <v>-0.10162343397144127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664</v>
      </c>
      <c r="C106" s="448">
        <f>C105*C102</f>
        <v>3379641.9664750067</v>
      </c>
      <c r="D106" s="448">
        <f>LN_IC21*LN_IC18</f>
        <v>3523279.5297271213</v>
      </c>
      <c r="E106" s="448">
        <f t="shared" si="10"/>
        <v>143637.56325211469</v>
      </c>
      <c r="F106" s="449">
        <f t="shared" si="11"/>
        <v>4.2500822476745907E-2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680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655</v>
      </c>
      <c r="C109" s="448">
        <f>C83+C98</f>
        <v>9986651</v>
      </c>
      <c r="D109" s="448">
        <f>LN_IC1+LN_IC14</f>
        <v>11715748</v>
      </c>
      <c r="E109" s="448">
        <f>D109-C109</f>
        <v>1729097</v>
      </c>
      <c r="F109" s="449">
        <f>IF(C109=0,0,E109/C109)</f>
        <v>0.17314082568821118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656</v>
      </c>
      <c r="C110" s="448">
        <f>C84+C99</f>
        <v>0</v>
      </c>
      <c r="D110" s="448">
        <f>LN_IC2+LN_IC15</f>
        <v>0</v>
      </c>
      <c r="E110" s="448">
        <f>D110-C110</f>
        <v>0</v>
      </c>
      <c r="F110" s="449">
        <f>IF(C110=0,0,E110/C110)</f>
        <v>0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657</v>
      </c>
      <c r="C111" s="448">
        <f>C109-C110</f>
        <v>9986651</v>
      </c>
      <c r="D111" s="448">
        <f>LN_IC23-LN_IC24</f>
        <v>11715748</v>
      </c>
      <c r="E111" s="448">
        <f>D111-C111</f>
        <v>1729097</v>
      </c>
      <c r="F111" s="449">
        <f>IF(C111=0,0,E111/C111)</f>
        <v>0.17314082568821118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666</v>
      </c>
      <c r="C113" s="448">
        <f>C92+C106</f>
        <v>3857222.2255961928</v>
      </c>
      <c r="D113" s="448">
        <f>LN_IC10+LN_IC22</f>
        <v>4111420.9338304535</v>
      </c>
      <c r="E113" s="448">
        <f>D113-C113</f>
        <v>254198.70823426079</v>
      </c>
      <c r="F113" s="449">
        <f>IF(C113=0,0,E113/C113)</f>
        <v>6.5902012735335858E-2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681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682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639</v>
      </c>
      <c r="C118" s="448">
        <v>59068288</v>
      </c>
      <c r="D118" s="448">
        <v>55055803</v>
      </c>
      <c r="E118" s="448">
        <f t="shared" ref="E118:E130" si="12">D118-C118</f>
        <v>-4012485</v>
      </c>
      <c r="F118" s="449">
        <f t="shared" ref="F118:F130" si="13">IF(C118=0,0,E118/C118)</f>
        <v>-6.7929597011513188E-2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640</v>
      </c>
      <c r="C119" s="448">
        <v>16753204</v>
      </c>
      <c r="D119" s="448">
        <v>17445509</v>
      </c>
      <c r="E119" s="448">
        <f t="shared" si="12"/>
        <v>692305</v>
      </c>
      <c r="F119" s="449">
        <f t="shared" si="13"/>
        <v>4.1323737238560455E-2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641</v>
      </c>
      <c r="C120" s="453">
        <f>IF(C118=0,0,C119/C118)</f>
        <v>0.28362433663220443</v>
      </c>
      <c r="D120" s="453">
        <f>IF(LN_ID1=0,0,LN_1D2/LN_ID1)</f>
        <v>0.31686957685459605</v>
      </c>
      <c r="E120" s="454">
        <f t="shared" si="12"/>
        <v>3.3245240222391614E-2</v>
      </c>
      <c r="F120" s="449">
        <f t="shared" si="13"/>
        <v>0.11721575312312867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3087</v>
      </c>
      <c r="D121" s="456">
        <v>2975</v>
      </c>
      <c r="E121" s="456">
        <f t="shared" si="12"/>
        <v>-112</v>
      </c>
      <c r="F121" s="449">
        <f t="shared" si="13"/>
        <v>-3.6281179138321996E-2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642</v>
      </c>
      <c r="C122" s="459">
        <v>1.1125</v>
      </c>
      <c r="D122" s="459">
        <v>1.1573</v>
      </c>
      <c r="E122" s="460">
        <f t="shared" si="12"/>
        <v>4.4799999999999951E-2</v>
      </c>
      <c r="F122" s="449">
        <f t="shared" si="13"/>
        <v>4.0269662921348266E-2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643</v>
      </c>
      <c r="C123" s="463">
        <f>C121*C122</f>
        <v>3434.2875000000004</v>
      </c>
      <c r="D123" s="463">
        <f>LN_ID4*LN_ID5</f>
        <v>3442.9675000000002</v>
      </c>
      <c r="E123" s="463">
        <f t="shared" si="12"/>
        <v>8.6799999999998363</v>
      </c>
      <c r="F123" s="449">
        <f t="shared" si="13"/>
        <v>2.52745292873699E-3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644</v>
      </c>
      <c r="C124" s="465">
        <f>IF(C123=0,0,C119/C123)</f>
        <v>4878.2182621577249</v>
      </c>
      <c r="D124" s="465">
        <f>IF(LN_ID6=0,0,LN_1D2/LN_ID6)</f>
        <v>5066.9978732009522</v>
      </c>
      <c r="E124" s="465">
        <f t="shared" si="12"/>
        <v>188.77961104322731</v>
      </c>
      <c r="F124" s="449">
        <f t="shared" si="13"/>
        <v>3.8698475733991995E-2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683</v>
      </c>
      <c r="C125" s="465">
        <f>C48-C124</f>
        <v>6953.5512406915586</v>
      </c>
      <c r="D125" s="465">
        <f>LN_IB7-LN_ID7</f>
        <v>6854.0787777114065</v>
      </c>
      <c r="E125" s="465">
        <f t="shared" si="12"/>
        <v>-99.472462980152159</v>
      </c>
      <c r="F125" s="449">
        <f t="shared" si="13"/>
        <v>-1.4305275036739245E-2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684</v>
      </c>
      <c r="C126" s="465">
        <f>C21-C124</f>
        <v>2596.6923141382849</v>
      </c>
      <c r="D126" s="465">
        <f>LN_IA7-LN_ID7</f>
        <v>2687.5199473980629</v>
      </c>
      <c r="E126" s="465">
        <f t="shared" si="12"/>
        <v>90.82763325977794</v>
      </c>
      <c r="F126" s="449">
        <f t="shared" si="13"/>
        <v>3.4978203911663362E-2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661</v>
      </c>
      <c r="C127" s="479">
        <f>C126*C123</f>
        <v>8917787.9557911865</v>
      </c>
      <c r="D127" s="479">
        <f>LN_ID9*LN_ID6</f>
        <v>9253043.8344932403</v>
      </c>
      <c r="E127" s="479">
        <f t="shared" si="12"/>
        <v>335255.8787020538</v>
      </c>
      <c r="F127" s="449">
        <f t="shared" si="13"/>
        <v>3.7594062604318773E-2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13835</v>
      </c>
      <c r="D128" s="456">
        <v>13229</v>
      </c>
      <c r="E128" s="456">
        <f t="shared" si="12"/>
        <v>-606</v>
      </c>
      <c r="F128" s="449">
        <f t="shared" si="13"/>
        <v>-4.3801951572099748E-2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645</v>
      </c>
      <c r="C129" s="465">
        <f>IF(C128=0,0,C119/C128)</f>
        <v>1210.9290928803759</v>
      </c>
      <c r="D129" s="465">
        <f>IF(LN_ID11=0,0,LN_1D2/LN_ID11)</f>
        <v>1318.7322548945499</v>
      </c>
      <c r="E129" s="465">
        <f t="shared" si="12"/>
        <v>107.80316201417395</v>
      </c>
      <c r="F129" s="449">
        <f t="shared" si="13"/>
        <v>8.9025164766458789E-2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646</v>
      </c>
      <c r="C130" s="466">
        <f>IF(C121=0,0,C128/C121)</f>
        <v>4.4816974408811143</v>
      </c>
      <c r="D130" s="466">
        <f>IF(LN_ID4=0,0,LN_ID11/LN_ID4)</f>
        <v>4.4467226890756306</v>
      </c>
      <c r="E130" s="466">
        <f t="shared" si="12"/>
        <v>-3.4974751805483706E-2</v>
      </c>
      <c r="F130" s="449">
        <f t="shared" si="13"/>
        <v>-7.8039073959904736E-3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685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648</v>
      </c>
      <c r="C133" s="448">
        <v>93379302</v>
      </c>
      <c r="D133" s="448">
        <v>100608488</v>
      </c>
      <c r="E133" s="448">
        <f t="shared" ref="E133:E141" si="14">D133-C133</f>
        <v>7229186</v>
      </c>
      <c r="F133" s="449">
        <f t="shared" ref="F133:F141" si="15">IF(C133=0,0,E133/C133)</f>
        <v>7.7417434540258179E-2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649</v>
      </c>
      <c r="C134" s="448">
        <v>23144138</v>
      </c>
      <c r="D134" s="448">
        <v>21600284</v>
      </c>
      <c r="E134" s="448">
        <f t="shared" si="14"/>
        <v>-1543854</v>
      </c>
      <c r="F134" s="449">
        <f t="shared" si="15"/>
        <v>-6.6706048849172958E-2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650</v>
      </c>
      <c r="C135" s="453">
        <f>IF(C133=0,0,C134/C133)</f>
        <v>0.24785083529538485</v>
      </c>
      <c r="D135" s="453">
        <f>IF(LN_ID14=0,0,LN_ID15/LN_ID14)</f>
        <v>0.21469643793871546</v>
      </c>
      <c r="E135" s="454">
        <f t="shared" si="14"/>
        <v>-3.3154397356669391E-2</v>
      </c>
      <c r="F135" s="449">
        <f t="shared" si="15"/>
        <v>-0.13376754335790914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651</v>
      </c>
      <c r="C136" s="453">
        <f>IF(C118=0,0,C133/C118)</f>
        <v>1.5808702971042601</v>
      </c>
      <c r="D136" s="453">
        <f>IF(LN_ID1=0,0,LN_ID14/LN_ID1)</f>
        <v>1.8273911652873358</v>
      </c>
      <c r="E136" s="454">
        <f t="shared" si="14"/>
        <v>0.24652086818307573</v>
      </c>
      <c r="F136" s="449">
        <f t="shared" si="15"/>
        <v>0.15593997093540016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652</v>
      </c>
      <c r="C137" s="463">
        <f>C136*C121</f>
        <v>4880.1466071608511</v>
      </c>
      <c r="D137" s="463">
        <f>LN_ID17*LN_ID4</f>
        <v>5436.4887167298239</v>
      </c>
      <c r="E137" s="463">
        <f t="shared" si="14"/>
        <v>556.34210956897277</v>
      </c>
      <c r="F137" s="449">
        <f t="shared" si="15"/>
        <v>0.1140011057767461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653</v>
      </c>
      <c r="C138" s="465">
        <f>IF(C137=0,0,C134/C137)</f>
        <v>4742.5087529213979</v>
      </c>
      <c r="D138" s="465">
        <f>IF(LN_ID18=0,0,LN_ID15/LN_ID18)</f>
        <v>3973.2049720859313</v>
      </c>
      <c r="E138" s="465">
        <f t="shared" si="14"/>
        <v>-769.30378083546657</v>
      </c>
      <c r="F138" s="449">
        <f t="shared" si="15"/>
        <v>-0.16221451997565073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686</v>
      </c>
      <c r="C139" s="465">
        <f>C61-C138</f>
        <v>6168.0182952406576</v>
      </c>
      <c r="D139" s="465">
        <f>LN_IB18-LN_ID19</f>
        <v>6276.8751313382463</v>
      </c>
      <c r="E139" s="465">
        <f t="shared" si="14"/>
        <v>108.85683609758871</v>
      </c>
      <c r="F139" s="449">
        <f t="shared" si="15"/>
        <v>1.7648591636244725E-2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687</v>
      </c>
      <c r="C140" s="465">
        <f>C32-C138</f>
        <v>2018.7737589262406</v>
      </c>
      <c r="D140" s="465">
        <f>LN_IA16-LN_ID19</f>
        <v>2100.9727928566981</v>
      </c>
      <c r="E140" s="465">
        <f t="shared" si="14"/>
        <v>82.199033930457517</v>
      </c>
      <c r="F140" s="449">
        <f t="shared" si="15"/>
        <v>4.0717308498292602E-2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664</v>
      </c>
      <c r="C141" s="441">
        <f>C140*C137</f>
        <v>9851911.91024925</v>
      </c>
      <c r="D141" s="441">
        <f>LN_ID21*LN_ID18</f>
        <v>11421914.882521784</v>
      </c>
      <c r="E141" s="441">
        <f t="shared" si="14"/>
        <v>1570002.9722725339</v>
      </c>
      <c r="F141" s="449">
        <f t="shared" si="15"/>
        <v>0.159360232468097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688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655</v>
      </c>
      <c r="C144" s="448">
        <f>C118+C133</f>
        <v>152447590</v>
      </c>
      <c r="D144" s="448">
        <f>LN_ID1+LN_ID14</f>
        <v>155664291</v>
      </c>
      <c r="E144" s="448">
        <f>D144-C144</f>
        <v>3216701</v>
      </c>
      <c r="F144" s="449">
        <f>IF(C144=0,0,E144/C144)</f>
        <v>2.1100372921605385E-2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656</v>
      </c>
      <c r="C145" s="448">
        <f>C119+C134</f>
        <v>39897342</v>
      </c>
      <c r="D145" s="448">
        <f>LN_1D2+LN_ID15</f>
        <v>39045793</v>
      </c>
      <c r="E145" s="448">
        <f>D145-C145</f>
        <v>-851549</v>
      </c>
      <c r="F145" s="449">
        <f>IF(C145=0,0,E145/C145)</f>
        <v>-2.1343502030786912E-2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657</v>
      </c>
      <c r="C146" s="448">
        <f>C144-C145</f>
        <v>112550248</v>
      </c>
      <c r="D146" s="448">
        <f>LN_ID23-LN_ID24</f>
        <v>116618498</v>
      </c>
      <c r="E146" s="448">
        <f>D146-C146</f>
        <v>4068250</v>
      </c>
      <c r="F146" s="449">
        <f>IF(C146=0,0,E146/C146)</f>
        <v>3.6146077616816978E-2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666</v>
      </c>
      <c r="C148" s="448">
        <f>C127+C141</f>
        <v>18769699.866040438</v>
      </c>
      <c r="D148" s="448">
        <f>LN_ID10+LN_ID22</f>
        <v>20674958.717015024</v>
      </c>
      <c r="E148" s="448">
        <f>D148-C148</f>
        <v>1905258.8509745859</v>
      </c>
      <c r="F148" s="503">
        <f>IF(C148=0,0,E148/C148)</f>
        <v>0.10150715592537121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689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690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639</v>
      </c>
      <c r="C153" s="448">
        <v>2140405</v>
      </c>
      <c r="D153" s="448">
        <v>3012299</v>
      </c>
      <c r="E153" s="448">
        <f t="shared" ref="E153:E165" si="16">D153-C153</f>
        <v>871894</v>
      </c>
      <c r="F153" s="449">
        <f t="shared" ref="F153:F165" si="17">IF(C153=0,0,E153/C153)</f>
        <v>0.40735001086243022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640</v>
      </c>
      <c r="C154" s="448">
        <v>825171</v>
      </c>
      <c r="D154" s="448">
        <v>188341</v>
      </c>
      <c r="E154" s="448">
        <f t="shared" si="16"/>
        <v>-636830</v>
      </c>
      <c r="F154" s="449">
        <f t="shared" si="17"/>
        <v>-0.77175518771260743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641</v>
      </c>
      <c r="C155" s="453">
        <f>IF(C153=0,0,C154/C153)</f>
        <v>0.38552096449036516</v>
      </c>
      <c r="D155" s="453">
        <f>IF(LN_IE1=0,0,LN_IE2/LN_IE1)</f>
        <v>6.2524005751089115E-2</v>
      </c>
      <c r="E155" s="454">
        <f t="shared" si="16"/>
        <v>-0.32299695873927603</v>
      </c>
      <c r="F155" s="449">
        <f t="shared" si="17"/>
        <v>-0.83781944041942835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123</v>
      </c>
      <c r="D156" s="506">
        <v>83</v>
      </c>
      <c r="E156" s="506">
        <f t="shared" si="16"/>
        <v>-40</v>
      </c>
      <c r="F156" s="449">
        <f t="shared" si="17"/>
        <v>-0.32520325203252032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642</v>
      </c>
      <c r="C157" s="459">
        <v>0.92369999999999997</v>
      </c>
      <c r="D157" s="459">
        <v>1.1500999999999999</v>
      </c>
      <c r="E157" s="460">
        <f t="shared" si="16"/>
        <v>0.22639999999999993</v>
      </c>
      <c r="F157" s="449">
        <f t="shared" si="17"/>
        <v>0.2451012233409115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643</v>
      </c>
      <c r="C158" s="463">
        <f>C156*C157</f>
        <v>113.6151</v>
      </c>
      <c r="D158" s="463">
        <f>LN_IE4*LN_IE5</f>
        <v>95.458299999999994</v>
      </c>
      <c r="E158" s="463">
        <f t="shared" si="16"/>
        <v>-18.156800000000004</v>
      </c>
      <c r="F158" s="449">
        <f t="shared" si="17"/>
        <v>-0.15980974359922231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644</v>
      </c>
      <c r="C159" s="465">
        <f>IF(C158=0,0,C154/C158)</f>
        <v>7262.8638270793235</v>
      </c>
      <c r="D159" s="465">
        <f>IF(LN_IE6=0,0,LN_IE2/LN_IE6)</f>
        <v>1973.0185850785108</v>
      </c>
      <c r="E159" s="465">
        <f t="shared" si="16"/>
        <v>-5289.8452420008125</v>
      </c>
      <c r="F159" s="449">
        <f t="shared" si="17"/>
        <v>-0.72834151485503784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691</v>
      </c>
      <c r="C160" s="465">
        <f>C48-C159</f>
        <v>4568.90567576996</v>
      </c>
      <c r="D160" s="465">
        <f>LN_IB7-LN_IE7</f>
        <v>9948.0580658338476</v>
      </c>
      <c r="E160" s="465">
        <f t="shared" si="16"/>
        <v>5379.1523900638877</v>
      </c>
      <c r="F160" s="449">
        <f t="shared" si="17"/>
        <v>1.1773393393938656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692</v>
      </c>
      <c r="C161" s="465">
        <f>C21-C159</f>
        <v>212.04674921668629</v>
      </c>
      <c r="D161" s="465">
        <f>LN_IA7-LN_IE7</f>
        <v>5781.499235520504</v>
      </c>
      <c r="E161" s="465">
        <f t="shared" si="16"/>
        <v>5569.4524863038178</v>
      </c>
      <c r="F161" s="449">
        <f t="shared" si="17"/>
        <v>26.265210416465788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661</v>
      </c>
      <c r="C162" s="479">
        <f>C161*C158</f>
        <v>24091.712616928733</v>
      </c>
      <c r="D162" s="479">
        <f>LN_IE9*LN_IE6</f>
        <v>551892.08847408695</v>
      </c>
      <c r="E162" s="479">
        <f t="shared" si="16"/>
        <v>527800.37585715821</v>
      </c>
      <c r="F162" s="449">
        <f t="shared" si="17"/>
        <v>21.907964130631548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483</v>
      </c>
      <c r="D163" s="456">
        <v>417</v>
      </c>
      <c r="E163" s="506">
        <f t="shared" si="16"/>
        <v>-66</v>
      </c>
      <c r="F163" s="449">
        <f t="shared" si="17"/>
        <v>-0.13664596273291926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645</v>
      </c>
      <c r="C164" s="465">
        <f>IF(C163=0,0,C154/C163)</f>
        <v>1708.4285714285713</v>
      </c>
      <c r="D164" s="465">
        <f>IF(LN_IE11=0,0,LN_IE2/LN_IE11)</f>
        <v>451.65707434052757</v>
      </c>
      <c r="E164" s="465">
        <f t="shared" si="16"/>
        <v>-1256.7714970880438</v>
      </c>
      <c r="F164" s="449">
        <f t="shared" si="17"/>
        <v>-0.73563010950884755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646</v>
      </c>
      <c r="C165" s="466">
        <f>IF(C156=0,0,C163/C156)</f>
        <v>3.9268292682926829</v>
      </c>
      <c r="D165" s="466">
        <f>IF(LN_IE4=0,0,LN_IE11/LN_IE4)</f>
        <v>5.024096385542169</v>
      </c>
      <c r="E165" s="466">
        <f t="shared" si="16"/>
        <v>1.0972671172494861</v>
      </c>
      <c r="F165" s="449">
        <f t="shared" si="17"/>
        <v>0.27942827209458965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693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648</v>
      </c>
      <c r="C168" s="511">
        <v>2483037</v>
      </c>
      <c r="D168" s="511">
        <v>2888948</v>
      </c>
      <c r="E168" s="511">
        <f t="shared" ref="E168:E176" si="18">D168-C168</f>
        <v>405911</v>
      </c>
      <c r="F168" s="449">
        <f t="shared" ref="F168:F176" si="19">IF(C168=0,0,E168/C168)</f>
        <v>0.16347360107803469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649</v>
      </c>
      <c r="C169" s="511">
        <v>1037063</v>
      </c>
      <c r="D169" s="511">
        <v>481050</v>
      </c>
      <c r="E169" s="511">
        <f t="shared" si="18"/>
        <v>-556013</v>
      </c>
      <c r="F169" s="449">
        <f t="shared" si="19"/>
        <v>-0.53614197015996135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650</v>
      </c>
      <c r="C170" s="453">
        <f>IF(C168=0,0,C169/C168)</f>
        <v>0.41765910052890876</v>
      </c>
      <c r="D170" s="453">
        <f>IF(LN_IE14=0,0,LN_IE15/LN_IE14)</f>
        <v>0.16651390056172696</v>
      </c>
      <c r="E170" s="454">
        <f t="shared" si="18"/>
        <v>-0.25114519996718176</v>
      </c>
      <c r="F170" s="449">
        <f t="shared" si="19"/>
        <v>-0.60131624008465356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651</v>
      </c>
      <c r="C171" s="453">
        <f>IF(C153=0,0,C168/C153)</f>
        <v>1.1600781160574751</v>
      </c>
      <c r="D171" s="453">
        <f>IF(LN_IE1=0,0,LN_IE14/LN_IE1)</f>
        <v>0.95905087775151143</v>
      </c>
      <c r="E171" s="454">
        <f t="shared" si="18"/>
        <v>-0.2010272383059637</v>
      </c>
      <c r="F171" s="449">
        <f t="shared" si="19"/>
        <v>-0.17328767392764433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652</v>
      </c>
      <c r="C172" s="463">
        <f>C171*C156</f>
        <v>142.68960827506945</v>
      </c>
      <c r="D172" s="463">
        <f>LN_IE17*LN_IE4</f>
        <v>79.601222853375447</v>
      </c>
      <c r="E172" s="463">
        <f t="shared" si="18"/>
        <v>-63.088385421693999</v>
      </c>
      <c r="F172" s="449">
        <f t="shared" si="19"/>
        <v>-0.44213721086174379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653</v>
      </c>
      <c r="C173" s="465">
        <f>IF(C172=0,0,C169/C172)</f>
        <v>7267.9644477038937</v>
      </c>
      <c r="D173" s="465">
        <f>IF(LN_IE18=0,0,LN_IE15/LN_IE18)</f>
        <v>6043.2488692552961</v>
      </c>
      <c r="E173" s="465">
        <f t="shared" si="18"/>
        <v>-1224.7155784485976</v>
      </c>
      <c r="F173" s="449">
        <f t="shared" si="19"/>
        <v>-0.16850874646690267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694</v>
      </c>
      <c r="C174" s="465">
        <f>C61-C173</f>
        <v>3642.5626004581618</v>
      </c>
      <c r="D174" s="465">
        <f>LN_IB18-LN_IE19</f>
        <v>4206.8312341688816</v>
      </c>
      <c r="E174" s="465">
        <f t="shared" si="18"/>
        <v>564.26863371071977</v>
      </c>
      <c r="F174" s="449">
        <f t="shared" si="19"/>
        <v>0.15490979719600317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695</v>
      </c>
      <c r="C175" s="465">
        <f>C32-C173</f>
        <v>-506.68193585625522</v>
      </c>
      <c r="D175" s="465">
        <f>LN_IA16-LN_IE19</f>
        <v>30.928895687333352</v>
      </c>
      <c r="E175" s="465">
        <f t="shared" si="18"/>
        <v>537.61083154358857</v>
      </c>
      <c r="F175" s="449">
        <f t="shared" si="19"/>
        <v>-1.0610420334702988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664</v>
      </c>
      <c r="C176" s="441">
        <f>C175*C172</f>
        <v>-72298.246947382926</v>
      </c>
      <c r="D176" s="441">
        <f>LN_IE21*LN_IE18</f>
        <v>2461.9779182162247</v>
      </c>
      <c r="E176" s="441">
        <f t="shared" si="18"/>
        <v>74760.224865599157</v>
      </c>
      <c r="F176" s="449">
        <f t="shared" si="19"/>
        <v>-1.0340530790464117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696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655</v>
      </c>
      <c r="C179" s="448">
        <f>C153+C168</f>
        <v>4623442</v>
      </c>
      <c r="D179" s="448">
        <f>LN_IE1+LN_IE14</f>
        <v>5901247</v>
      </c>
      <c r="E179" s="448">
        <f>D179-C179</f>
        <v>1277805</v>
      </c>
      <c r="F179" s="449">
        <f>IF(C179=0,0,E179/C179)</f>
        <v>0.27637526327787826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656</v>
      </c>
      <c r="C180" s="448">
        <f>C154+C169</f>
        <v>1862234</v>
      </c>
      <c r="D180" s="448">
        <f>LN_IE15+LN_IE2</f>
        <v>669391</v>
      </c>
      <c r="E180" s="448">
        <f>D180-C180</f>
        <v>-1192843</v>
      </c>
      <c r="F180" s="449">
        <f>IF(C180=0,0,E180/C180)</f>
        <v>-0.64054409918409827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657</v>
      </c>
      <c r="C181" s="448">
        <f>C179-C180</f>
        <v>2761208</v>
      </c>
      <c r="D181" s="448">
        <f>LN_IE23-LN_IE24</f>
        <v>5231856</v>
      </c>
      <c r="E181" s="448">
        <f>D181-C181</f>
        <v>2470648</v>
      </c>
      <c r="F181" s="449">
        <f>IF(C181=0,0,E181/C181)</f>
        <v>0.8947706945655669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697</v>
      </c>
      <c r="C183" s="448">
        <f>C162+C176</f>
        <v>-48206.534330454189</v>
      </c>
      <c r="D183" s="448">
        <f>LN_IE10+LN_IE22</f>
        <v>554354.06639230321</v>
      </c>
      <c r="E183" s="441">
        <f>D183-C183</f>
        <v>602560.6007227574</v>
      </c>
      <c r="F183" s="449">
        <f>IF(C183=0,0,E183/C183)</f>
        <v>-12.49956274790933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698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699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639</v>
      </c>
      <c r="C188" s="448">
        <f>C118+C153</f>
        <v>61208693</v>
      </c>
      <c r="D188" s="448">
        <f>LN_ID1+LN_IE1</f>
        <v>58068102</v>
      </c>
      <c r="E188" s="448">
        <f t="shared" ref="E188:E200" si="20">D188-C188</f>
        <v>-3140591</v>
      </c>
      <c r="F188" s="449">
        <f t="shared" ref="F188:F200" si="21">IF(C188=0,0,E188/C188)</f>
        <v>-5.1309558268136851E-2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640</v>
      </c>
      <c r="C189" s="448">
        <f>C119+C154</f>
        <v>17578375</v>
      </c>
      <c r="D189" s="448">
        <f>LN_1D2+LN_IE2</f>
        <v>17633850</v>
      </c>
      <c r="E189" s="448">
        <f t="shared" si="20"/>
        <v>55475</v>
      </c>
      <c r="F189" s="449">
        <f t="shared" si="21"/>
        <v>3.1558662276803175E-3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641</v>
      </c>
      <c r="C190" s="453">
        <f>IF(C188=0,0,C189/C188)</f>
        <v>0.28718755683935288</v>
      </c>
      <c r="D190" s="453">
        <f>IF(LN_IF1=0,0,LN_IF2/LN_IF1)</f>
        <v>0.30367532935724334</v>
      </c>
      <c r="E190" s="454">
        <f t="shared" si="20"/>
        <v>1.6487772517890464E-2</v>
      </c>
      <c r="F190" s="449">
        <f t="shared" si="21"/>
        <v>5.7411166066339718E-2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3210</v>
      </c>
      <c r="D191" s="456">
        <f>LN_ID4+LN_IE4</f>
        <v>3058</v>
      </c>
      <c r="E191" s="456">
        <f t="shared" si="20"/>
        <v>-152</v>
      </c>
      <c r="F191" s="449">
        <f t="shared" si="21"/>
        <v>-4.7352024922118381E-2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642</v>
      </c>
      <c r="C192" s="459">
        <f>IF((C121+C156)=0,0,(C123+C158)/(C121+C156))</f>
        <v>1.1052656074766356</v>
      </c>
      <c r="D192" s="459">
        <f>IF((LN_ID4+LN_IE4)=0,0,(LN_ID6+LN_IE6)/(LN_ID4+LN_IE4))</f>
        <v>1.1571045781556573</v>
      </c>
      <c r="E192" s="460">
        <f t="shared" si="20"/>
        <v>5.1838970679021656E-2</v>
      </c>
      <c r="F192" s="449">
        <f t="shared" si="21"/>
        <v>4.690182190448506E-2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643</v>
      </c>
      <c r="C193" s="463">
        <f>C123+C158</f>
        <v>3547.9026000000003</v>
      </c>
      <c r="D193" s="463">
        <f>LN_IF4*LN_IF5</f>
        <v>3538.4258</v>
      </c>
      <c r="E193" s="463">
        <f t="shared" si="20"/>
        <v>-9.4768000000003667</v>
      </c>
      <c r="F193" s="449">
        <f t="shared" si="21"/>
        <v>-2.6710992573472469E-3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644</v>
      </c>
      <c r="C194" s="465">
        <f>IF(C193=0,0,C189/C193)</f>
        <v>4954.5821804691022</v>
      </c>
      <c r="D194" s="465">
        <f>IF(LN_IF6=0,0,LN_IF2/LN_IF6)</f>
        <v>4983.5296814758694</v>
      </c>
      <c r="E194" s="465">
        <f t="shared" si="20"/>
        <v>28.947501006767197</v>
      </c>
      <c r="F194" s="449">
        <f t="shared" si="21"/>
        <v>5.8425715736188343E-3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700</v>
      </c>
      <c r="C195" s="465">
        <f>C48-C194</f>
        <v>6877.1873223801813</v>
      </c>
      <c r="D195" s="465">
        <f>LN_IB7-LN_IF7</f>
        <v>6937.5469694364892</v>
      </c>
      <c r="E195" s="465">
        <f t="shared" si="20"/>
        <v>60.359647056307949</v>
      </c>
      <c r="F195" s="449">
        <f t="shared" si="21"/>
        <v>8.7767926372867202E-3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701</v>
      </c>
      <c r="C196" s="465">
        <f>C21-C194</f>
        <v>2520.3283958269076</v>
      </c>
      <c r="D196" s="465">
        <f>LN_IA7-LN_IF7</f>
        <v>2770.9881391231456</v>
      </c>
      <c r="E196" s="465">
        <f t="shared" si="20"/>
        <v>250.65974329623805</v>
      </c>
      <c r="F196" s="449">
        <f t="shared" si="21"/>
        <v>9.9455191518404415E-2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661</v>
      </c>
      <c r="C197" s="479">
        <f>C127+C162</f>
        <v>8941879.6684081145</v>
      </c>
      <c r="D197" s="479">
        <f>LN_IF9*LN_IF6</f>
        <v>9804935.9229673278</v>
      </c>
      <c r="E197" s="479">
        <f t="shared" si="20"/>
        <v>863056.2545592133</v>
      </c>
      <c r="F197" s="449">
        <f t="shared" si="21"/>
        <v>9.6518437572853139E-2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14318</v>
      </c>
      <c r="D198" s="456">
        <f>LN_ID11+LN_IE11</f>
        <v>13646</v>
      </c>
      <c r="E198" s="456">
        <f t="shared" si="20"/>
        <v>-672</v>
      </c>
      <c r="F198" s="449">
        <f t="shared" si="21"/>
        <v>-4.6933929319737396E-2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645</v>
      </c>
      <c r="C199" s="519">
        <f>IF(C198=0,0,C189/C198)</f>
        <v>1227.7116217348791</v>
      </c>
      <c r="D199" s="519">
        <f>IF(LN_IF11=0,0,LN_IF2/LN_IF11)</f>
        <v>1292.2358200205188</v>
      </c>
      <c r="E199" s="519">
        <f t="shared" si="20"/>
        <v>64.524198285639613</v>
      </c>
      <c r="F199" s="449">
        <f t="shared" si="21"/>
        <v>5.2556477550045895E-2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646</v>
      </c>
      <c r="C200" s="466">
        <f>IF(C191=0,0,C198/C191)</f>
        <v>4.4604361370716514</v>
      </c>
      <c r="D200" s="466">
        <f>IF(LN_IF4=0,0,LN_IF11/LN_IF4)</f>
        <v>4.462393721386527</v>
      </c>
      <c r="E200" s="466">
        <f t="shared" si="20"/>
        <v>1.9575843148755823E-3</v>
      </c>
      <c r="F200" s="449">
        <f t="shared" si="21"/>
        <v>4.3887733278045945E-4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702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648</v>
      </c>
      <c r="C203" s="448">
        <f>C133+C168</f>
        <v>95862339</v>
      </c>
      <c r="D203" s="448">
        <f>LN_ID14+LN_IE14</f>
        <v>103497436</v>
      </c>
      <c r="E203" s="448">
        <f t="shared" ref="E203:E211" si="22">D203-C203</f>
        <v>7635097</v>
      </c>
      <c r="F203" s="449">
        <f t="shared" ref="F203:F211" si="23">IF(C203=0,0,E203/C203)</f>
        <v>7.9646470967081245E-2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649</v>
      </c>
      <c r="C204" s="448">
        <f>C134+C169</f>
        <v>24181201</v>
      </c>
      <c r="D204" s="448">
        <f>LN_ID15+LN_IE15</f>
        <v>22081334</v>
      </c>
      <c r="E204" s="448">
        <f t="shared" si="22"/>
        <v>-2099867</v>
      </c>
      <c r="F204" s="449">
        <f t="shared" si="23"/>
        <v>-8.6838821611879405E-2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650</v>
      </c>
      <c r="C205" s="453">
        <f>IF(C203=0,0,C204/C203)</f>
        <v>0.25224922792672522</v>
      </c>
      <c r="D205" s="453">
        <f>IF(LN_IF14=0,0,LN_IF15/LN_IF14)</f>
        <v>0.21335150756778168</v>
      </c>
      <c r="E205" s="454">
        <f t="shared" si="22"/>
        <v>-3.8897720358943538E-2</v>
      </c>
      <c r="F205" s="449">
        <f t="shared" si="23"/>
        <v>-0.15420352592810618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651</v>
      </c>
      <c r="C206" s="453">
        <f>IF(C188=0,0,C203/C188)</f>
        <v>1.5661556276001516</v>
      </c>
      <c r="D206" s="453">
        <f>IF(LN_IF1=0,0,LN_IF14/LN_IF1)</f>
        <v>1.7823457704885894</v>
      </c>
      <c r="E206" s="454">
        <f t="shared" si="22"/>
        <v>0.21619014288843785</v>
      </c>
      <c r="F206" s="449">
        <f t="shared" si="23"/>
        <v>0.13803873579262993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652</v>
      </c>
      <c r="C207" s="463">
        <f>C137+C172</f>
        <v>5022.8362154359202</v>
      </c>
      <c r="D207" s="463">
        <f>LN_ID18+LN_IE18</f>
        <v>5516.0899395831993</v>
      </c>
      <c r="E207" s="463">
        <f t="shared" si="22"/>
        <v>493.25372414727917</v>
      </c>
      <c r="F207" s="449">
        <f t="shared" si="23"/>
        <v>9.8202231367098408E-2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653</v>
      </c>
      <c r="C208" s="465">
        <f>IF(C207=0,0,C204/C207)</f>
        <v>4814.2523392834482</v>
      </c>
      <c r="D208" s="465">
        <f>IF(LN_IF18=0,0,LN_IF15/LN_IF18)</f>
        <v>4003.0772235139598</v>
      </c>
      <c r="E208" s="465">
        <f t="shared" si="22"/>
        <v>-811.17511576948846</v>
      </c>
      <c r="F208" s="449">
        <f t="shared" si="23"/>
        <v>-0.16849451557626982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703</v>
      </c>
      <c r="C209" s="465">
        <f>C61-C208</f>
        <v>6096.2747088786073</v>
      </c>
      <c r="D209" s="465">
        <f>LN_IB18-LN_IF19</f>
        <v>6247.0028799102183</v>
      </c>
      <c r="E209" s="465">
        <f t="shared" si="22"/>
        <v>150.72817103161105</v>
      </c>
      <c r="F209" s="449">
        <f t="shared" si="23"/>
        <v>2.4724635655294654E-2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704</v>
      </c>
      <c r="C210" s="465">
        <f>C32-C208</f>
        <v>1947.0301725641903</v>
      </c>
      <c r="D210" s="465">
        <f>LN_IA16-LN_IF19</f>
        <v>2071.1005414286697</v>
      </c>
      <c r="E210" s="465">
        <f t="shared" si="22"/>
        <v>124.07036886447941</v>
      </c>
      <c r="F210" s="449">
        <f t="shared" si="23"/>
        <v>6.3722879394869272E-2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664</v>
      </c>
      <c r="C211" s="479">
        <f>C141+C176</f>
        <v>9779613.6633018665</v>
      </c>
      <c r="D211" s="441">
        <f>LN_IF21*LN_IF18</f>
        <v>11424376.860440003</v>
      </c>
      <c r="E211" s="441">
        <f t="shared" si="22"/>
        <v>1644763.1971381363</v>
      </c>
      <c r="F211" s="449">
        <f t="shared" si="23"/>
        <v>0.16818283970768014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705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655</v>
      </c>
      <c r="C214" s="448">
        <f>C188+C203</f>
        <v>157071032</v>
      </c>
      <c r="D214" s="448">
        <f>LN_IF1+LN_IF14</f>
        <v>161565538</v>
      </c>
      <c r="E214" s="448">
        <f>D214-C214</f>
        <v>4494506</v>
      </c>
      <c r="F214" s="449">
        <f>IF(C214=0,0,E214/C214)</f>
        <v>2.8614480612822357E-2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656</v>
      </c>
      <c r="C215" s="448">
        <f>C189+C204</f>
        <v>41759576</v>
      </c>
      <c r="D215" s="448">
        <f>LN_IF2+LN_IF15</f>
        <v>39715184</v>
      </c>
      <c r="E215" s="448">
        <f>D215-C215</f>
        <v>-2044392</v>
      </c>
      <c r="F215" s="449">
        <f>IF(C215=0,0,E215/C215)</f>
        <v>-4.8956244191751375E-2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657</v>
      </c>
      <c r="C216" s="448">
        <f>C214-C215</f>
        <v>115311456</v>
      </c>
      <c r="D216" s="448">
        <f>LN_IF23-LN_IF24</f>
        <v>121850354</v>
      </c>
      <c r="E216" s="448">
        <f>D216-C216</f>
        <v>6538898</v>
      </c>
      <c r="F216" s="449">
        <f>IF(C216=0,0,E216/C216)</f>
        <v>5.6706403915323035E-2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706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707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639</v>
      </c>
      <c r="C221" s="448">
        <v>11008953</v>
      </c>
      <c r="D221" s="448">
        <v>9964792</v>
      </c>
      <c r="E221" s="448">
        <f t="shared" ref="E221:E230" si="24">D221-C221</f>
        <v>-1044161</v>
      </c>
      <c r="F221" s="449">
        <f t="shared" ref="F221:F230" si="25">IF(C221=0,0,E221/C221)</f>
        <v>-9.4846530819052463E-2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640</v>
      </c>
      <c r="C222" s="448">
        <v>4609438</v>
      </c>
      <c r="D222" s="448">
        <v>5177610</v>
      </c>
      <c r="E222" s="448">
        <f t="shared" si="24"/>
        <v>568172</v>
      </c>
      <c r="F222" s="449">
        <f t="shared" si="25"/>
        <v>0.12326274916811984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641</v>
      </c>
      <c r="C223" s="453">
        <f>IF(C221=0,0,C222/C221)</f>
        <v>0.41869903523068908</v>
      </c>
      <c r="D223" s="453">
        <f>IF(LN_IG1=0,0,LN_IG2/LN_IG1)</f>
        <v>0.51959037378803286</v>
      </c>
      <c r="E223" s="454">
        <f t="shared" si="24"/>
        <v>0.10089133855734378</v>
      </c>
      <c r="F223" s="449">
        <f t="shared" si="25"/>
        <v>0.24096386680651424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812</v>
      </c>
      <c r="D224" s="456">
        <v>739</v>
      </c>
      <c r="E224" s="456">
        <f t="shared" si="24"/>
        <v>-73</v>
      </c>
      <c r="F224" s="449">
        <f t="shared" si="25"/>
        <v>-8.9901477832512317E-2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642</v>
      </c>
      <c r="C225" s="459">
        <v>0.94130000000000003</v>
      </c>
      <c r="D225" s="459">
        <v>0.9919</v>
      </c>
      <c r="E225" s="460">
        <f t="shared" si="24"/>
        <v>5.0599999999999978E-2</v>
      </c>
      <c r="F225" s="449">
        <f t="shared" si="25"/>
        <v>5.3755444597896503E-2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643</v>
      </c>
      <c r="C226" s="463">
        <f>C224*C225</f>
        <v>764.3356</v>
      </c>
      <c r="D226" s="463">
        <f>LN_IG3*LN_IG4</f>
        <v>733.01409999999998</v>
      </c>
      <c r="E226" s="463">
        <f t="shared" si="24"/>
        <v>-31.321500000000015</v>
      </c>
      <c r="F226" s="449">
        <f t="shared" si="25"/>
        <v>-4.0978727145510443E-2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644</v>
      </c>
      <c r="C227" s="465">
        <f>IF(C226=0,0,C222/C226)</f>
        <v>6030.6467473188477</v>
      </c>
      <c r="D227" s="465">
        <f>IF(LN_IG5=0,0,LN_IG2/LN_IG5)</f>
        <v>7063.4521218623222</v>
      </c>
      <c r="E227" s="465">
        <f t="shared" si="24"/>
        <v>1032.8053745434745</v>
      </c>
      <c r="F227" s="449">
        <f t="shared" si="25"/>
        <v>0.17125947146591652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2528</v>
      </c>
      <c r="D228" s="456">
        <v>2217</v>
      </c>
      <c r="E228" s="456">
        <f t="shared" si="24"/>
        <v>-311</v>
      </c>
      <c r="F228" s="449">
        <f t="shared" si="25"/>
        <v>-0.12302215189873418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645</v>
      </c>
      <c r="C229" s="465">
        <f>IF(C228=0,0,C222/C228)</f>
        <v>1823.3536392405063</v>
      </c>
      <c r="D229" s="465">
        <f>IF(LN_IG6=0,0,LN_IG2/LN_IG6)</f>
        <v>2335.4127198917454</v>
      </c>
      <c r="E229" s="465">
        <f t="shared" si="24"/>
        <v>512.05908065123913</v>
      </c>
      <c r="F229" s="449">
        <f t="shared" si="25"/>
        <v>0.28083366256067066</v>
      </c>
      <c r="Q229" s="421"/>
      <c r="U229" s="462"/>
    </row>
    <row r="230" spans="1:21" ht="15.75" customHeight="1" x14ac:dyDescent="0.2">
      <c r="A230" s="451">
        <v>10</v>
      </c>
      <c r="B230" s="447" t="s">
        <v>646</v>
      </c>
      <c r="C230" s="466">
        <f>IF(C224=0,0,C228/C224)</f>
        <v>3.1133004926108376</v>
      </c>
      <c r="D230" s="466">
        <f>IF(LN_IG3=0,0,LN_IG6/LN_IG3)</f>
        <v>3</v>
      </c>
      <c r="E230" s="466">
        <f t="shared" si="24"/>
        <v>-0.11330049261083763</v>
      </c>
      <c r="F230" s="449">
        <f t="shared" si="25"/>
        <v>-3.6392405063291201E-2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708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648</v>
      </c>
      <c r="C233" s="448">
        <v>22841698</v>
      </c>
      <c r="D233" s="448">
        <v>24483630</v>
      </c>
      <c r="E233" s="448">
        <f>D233-C233</f>
        <v>1641932</v>
      </c>
      <c r="F233" s="449">
        <f>IF(C233=0,0,E233/C233)</f>
        <v>7.1883097307389315E-2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649</v>
      </c>
      <c r="C234" s="448">
        <v>5268282</v>
      </c>
      <c r="D234" s="448">
        <v>5806504</v>
      </c>
      <c r="E234" s="448">
        <f>D234-C234</f>
        <v>538222</v>
      </c>
      <c r="F234" s="449">
        <f>IF(C234=0,0,E234/C234)</f>
        <v>0.10216271642254533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709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655</v>
      </c>
      <c r="C237" s="448">
        <f>C221+C233</f>
        <v>33850651</v>
      </c>
      <c r="D237" s="448">
        <f>LN_IG1+LN_IG9</f>
        <v>34448422</v>
      </c>
      <c r="E237" s="448">
        <f>D237-C237</f>
        <v>597771</v>
      </c>
      <c r="F237" s="449">
        <f>IF(C237=0,0,E237/C237)</f>
        <v>1.7659069540494215E-2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656</v>
      </c>
      <c r="C238" s="448">
        <f>C222+C234</f>
        <v>9877720</v>
      </c>
      <c r="D238" s="448">
        <f>LN_IG2+LN_IG10</f>
        <v>10984114</v>
      </c>
      <c r="E238" s="448">
        <f>D238-C238</f>
        <v>1106394</v>
      </c>
      <c r="F238" s="449">
        <f>IF(C238=0,0,E238/C238)</f>
        <v>0.11200904662209497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657</v>
      </c>
      <c r="C239" s="448">
        <f>C237-C238</f>
        <v>23972931</v>
      </c>
      <c r="D239" s="448">
        <f>LN_IG13-LN_IG14</f>
        <v>23464308</v>
      </c>
      <c r="E239" s="448">
        <f>D239-C239</f>
        <v>-508623</v>
      </c>
      <c r="F239" s="449">
        <f>IF(C239=0,0,E239/C239)</f>
        <v>-2.1216554621543773E-2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710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711</v>
      </c>
      <c r="C243" s="448">
        <v>30854159</v>
      </c>
      <c r="D243" s="448">
        <v>32202655</v>
      </c>
      <c r="E243" s="441">
        <f>D243-C243</f>
        <v>1348496</v>
      </c>
      <c r="F243" s="503">
        <f>IF(C243=0,0,E243/C243)</f>
        <v>4.3705485539242861E-2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712</v>
      </c>
      <c r="C244" s="448">
        <v>350127953</v>
      </c>
      <c r="D244" s="448">
        <v>344831100</v>
      </c>
      <c r="E244" s="441">
        <f>D244-C244</f>
        <v>-5296853</v>
      </c>
      <c r="F244" s="503">
        <f>IF(C244=0,0,E244/C244)</f>
        <v>-1.5128335097540755E-2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713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714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715</v>
      </c>
      <c r="C248" s="441">
        <v>2248341</v>
      </c>
      <c r="D248" s="441">
        <v>3555323</v>
      </c>
      <c r="E248" s="441">
        <f>D248-C248</f>
        <v>1306982</v>
      </c>
      <c r="F248" s="449">
        <f>IF(C248=0,0,E248/C248)</f>
        <v>0.58130950776594836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716</v>
      </c>
      <c r="C249" s="441">
        <v>12798310</v>
      </c>
      <c r="D249" s="441">
        <v>12353274</v>
      </c>
      <c r="E249" s="441">
        <f>D249-C249</f>
        <v>-445036</v>
      </c>
      <c r="F249" s="449">
        <f>IF(C249=0,0,E249/C249)</f>
        <v>-3.4773028626435831E-2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717</v>
      </c>
      <c r="C250" s="441">
        <f>C248+C249</f>
        <v>15046651</v>
      </c>
      <c r="D250" s="441">
        <f>LN_IH4+LN_IH5</f>
        <v>15908597</v>
      </c>
      <c r="E250" s="441">
        <f>D250-C250</f>
        <v>861946</v>
      </c>
      <c r="F250" s="449">
        <f>IF(C250=0,0,E250/C250)</f>
        <v>5.728490678756356E-2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718</v>
      </c>
      <c r="C251" s="441">
        <f>C250*C313</f>
        <v>6035764.6262781136</v>
      </c>
      <c r="D251" s="441">
        <f>LN_IH6*LN_III10</f>
        <v>6030508.6208476191</v>
      </c>
      <c r="E251" s="441">
        <f>D251-C251</f>
        <v>-5256.0054304944351</v>
      </c>
      <c r="F251" s="449">
        <f>IF(C251=0,0,E251/C251)</f>
        <v>-8.7081020482660735E-4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719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655</v>
      </c>
      <c r="C254" s="441">
        <f>C188+C203</f>
        <v>157071032</v>
      </c>
      <c r="D254" s="441">
        <f>LN_IF23</f>
        <v>161565538</v>
      </c>
      <c r="E254" s="441">
        <f>D254-C254</f>
        <v>4494506</v>
      </c>
      <c r="F254" s="449">
        <f>IF(C254=0,0,E254/C254)</f>
        <v>2.8614480612822357E-2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656</v>
      </c>
      <c r="C255" s="441">
        <f>C189+C204</f>
        <v>41759576</v>
      </c>
      <c r="D255" s="441">
        <f>LN_IF24</f>
        <v>39715184</v>
      </c>
      <c r="E255" s="441">
        <f>D255-C255</f>
        <v>-2044392</v>
      </c>
      <c r="F255" s="449">
        <f>IF(C255=0,0,E255/C255)</f>
        <v>-4.8956244191751375E-2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720</v>
      </c>
      <c r="C256" s="441">
        <f>C254*C313</f>
        <v>63006962.729354031</v>
      </c>
      <c r="D256" s="441">
        <f>LN_IH8*LN_III10</f>
        <v>61245021.779160261</v>
      </c>
      <c r="E256" s="441">
        <f>D256-C256</f>
        <v>-1761940.9501937702</v>
      </c>
      <c r="F256" s="449">
        <f>IF(C256=0,0,E256/C256)</f>
        <v>-2.7964226077079376E-2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721</v>
      </c>
      <c r="C257" s="441">
        <f>C256-C255</f>
        <v>21247386.729354031</v>
      </c>
      <c r="D257" s="441">
        <f>LN_IH10-LN_IH9</f>
        <v>21529837.779160261</v>
      </c>
      <c r="E257" s="441">
        <f>D257-C257</f>
        <v>282451.04980622977</v>
      </c>
      <c r="F257" s="449">
        <f>IF(C257=0,0,E257/C257)</f>
        <v>1.3293448902872063E-2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722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723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311137786</v>
      </c>
      <c r="D261" s="448">
        <f>LN_IA1+LN_IB1+LN_IF1+LN_IG1</f>
        <v>301413263</v>
      </c>
      <c r="E261" s="448">
        <f t="shared" ref="E261:E274" si="26">D261-C261</f>
        <v>-9724523</v>
      </c>
      <c r="F261" s="503">
        <f t="shared" ref="F261:F274" si="27">IF(C261=0,0,E261/C261)</f>
        <v>-3.1254715555506331E-2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140999695</v>
      </c>
      <c r="D262" s="448">
        <f>+LN_IA2+LN_IB2+LN_IF2+LN_IG2</f>
        <v>143256149</v>
      </c>
      <c r="E262" s="448">
        <f t="shared" si="26"/>
        <v>2256454</v>
      </c>
      <c r="F262" s="503">
        <f t="shared" si="27"/>
        <v>1.6003254475124927E-2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724</v>
      </c>
      <c r="C263" s="453">
        <f>IF(C261=0,0,C262/C261)</f>
        <v>0.45317444985611616</v>
      </c>
      <c r="D263" s="453">
        <f>IF(LN_IIA1=0,0,LN_IIA2/LN_IIA1)</f>
        <v>0.47528150411881509</v>
      </c>
      <c r="E263" s="454">
        <f t="shared" si="26"/>
        <v>2.2107054262698933E-2</v>
      </c>
      <c r="F263" s="458">
        <f t="shared" si="27"/>
        <v>4.8782658134671912E-2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14070</v>
      </c>
      <c r="D264" s="456">
        <f>LN_IA4+LN_IB4+LN_IF4+LN_IG3</f>
        <v>13482</v>
      </c>
      <c r="E264" s="456">
        <f t="shared" si="26"/>
        <v>-588</v>
      </c>
      <c r="F264" s="503">
        <f t="shared" si="27"/>
        <v>-4.1791044776119404E-2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725</v>
      </c>
      <c r="C265" s="525">
        <f>IF(C264=0,0,C266/C264)</f>
        <v>1.26651026297086</v>
      </c>
      <c r="D265" s="525">
        <f>IF(LN_IIA4=0,0,LN_IIA6/LN_IIA4)</f>
        <v>1.2993033971220889</v>
      </c>
      <c r="E265" s="525">
        <f t="shared" si="26"/>
        <v>3.2793134151228864E-2</v>
      </c>
      <c r="F265" s="503">
        <f t="shared" si="27"/>
        <v>2.5892513554770437E-2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726</v>
      </c>
      <c r="C266" s="463">
        <f>C20+C47+C193+C226</f>
        <v>17819.7994</v>
      </c>
      <c r="D266" s="463">
        <f>LN_IA6+LN_IB6+LN_IF6+LN_IG5</f>
        <v>17517.208400000003</v>
      </c>
      <c r="E266" s="463">
        <f t="shared" si="26"/>
        <v>-302.59099999999671</v>
      </c>
      <c r="F266" s="503">
        <f t="shared" si="27"/>
        <v>-1.6980606414682575E-2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528134724</v>
      </c>
      <c r="D267" s="448">
        <f>LN_IA11+LN_IB13+LN_IF14+LN_IG9</f>
        <v>545288699</v>
      </c>
      <c r="E267" s="448">
        <f t="shared" si="26"/>
        <v>17153975</v>
      </c>
      <c r="F267" s="503">
        <f t="shared" si="27"/>
        <v>3.2480301370981242E-2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651</v>
      </c>
      <c r="C268" s="453">
        <f>IF(C261=0,0,C267/C261)</f>
        <v>1.6974303596799394</v>
      </c>
      <c r="D268" s="453">
        <f>IF(LN_IIA1=0,0,LN_IIA7/LN_IIA1)</f>
        <v>1.8091065189788944</v>
      </c>
      <c r="E268" s="454">
        <f t="shared" si="26"/>
        <v>0.11167615929895502</v>
      </c>
      <c r="F268" s="458">
        <f t="shared" si="27"/>
        <v>6.5791305464815791E-2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196824067</v>
      </c>
      <c r="D269" s="448">
        <f>LN_IA12+LN_IB14+LN_IF15+LN_IG10</f>
        <v>181897970</v>
      </c>
      <c r="E269" s="448">
        <f t="shared" si="26"/>
        <v>-14926097</v>
      </c>
      <c r="F269" s="503">
        <f t="shared" si="27"/>
        <v>-7.5834714867465874E-2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650</v>
      </c>
      <c r="C270" s="453">
        <f>IF(C267=0,0,C269/C267)</f>
        <v>0.37267776204770053</v>
      </c>
      <c r="D270" s="453">
        <f>IF(LN_IIA7=0,0,LN_IIA9/LN_IIA7)</f>
        <v>0.33358103759271196</v>
      </c>
      <c r="E270" s="454">
        <f t="shared" si="26"/>
        <v>-3.9096724454988574E-2</v>
      </c>
      <c r="F270" s="458">
        <f t="shared" si="27"/>
        <v>-0.10490758622185894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727</v>
      </c>
      <c r="C271" s="441">
        <f>C261+C267</f>
        <v>839272510</v>
      </c>
      <c r="D271" s="441">
        <f>LN_IIA1+LN_IIA7</f>
        <v>846701962</v>
      </c>
      <c r="E271" s="441">
        <f t="shared" si="26"/>
        <v>7429452</v>
      </c>
      <c r="F271" s="503">
        <f t="shared" si="27"/>
        <v>8.8522522916900971E-3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728</v>
      </c>
      <c r="C272" s="441">
        <f>C262+C269</f>
        <v>337823762</v>
      </c>
      <c r="D272" s="441">
        <f>LN_IIA2+LN_IIA9</f>
        <v>325154119</v>
      </c>
      <c r="E272" s="441">
        <f t="shared" si="26"/>
        <v>-12669643</v>
      </c>
      <c r="F272" s="503">
        <f t="shared" si="27"/>
        <v>-3.7503705852402411E-2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729</v>
      </c>
      <c r="C273" s="453">
        <f>IF(C271=0,0,C272/C271)</f>
        <v>0.402519751302232</v>
      </c>
      <c r="D273" s="453">
        <f>IF(LN_IIA11=0,0,LN_IIA12/LN_IIA11)</f>
        <v>0.38402428905674368</v>
      </c>
      <c r="E273" s="454">
        <f t="shared" si="26"/>
        <v>-1.8495462245488314E-2</v>
      </c>
      <c r="F273" s="458">
        <f t="shared" si="27"/>
        <v>-4.5949204195947627E-2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62219</v>
      </c>
      <c r="D274" s="508">
        <f>LN_IA8+LN_IB10+LN_IF11+LN_IG6</f>
        <v>60634</v>
      </c>
      <c r="E274" s="528">
        <f t="shared" si="26"/>
        <v>-1585</v>
      </c>
      <c r="F274" s="458">
        <f t="shared" si="27"/>
        <v>-2.5474533502627815E-2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730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731</v>
      </c>
      <c r="C277" s="448">
        <f>C15+C188+C221</f>
        <v>240867184</v>
      </c>
      <c r="D277" s="448">
        <f>LN_IA1+LN_IF1+LN_IG1</f>
        <v>230514833</v>
      </c>
      <c r="E277" s="448">
        <f t="shared" ref="E277:E291" si="28">D277-C277</f>
        <v>-10352351</v>
      </c>
      <c r="F277" s="503">
        <f t="shared" ref="F277:F291" si="29">IF(C277=0,0,E277/C277)</f>
        <v>-4.2979499440654399E-2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732</v>
      </c>
      <c r="C278" s="448">
        <f>C16+C189+C222</f>
        <v>92541178</v>
      </c>
      <c r="D278" s="448">
        <f>LN_IA2+LN_IF2+LN_IG2</f>
        <v>92527867</v>
      </c>
      <c r="E278" s="448">
        <f t="shared" si="28"/>
        <v>-13311</v>
      </c>
      <c r="F278" s="503">
        <f t="shared" si="29"/>
        <v>-1.4383867039168227E-4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733</v>
      </c>
      <c r="C279" s="453">
        <f>IF(C277=0,0,C278/C277)</f>
        <v>0.38420002452471896</v>
      </c>
      <c r="D279" s="453">
        <f>IF(D277=0,0,LN_IIB2/D277)</f>
        <v>0.40139658604962747</v>
      </c>
      <c r="E279" s="454">
        <f t="shared" si="28"/>
        <v>1.7196561524908505E-2</v>
      </c>
      <c r="F279" s="458">
        <f t="shared" si="29"/>
        <v>4.4759397259752386E-2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734</v>
      </c>
      <c r="C280" s="456">
        <f>C18+C191+C224</f>
        <v>10549</v>
      </c>
      <c r="D280" s="456">
        <f>LN_IA4+LN_IF4+LN_IG3</f>
        <v>10002</v>
      </c>
      <c r="E280" s="456">
        <f t="shared" si="28"/>
        <v>-547</v>
      </c>
      <c r="F280" s="503">
        <f t="shared" si="29"/>
        <v>-5.1853256232818279E-2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735</v>
      </c>
      <c r="C281" s="525">
        <f>IF(C280=0,0,C282/C280)</f>
        <v>1.30099271968907</v>
      </c>
      <c r="D281" s="525">
        <f>IF(LN_IIB4=0,0,LN_IIB6/LN_IIB4)</f>
        <v>1.3259212557488504</v>
      </c>
      <c r="E281" s="525">
        <f t="shared" si="28"/>
        <v>2.4928536059780404E-2</v>
      </c>
      <c r="F281" s="503">
        <f t="shared" si="29"/>
        <v>1.9161164918538656E-2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736</v>
      </c>
      <c r="C282" s="463">
        <f>C20+C193+C226</f>
        <v>13724.172199999999</v>
      </c>
      <c r="D282" s="463">
        <f>LN_IA6+LN_IF6+LN_IG5</f>
        <v>13261.864400000002</v>
      </c>
      <c r="E282" s="463">
        <f t="shared" si="28"/>
        <v>-462.30779999999686</v>
      </c>
      <c r="F282" s="503">
        <f t="shared" si="29"/>
        <v>-3.3685660108519831E-2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737</v>
      </c>
      <c r="C283" s="448">
        <f>C27+C203+C233</f>
        <v>316783812</v>
      </c>
      <c r="D283" s="448">
        <f>LN_IA11+LN_IF14+LN_IG9</f>
        <v>334303871</v>
      </c>
      <c r="E283" s="448">
        <f t="shared" si="28"/>
        <v>17520059</v>
      </c>
      <c r="F283" s="503">
        <f t="shared" si="29"/>
        <v>5.5306042595383631E-2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738</v>
      </c>
      <c r="C284" s="453">
        <f>IF(C277=0,0,C283/C277)</f>
        <v>1.3151804523110131</v>
      </c>
      <c r="D284" s="453">
        <f>IF(D277=0,0,LN_IIB7/D277)</f>
        <v>1.450248847977605</v>
      </c>
      <c r="E284" s="454">
        <f t="shared" si="28"/>
        <v>0.1350683956665919</v>
      </c>
      <c r="F284" s="458">
        <f t="shared" si="29"/>
        <v>0.10269951581872433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739</v>
      </c>
      <c r="C285" s="448">
        <f>C28+C204+C234</f>
        <v>81281448</v>
      </c>
      <c r="D285" s="448">
        <f>LN_IA12+LN_IF15+LN_IG10</f>
        <v>75747698</v>
      </c>
      <c r="E285" s="448">
        <f t="shared" si="28"/>
        <v>-5533750</v>
      </c>
      <c r="F285" s="503">
        <f t="shared" si="29"/>
        <v>-6.8081341267443959E-2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740</v>
      </c>
      <c r="C286" s="453">
        <f>IF(C283=0,0,C285/C283)</f>
        <v>0.25658333829255137</v>
      </c>
      <c r="D286" s="453">
        <f>IF(LN_IIB7=0,0,LN_IIB9/LN_IIB7)</f>
        <v>0.22658337091166977</v>
      </c>
      <c r="E286" s="454">
        <f t="shared" si="28"/>
        <v>-2.9999967380881593E-2</v>
      </c>
      <c r="F286" s="458">
        <f t="shared" si="29"/>
        <v>-0.11692094888357953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741</v>
      </c>
      <c r="C287" s="441">
        <f>C277+C283</f>
        <v>557650996</v>
      </c>
      <c r="D287" s="441">
        <f>D277+LN_IIB7</f>
        <v>564818704</v>
      </c>
      <c r="E287" s="441">
        <f t="shared" si="28"/>
        <v>7167708</v>
      </c>
      <c r="F287" s="503">
        <f t="shared" si="29"/>
        <v>1.2853394060825814E-2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742</v>
      </c>
      <c r="C288" s="441">
        <f>C278+C285</f>
        <v>173822626</v>
      </c>
      <c r="D288" s="441">
        <f>LN_IIB2+LN_IIB9</f>
        <v>168275565</v>
      </c>
      <c r="E288" s="441">
        <f t="shared" si="28"/>
        <v>-5547061</v>
      </c>
      <c r="F288" s="503">
        <f t="shared" si="29"/>
        <v>-3.1912191914532463E-2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743</v>
      </c>
      <c r="C289" s="453">
        <f>IF(C287=0,0,C288/C287)</f>
        <v>0.31170503997450044</v>
      </c>
      <c r="D289" s="453">
        <f>IF(LN_IIB11=0,0,LN_IIB12/LN_IIB11)</f>
        <v>0.2979284570576119</v>
      </c>
      <c r="E289" s="454">
        <f t="shared" si="28"/>
        <v>-1.3776582916888547E-2</v>
      </c>
      <c r="F289" s="458">
        <f t="shared" si="29"/>
        <v>-4.4197498115576071E-2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49411</v>
      </c>
      <c r="D290" s="508">
        <f>LN_IA8+LN_IF11+LN_IG6</f>
        <v>47744</v>
      </c>
      <c r="E290" s="528">
        <f t="shared" si="28"/>
        <v>-1667</v>
      </c>
      <c r="F290" s="458">
        <f t="shared" si="29"/>
        <v>-3.3737426888749471E-2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744</v>
      </c>
      <c r="C291" s="448">
        <f>C287-C288</f>
        <v>383828370</v>
      </c>
      <c r="D291" s="516">
        <f>LN_IIB11-LN_IIB12</f>
        <v>396543139</v>
      </c>
      <c r="E291" s="441">
        <f t="shared" si="28"/>
        <v>12714769</v>
      </c>
      <c r="F291" s="503">
        <f t="shared" si="29"/>
        <v>3.3126183455381375E-2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646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637</v>
      </c>
      <c r="C294" s="466">
        <f>IF(C18=0,0,C22/C18)</f>
        <v>4.9892753179102192</v>
      </c>
      <c r="D294" s="466">
        <f>IF(LN_IA4=0,0,LN_IA8/LN_IA4)</f>
        <v>5.1379532634971801</v>
      </c>
      <c r="E294" s="466">
        <f t="shared" ref="E294:E300" si="30">D294-C294</f>
        <v>0.1486779455869609</v>
      </c>
      <c r="F294" s="503">
        <f t="shared" ref="F294:F300" si="31">IF(C294=0,0,E294/C294)</f>
        <v>2.9799507165548713E-2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658</v>
      </c>
      <c r="C295" s="466">
        <f>IF(C45=0,0,C51/C45)</f>
        <v>3.6376029537063332</v>
      </c>
      <c r="D295" s="466">
        <f>IF(LN_IB4=0,0,(LN_IB10)/(LN_IB4))</f>
        <v>3.7040229885057472</v>
      </c>
      <c r="E295" s="466">
        <f t="shared" si="30"/>
        <v>6.6420034799413941E-2</v>
      </c>
      <c r="F295" s="503">
        <f t="shared" si="31"/>
        <v>1.8259286580944448E-2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673</v>
      </c>
      <c r="C296" s="466">
        <f>IF(C86=0,0,C93/C86)</f>
        <v>2.8135593220338984</v>
      </c>
      <c r="D296" s="466">
        <f>IF(LN_IC4=0,0,LN_IC11/LN_IC4)</f>
        <v>3.3714285714285714</v>
      </c>
      <c r="E296" s="466">
        <f t="shared" si="30"/>
        <v>0.55786924939467308</v>
      </c>
      <c r="F296" s="503">
        <f t="shared" si="31"/>
        <v>0.19827882960413079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4.4816974408811143</v>
      </c>
      <c r="D297" s="466">
        <f>IF(LN_ID4=0,0,LN_ID11/LN_ID4)</f>
        <v>4.4467226890756306</v>
      </c>
      <c r="E297" s="466">
        <f t="shared" si="30"/>
        <v>-3.4974751805483706E-2</v>
      </c>
      <c r="F297" s="503">
        <f t="shared" si="31"/>
        <v>-7.8039073959904736E-3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745</v>
      </c>
      <c r="C298" s="466">
        <f>IF(C156=0,0,C163/C156)</f>
        <v>3.9268292682926829</v>
      </c>
      <c r="D298" s="466">
        <f>IF(LN_IE4=0,0,LN_IE11/LN_IE4)</f>
        <v>5.024096385542169</v>
      </c>
      <c r="E298" s="466">
        <f t="shared" si="30"/>
        <v>1.0972671172494861</v>
      </c>
      <c r="F298" s="503">
        <f t="shared" si="31"/>
        <v>0.27942827209458965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3.1133004926108376</v>
      </c>
      <c r="D299" s="466">
        <f>IF(LN_IG3=0,0,LN_IG6/LN_IG3)</f>
        <v>3</v>
      </c>
      <c r="E299" s="466">
        <f t="shared" si="30"/>
        <v>-0.11330049261083763</v>
      </c>
      <c r="F299" s="503">
        <f t="shared" si="31"/>
        <v>-3.6392405063291201E-2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746</v>
      </c>
      <c r="C300" s="466">
        <f>IF(C264=0,0,C274/C264)</f>
        <v>4.4221037668798866</v>
      </c>
      <c r="D300" s="466">
        <f>IF(LN_IIA4=0,0,LN_IIA14/LN_IIA4)</f>
        <v>4.4974039460020769</v>
      </c>
      <c r="E300" s="466">
        <f t="shared" si="30"/>
        <v>7.5300179122190336E-2</v>
      </c>
      <c r="F300" s="503">
        <f t="shared" si="31"/>
        <v>1.70281348181298E-2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747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741</v>
      </c>
      <c r="C304" s="441">
        <f>C35+C66+C214+C221+C233</f>
        <v>839272510</v>
      </c>
      <c r="D304" s="441">
        <f>LN_IIA11</f>
        <v>846701962</v>
      </c>
      <c r="E304" s="441">
        <f t="shared" ref="E304:E316" si="32">D304-C304</f>
        <v>7429452</v>
      </c>
      <c r="F304" s="449">
        <f>IF(C304=0,0,E304/C304)</f>
        <v>8.8522522916900971E-3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744</v>
      </c>
      <c r="C305" s="441">
        <f>C291</f>
        <v>383828370</v>
      </c>
      <c r="D305" s="441">
        <f>LN_IIB14</f>
        <v>396543139</v>
      </c>
      <c r="E305" s="441">
        <f t="shared" si="32"/>
        <v>12714769</v>
      </c>
      <c r="F305" s="449">
        <f>IF(C305=0,0,E305/C305)</f>
        <v>3.3126183455381375E-2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748</v>
      </c>
      <c r="C306" s="441">
        <f>C250</f>
        <v>15046651</v>
      </c>
      <c r="D306" s="441">
        <f>LN_IH6</f>
        <v>15908597</v>
      </c>
      <c r="E306" s="441">
        <f t="shared" si="32"/>
        <v>861946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749</v>
      </c>
      <c r="C307" s="441">
        <f>C73-C74</f>
        <v>96875922</v>
      </c>
      <c r="D307" s="441">
        <f>LN_IB32-LN_IB33</f>
        <v>106613000</v>
      </c>
      <c r="E307" s="441">
        <f t="shared" si="32"/>
        <v>9737078</v>
      </c>
      <c r="F307" s="449">
        <f t="shared" ref="F307:F316" si="33">IF(C307=0,0,E307/C307)</f>
        <v>0.10051081629963739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750</v>
      </c>
      <c r="C308" s="441">
        <v>6858523</v>
      </c>
      <c r="D308" s="441">
        <v>6675957</v>
      </c>
      <c r="E308" s="441">
        <f t="shared" si="32"/>
        <v>-182566</v>
      </c>
      <c r="F308" s="449">
        <f t="shared" si="33"/>
        <v>-2.6618850735063513E-2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751</v>
      </c>
      <c r="C309" s="441">
        <f>C305+C307+C308+C306</f>
        <v>502609466</v>
      </c>
      <c r="D309" s="441">
        <f>LN_III2+LN_III3+LN_III4+LN_III5</f>
        <v>525740693</v>
      </c>
      <c r="E309" s="441">
        <f t="shared" si="32"/>
        <v>23131227</v>
      </c>
      <c r="F309" s="449">
        <f t="shared" si="33"/>
        <v>4.602226691846667E-2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752</v>
      </c>
      <c r="C310" s="441">
        <f>C304-C309</f>
        <v>336663044</v>
      </c>
      <c r="D310" s="441">
        <f>LN_III1-LN_III6</f>
        <v>320961269</v>
      </c>
      <c r="E310" s="441">
        <f t="shared" si="32"/>
        <v>-15701775</v>
      </c>
      <c r="F310" s="449">
        <f t="shared" si="33"/>
        <v>-4.6639437502382947E-2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753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754</v>
      </c>
      <c r="C312" s="441">
        <f>C310+C311</f>
        <v>336663044</v>
      </c>
      <c r="D312" s="441">
        <f>LN_III7+LN_III8</f>
        <v>320961269</v>
      </c>
      <c r="E312" s="441">
        <f t="shared" si="32"/>
        <v>-15701775</v>
      </c>
      <c r="F312" s="449">
        <f t="shared" si="33"/>
        <v>-4.6639437502382947E-2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755</v>
      </c>
      <c r="C313" s="532">
        <f>IF(C304=0,0,C312/C304)</f>
        <v>0.40113674639480329</v>
      </c>
      <c r="D313" s="532">
        <f>IF(LN_III1=0,0,LN_III9/LN_III1)</f>
        <v>0.37907231045249429</v>
      </c>
      <c r="E313" s="532">
        <f t="shared" si="32"/>
        <v>-2.2064435942309002E-2</v>
      </c>
      <c r="F313" s="449">
        <f t="shared" si="33"/>
        <v>-5.5004773660383977E-2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718</v>
      </c>
      <c r="C314" s="441">
        <f>C306*C313</f>
        <v>6035764.6262781136</v>
      </c>
      <c r="D314" s="441">
        <f>D313*LN_III5</f>
        <v>6030508.6208476191</v>
      </c>
      <c r="E314" s="441">
        <f t="shared" si="32"/>
        <v>-5256.0054304944351</v>
      </c>
      <c r="F314" s="449">
        <f t="shared" si="33"/>
        <v>-8.7081020482660735E-4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721</v>
      </c>
      <c r="C315" s="441">
        <f>(C214*C313)-C215</f>
        <v>21247386.729354031</v>
      </c>
      <c r="D315" s="441">
        <f>D313*LN_IH8-LN_IH9</f>
        <v>21529837.779160261</v>
      </c>
      <c r="E315" s="441">
        <f t="shared" si="32"/>
        <v>282451.04980622977</v>
      </c>
      <c r="F315" s="449">
        <f t="shared" si="33"/>
        <v>1.3293448902872063E-2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756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757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758</v>
      </c>
      <c r="C318" s="441">
        <f>C314+C315+C316</f>
        <v>27283151.355632145</v>
      </c>
      <c r="D318" s="441">
        <f>D314+D315+D316</f>
        <v>27560346.400007881</v>
      </c>
      <c r="E318" s="441">
        <f>D318-C318</f>
        <v>277195.04437573627</v>
      </c>
      <c r="F318" s="449">
        <f>IF(C318=0,0,E318/C318)</f>
        <v>1.0159935000269463E-2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759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9851911.91024925</v>
      </c>
      <c r="D322" s="441">
        <f>LN_ID22</f>
        <v>11421914.882521784</v>
      </c>
      <c r="E322" s="441">
        <f>LN_IV2-C322</f>
        <v>1570002.9722725339</v>
      </c>
      <c r="F322" s="449">
        <f>IF(C322=0,0,E322/C322)</f>
        <v>0.159360232468097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745</v>
      </c>
      <c r="C323" s="441">
        <f>C162+C176</f>
        <v>-48206.534330454189</v>
      </c>
      <c r="D323" s="441">
        <f>LN_IE10+LN_IE22</f>
        <v>554354.06639230321</v>
      </c>
      <c r="E323" s="441">
        <f>LN_IV3-C323</f>
        <v>602560.6007227574</v>
      </c>
      <c r="F323" s="449">
        <f>IF(C323=0,0,E323/C323)</f>
        <v>-12.49956274790933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760</v>
      </c>
      <c r="C324" s="441">
        <f>C92+C106</f>
        <v>3857222.2255961928</v>
      </c>
      <c r="D324" s="441">
        <f>LN_IC10+LN_IC22</f>
        <v>4111420.9338304535</v>
      </c>
      <c r="E324" s="441">
        <f>LN_IV1-C324</f>
        <v>254198.70823426079</v>
      </c>
      <c r="F324" s="449">
        <f>IF(C324=0,0,E324/C324)</f>
        <v>6.5902012735335858E-2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761</v>
      </c>
      <c r="C325" s="516">
        <f>C324+C322+C323</f>
        <v>13660927.60151499</v>
      </c>
      <c r="D325" s="516">
        <f>LN_IV1+LN_IV2+LN_IV3</f>
        <v>16087689.88274454</v>
      </c>
      <c r="E325" s="441">
        <f>LN_IV4-C325</f>
        <v>2426762.28122955</v>
      </c>
      <c r="F325" s="449">
        <f>IF(C325=0,0,E325/C325)</f>
        <v>0.17764256952510482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762</v>
      </c>
      <c r="B327" s="530" t="s">
        <v>763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764</v>
      </c>
      <c r="C329" s="518">
        <v>14516181</v>
      </c>
      <c r="D329" s="518">
        <v>13232029</v>
      </c>
      <c r="E329" s="518">
        <f t="shared" ref="E329:E335" si="34">D329-C329</f>
        <v>-1284152</v>
      </c>
      <c r="F329" s="542">
        <f t="shared" ref="F329:F335" si="35">IF(C329=0,0,E329/C329)</f>
        <v>-8.8463487745158317E-2</v>
      </c>
    </row>
    <row r="330" spans="1:22" s="420" customFormat="1" ht="15.75" customHeight="1" x14ac:dyDescent="0.2">
      <c r="A330" s="451">
        <v>2</v>
      </c>
      <c r="B330" s="447" t="s">
        <v>765</v>
      </c>
      <c r="C330" s="516">
        <v>-12800916</v>
      </c>
      <c r="D330" s="516">
        <v>-12470101</v>
      </c>
      <c r="E330" s="518">
        <f t="shared" si="34"/>
        <v>330815</v>
      </c>
      <c r="F330" s="543">
        <f t="shared" si="35"/>
        <v>-2.5843072480125642E-2</v>
      </c>
    </row>
    <row r="331" spans="1:22" s="420" customFormat="1" ht="15.75" customHeight="1" x14ac:dyDescent="0.2">
      <c r="A331" s="427">
        <v>3</v>
      </c>
      <c r="B331" s="447" t="s">
        <v>766</v>
      </c>
      <c r="C331" s="516">
        <v>325022845</v>
      </c>
      <c r="D331" s="516">
        <v>312684018</v>
      </c>
      <c r="E331" s="518">
        <f t="shared" si="34"/>
        <v>-12338827</v>
      </c>
      <c r="F331" s="542">
        <f t="shared" si="35"/>
        <v>-3.79629530348859E-2</v>
      </c>
    </row>
    <row r="332" spans="1:22" s="420" customFormat="1" ht="27" customHeight="1" x14ac:dyDescent="0.2">
      <c r="A332" s="451">
        <v>4</v>
      </c>
      <c r="B332" s="447" t="s">
        <v>767</v>
      </c>
      <c r="C332" s="516">
        <v>3751716</v>
      </c>
      <c r="D332" s="516">
        <v>3510521</v>
      </c>
      <c r="E332" s="518">
        <f t="shared" si="34"/>
        <v>-241195</v>
      </c>
      <c r="F332" s="543">
        <f t="shared" si="35"/>
        <v>-6.4289247906824498E-2</v>
      </c>
    </row>
    <row r="333" spans="1:22" s="420" customFormat="1" ht="15.75" customHeight="1" x14ac:dyDescent="0.2">
      <c r="A333" s="451">
        <v>5</v>
      </c>
      <c r="B333" s="447" t="s">
        <v>768</v>
      </c>
      <c r="C333" s="516">
        <v>843024228</v>
      </c>
      <c r="D333" s="516">
        <v>850212483</v>
      </c>
      <c r="E333" s="518">
        <f t="shared" si="34"/>
        <v>7188255</v>
      </c>
      <c r="F333" s="542">
        <f t="shared" si="35"/>
        <v>8.5267478220092154E-3</v>
      </c>
    </row>
    <row r="334" spans="1:22" s="420" customFormat="1" ht="15.75" customHeight="1" x14ac:dyDescent="0.2">
      <c r="A334" s="427">
        <v>6</v>
      </c>
      <c r="B334" s="447" t="s">
        <v>769</v>
      </c>
      <c r="C334" s="516">
        <v>3202503</v>
      </c>
      <c r="D334" s="516">
        <v>1837578</v>
      </c>
      <c r="E334" s="516">
        <f t="shared" si="34"/>
        <v>-1364925</v>
      </c>
      <c r="F334" s="543">
        <f t="shared" si="35"/>
        <v>-0.4262056897370588</v>
      </c>
    </row>
    <row r="335" spans="1:22" s="420" customFormat="1" ht="15.75" customHeight="1" x14ac:dyDescent="0.2">
      <c r="A335" s="451">
        <v>7</v>
      </c>
      <c r="B335" s="447" t="s">
        <v>770</v>
      </c>
      <c r="C335" s="516">
        <v>18249154</v>
      </c>
      <c r="D335" s="516">
        <v>17746175</v>
      </c>
      <c r="E335" s="516">
        <f t="shared" si="34"/>
        <v>-502979</v>
      </c>
      <c r="F335" s="542">
        <f t="shared" si="35"/>
        <v>-2.756177080866324E-2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FILING&amp;RLAWRENCE AND MEMORIAL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631</v>
      </c>
      <c r="B3" s="820"/>
      <c r="C3" s="820"/>
      <c r="D3" s="820"/>
      <c r="E3" s="820"/>
    </row>
    <row r="4" spans="1:5" s="428" customFormat="1" ht="15.75" customHeight="1" x14ac:dyDescent="0.25">
      <c r="A4" s="820" t="s">
        <v>771</v>
      </c>
      <c r="B4" s="820"/>
      <c r="C4" s="820"/>
      <c r="D4" s="820"/>
      <c r="E4" s="820"/>
    </row>
    <row r="5" spans="1:5" s="428" customFormat="1" ht="15.75" customHeight="1" x14ac:dyDescent="0.25">
      <c r="A5" s="820" t="s">
        <v>772</v>
      </c>
      <c r="B5" s="820"/>
      <c r="C5" s="820"/>
      <c r="D5" s="820"/>
      <c r="E5" s="820"/>
    </row>
    <row r="6" spans="1:5" s="428" customFormat="1" ht="15.75" customHeight="1" x14ac:dyDescent="0.25">
      <c r="A6" s="820" t="s">
        <v>773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774</v>
      </c>
      <c r="D9" s="573" t="s">
        <v>775</v>
      </c>
      <c r="E9" s="573" t="s">
        <v>776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777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778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658</v>
      </c>
      <c r="C14" s="589">
        <v>70270602</v>
      </c>
      <c r="D14" s="589">
        <v>70898430</v>
      </c>
      <c r="E14" s="590">
        <f t="shared" ref="E14:E22" si="0">D14-C14</f>
        <v>627828</v>
      </c>
    </row>
    <row r="15" spans="1:5" s="421" customFormat="1" x14ac:dyDescent="0.2">
      <c r="A15" s="588">
        <v>2</v>
      </c>
      <c r="B15" s="587" t="s">
        <v>637</v>
      </c>
      <c r="C15" s="589">
        <v>168649538</v>
      </c>
      <c r="D15" s="591">
        <v>162481939</v>
      </c>
      <c r="E15" s="590">
        <f t="shared" si="0"/>
        <v>-6167599</v>
      </c>
    </row>
    <row r="16" spans="1:5" s="421" customFormat="1" x14ac:dyDescent="0.2">
      <c r="A16" s="588">
        <v>3</v>
      </c>
      <c r="B16" s="587" t="s">
        <v>779</v>
      </c>
      <c r="C16" s="589">
        <v>61208693</v>
      </c>
      <c r="D16" s="591">
        <v>58068102</v>
      </c>
      <c r="E16" s="590">
        <f t="shared" si="0"/>
        <v>-3140591</v>
      </c>
    </row>
    <row r="17" spans="1:5" s="421" customFormat="1" x14ac:dyDescent="0.2">
      <c r="A17" s="588">
        <v>4</v>
      </c>
      <c r="B17" s="587" t="s">
        <v>115</v>
      </c>
      <c r="C17" s="589">
        <v>59068288</v>
      </c>
      <c r="D17" s="591">
        <v>55055803</v>
      </c>
      <c r="E17" s="590">
        <f t="shared" si="0"/>
        <v>-4012485</v>
      </c>
    </row>
    <row r="18" spans="1:5" s="421" customFormat="1" x14ac:dyDescent="0.2">
      <c r="A18" s="588">
        <v>5</v>
      </c>
      <c r="B18" s="587" t="s">
        <v>745</v>
      </c>
      <c r="C18" s="589">
        <v>2140405</v>
      </c>
      <c r="D18" s="591">
        <v>3012299</v>
      </c>
      <c r="E18" s="590">
        <f t="shared" si="0"/>
        <v>871894</v>
      </c>
    </row>
    <row r="19" spans="1:5" s="421" customFormat="1" x14ac:dyDescent="0.2">
      <c r="A19" s="588">
        <v>6</v>
      </c>
      <c r="B19" s="587" t="s">
        <v>424</v>
      </c>
      <c r="C19" s="589">
        <v>11008953</v>
      </c>
      <c r="D19" s="591">
        <v>9964792</v>
      </c>
      <c r="E19" s="590">
        <f t="shared" si="0"/>
        <v>-1044161</v>
      </c>
    </row>
    <row r="20" spans="1:5" s="421" customFormat="1" x14ac:dyDescent="0.2">
      <c r="A20" s="588">
        <v>7</v>
      </c>
      <c r="B20" s="587" t="s">
        <v>760</v>
      </c>
      <c r="C20" s="589">
        <v>1054326</v>
      </c>
      <c r="D20" s="591">
        <v>1261614</v>
      </c>
      <c r="E20" s="590">
        <f t="shared" si="0"/>
        <v>207288</v>
      </c>
    </row>
    <row r="21" spans="1:5" s="421" customFormat="1" x14ac:dyDescent="0.2">
      <c r="A21" s="588"/>
      <c r="B21" s="592" t="s">
        <v>780</v>
      </c>
      <c r="C21" s="593">
        <f>SUM(C15+C16+C19)</f>
        <v>240867184</v>
      </c>
      <c r="D21" s="593">
        <f>SUM(D15+D16+D19)</f>
        <v>230514833</v>
      </c>
      <c r="E21" s="593">
        <f t="shared" si="0"/>
        <v>-10352351</v>
      </c>
    </row>
    <row r="22" spans="1:5" s="421" customFormat="1" x14ac:dyDescent="0.2">
      <c r="A22" s="588"/>
      <c r="B22" s="592" t="s">
        <v>465</v>
      </c>
      <c r="C22" s="593">
        <f>SUM(C14+C21)</f>
        <v>311137786</v>
      </c>
      <c r="D22" s="593">
        <f>SUM(D14+D21)</f>
        <v>301413263</v>
      </c>
      <c r="E22" s="593">
        <f t="shared" si="0"/>
        <v>-9724523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781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658</v>
      </c>
      <c r="C25" s="589">
        <v>211350912</v>
      </c>
      <c r="D25" s="589">
        <v>210984828</v>
      </c>
      <c r="E25" s="590">
        <f t="shared" ref="E25:E33" si="1">D25-C25</f>
        <v>-366084</v>
      </c>
    </row>
    <row r="26" spans="1:5" s="421" customFormat="1" x14ac:dyDescent="0.2">
      <c r="A26" s="588">
        <v>2</v>
      </c>
      <c r="B26" s="587" t="s">
        <v>637</v>
      </c>
      <c r="C26" s="589">
        <v>198079775</v>
      </c>
      <c r="D26" s="591">
        <v>206322805</v>
      </c>
      <c r="E26" s="590">
        <f t="shared" si="1"/>
        <v>8243030</v>
      </c>
    </row>
    <row r="27" spans="1:5" s="421" customFormat="1" x14ac:dyDescent="0.2">
      <c r="A27" s="588">
        <v>3</v>
      </c>
      <c r="B27" s="587" t="s">
        <v>779</v>
      </c>
      <c r="C27" s="589">
        <v>95862339</v>
      </c>
      <c r="D27" s="591">
        <v>103497436</v>
      </c>
      <c r="E27" s="590">
        <f t="shared" si="1"/>
        <v>7635097</v>
      </c>
    </row>
    <row r="28" spans="1:5" s="421" customFormat="1" x14ac:dyDescent="0.2">
      <c r="A28" s="588">
        <v>4</v>
      </c>
      <c r="B28" s="587" t="s">
        <v>115</v>
      </c>
      <c r="C28" s="589">
        <v>93379302</v>
      </c>
      <c r="D28" s="591">
        <v>100608488</v>
      </c>
      <c r="E28" s="590">
        <f t="shared" si="1"/>
        <v>7229186</v>
      </c>
    </row>
    <row r="29" spans="1:5" s="421" customFormat="1" x14ac:dyDescent="0.2">
      <c r="A29" s="588">
        <v>5</v>
      </c>
      <c r="B29" s="587" t="s">
        <v>745</v>
      </c>
      <c r="C29" s="589">
        <v>2483037</v>
      </c>
      <c r="D29" s="591">
        <v>2888948</v>
      </c>
      <c r="E29" s="590">
        <f t="shared" si="1"/>
        <v>405911</v>
      </c>
    </row>
    <row r="30" spans="1:5" s="421" customFormat="1" x14ac:dyDescent="0.2">
      <c r="A30" s="588">
        <v>6</v>
      </c>
      <c r="B30" s="587" t="s">
        <v>424</v>
      </c>
      <c r="C30" s="589">
        <v>22841698</v>
      </c>
      <c r="D30" s="591">
        <v>24483630</v>
      </c>
      <c r="E30" s="590">
        <f t="shared" si="1"/>
        <v>1641932</v>
      </c>
    </row>
    <row r="31" spans="1:5" s="421" customFormat="1" x14ac:dyDescent="0.2">
      <c r="A31" s="588">
        <v>7</v>
      </c>
      <c r="B31" s="587" t="s">
        <v>760</v>
      </c>
      <c r="C31" s="590">
        <v>8932325</v>
      </c>
      <c r="D31" s="594">
        <v>10454134</v>
      </c>
      <c r="E31" s="590">
        <f t="shared" si="1"/>
        <v>1521809</v>
      </c>
    </row>
    <row r="32" spans="1:5" s="421" customFormat="1" x14ac:dyDescent="0.2">
      <c r="A32" s="588"/>
      <c r="B32" s="592" t="s">
        <v>782</v>
      </c>
      <c r="C32" s="593">
        <f>SUM(C26+C27+C30)</f>
        <v>316783812</v>
      </c>
      <c r="D32" s="593">
        <f>SUM(D26+D27+D30)</f>
        <v>334303871</v>
      </c>
      <c r="E32" s="593">
        <f t="shared" si="1"/>
        <v>17520059</v>
      </c>
    </row>
    <row r="33" spans="1:5" s="421" customFormat="1" x14ac:dyDescent="0.2">
      <c r="A33" s="588"/>
      <c r="B33" s="592" t="s">
        <v>467</v>
      </c>
      <c r="C33" s="593">
        <f>SUM(C25+C32)</f>
        <v>528134724</v>
      </c>
      <c r="D33" s="593">
        <f>SUM(D25+D32)</f>
        <v>545288699</v>
      </c>
      <c r="E33" s="593">
        <f t="shared" si="1"/>
        <v>17153975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655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783</v>
      </c>
      <c r="C36" s="590">
        <f t="shared" ref="C36:D42" si="2">C14+C25</f>
        <v>281621514</v>
      </c>
      <c r="D36" s="590">
        <f t="shared" si="2"/>
        <v>281883258</v>
      </c>
      <c r="E36" s="590">
        <f t="shared" ref="E36:E44" si="3">D36-C36</f>
        <v>261744</v>
      </c>
    </row>
    <row r="37" spans="1:5" s="421" customFormat="1" x14ac:dyDescent="0.2">
      <c r="A37" s="588">
        <v>2</v>
      </c>
      <c r="B37" s="587" t="s">
        <v>784</v>
      </c>
      <c r="C37" s="590">
        <f t="shared" si="2"/>
        <v>366729313</v>
      </c>
      <c r="D37" s="590">
        <f t="shared" si="2"/>
        <v>368804744</v>
      </c>
      <c r="E37" s="590">
        <f t="shared" si="3"/>
        <v>2075431</v>
      </c>
    </row>
    <row r="38" spans="1:5" s="421" customFormat="1" x14ac:dyDescent="0.2">
      <c r="A38" s="588">
        <v>3</v>
      </c>
      <c r="B38" s="587" t="s">
        <v>785</v>
      </c>
      <c r="C38" s="590">
        <f t="shared" si="2"/>
        <v>157071032</v>
      </c>
      <c r="D38" s="590">
        <f t="shared" si="2"/>
        <v>161565538</v>
      </c>
      <c r="E38" s="590">
        <f t="shared" si="3"/>
        <v>4494506</v>
      </c>
    </row>
    <row r="39" spans="1:5" s="421" customFormat="1" x14ac:dyDescent="0.2">
      <c r="A39" s="588">
        <v>4</v>
      </c>
      <c r="B39" s="587" t="s">
        <v>786</v>
      </c>
      <c r="C39" s="590">
        <f t="shared" si="2"/>
        <v>152447590</v>
      </c>
      <c r="D39" s="590">
        <f t="shared" si="2"/>
        <v>155664291</v>
      </c>
      <c r="E39" s="590">
        <f t="shared" si="3"/>
        <v>3216701</v>
      </c>
    </row>
    <row r="40" spans="1:5" s="421" customFormat="1" x14ac:dyDescent="0.2">
      <c r="A40" s="588">
        <v>5</v>
      </c>
      <c r="B40" s="587" t="s">
        <v>787</v>
      </c>
      <c r="C40" s="590">
        <f t="shared" si="2"/>
        <v>4623442</v>
      </c>
      <c r="D40" s="590">
        <f t="shared" si="2"/>
        <v>5901247</v>
      </c>
      <c r="E40" s="590">
        <f t="shared" si="3"/>
        <v>1277805</v>
      </c>
    </row>
    <row r="41" spans="1:5" s="421" customFormat="1" x14ac:dyDescent="0.2">
      <c r="A41" s="588">
        <v>6</v>
      </c>
      <c r="B41" s="587" t="s">
        <v>788</v>
      </c>
      <c r="C41" s="590">
        <f t="shared" si="2"/>
        <v>33850651</v>
      </c>
      <c r="D41" s="590">
        <f t="shared" si="2"/>
        <v>34448422</v>
      </c>
      <c r="E41" s="590">
        <f t="shared" si="3"/>
        <v>597771</v>
      </c>
    </row>
    <row r="42" spans="1:5" s="421" customFormat="1" x14ac:dyDescent="0.2">
      <c r="A42" s="588">
        <v>7</v>
      </c>
      <c r="B42" s="587" t="s">
        <v>789</v>
      </c>
      <c r="C42" s="590">
        <f t="shared" si="2"/>
        <v>9986651</v>
      </c>
      <c r="D42" s="590">
        <f t="shared" si="2"/>
        <v>11715748</v>
      </c>
      <c r="E42" s="590">
        <f t="shared" si="3"/>
        <v>1729097</v>
      </c>
    </row>
    <row r="43" spans="1:5" s="421" customFormat="1" x14ac:dyDescent="0.2">
      <c r="A43" s="588"/>
      <c r="B43" s="592" t="s">
        <v>790</v>
      </c>
      <c r="C43" s="593">
        <f>SUM(C37+C38+C41)</f>
        <v>557650996</v>
      </c>
      <c r="D43" s="593">
        <f>SUM(D37+D38+D41)</f>
        <v>564818704</v>
      </c>
      <c r="E43" s="593">
        <f t="shared" si="3"/>
        <v>7167708</v>
      </c>
    </row>
    <row r="44" spans="1:5" s="421" customFormat="1" x14ac:dyDescent="0.2">
      <c r="A44" s="588"/>
      <c r="B44" s="592" t="s">
        <v>727</v>
      </c>
      <c r="C44" s="593">
        <f>SUM(C36+C43)</f>
        <v>839272510</v>
      </c>
      <c r="D44" s="593">
        <f>SUM(D36+D43)</f>
        <v>846701962</v>
      </c>
      <c r="E44" s="593">
        <f t="shared" si="3"/>
        <v>7429452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791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658</v>
      </c>
      <c r="C47" s="589">
        <v>48458517</v>
      </c>
      <c r="D47" s="589">
        <v>50728282</v>
      </c>
      <c r="E47" s="590">
        <f t="shared" ref="E47:E55" si="4">D47-C47</f>
        <v>2269765</v>
      </c>
    </row>
    <row r="48" spans="1:5" s="421" customFormat="1" x14ac:dyDescent="0.2">
      <c r="A48" s="588">
        <v>2</v>
      </c>
      <c r="B48" s="587" t="s">
        <v>637</v>
      </c>
      <c r="C48" s="589">
        <v>70353365</v>
      </c>
      <c r="D48" s="591">
        <v>69716407</v>
      </c>
      <c r="E48" s="590">
        <f t="shared" si="4"/>
        <v>-636958</v>
      </c>
    </row>
    <row r="49" spans="1:5" s="421" customFormat="1" x14ac:dyDescent="0.2">
      <c r="A49" s="588">
        <v>3</v>
      </c>
      <c r="B49" s="587" t="s">
        <v>779</v>
      </c>
      <c r="C49" s="589">
        <v>17578375</v>
      </c>
      <c r="D49" s="591">
        <v>17633850</v>
      </c>
      <c r="E49" s="590">
        <f t="shared" si="4"/>
        <v>55475</v>
      </c>
    </row>
    <row r="50" spans="1:5" s="421" customFormat="1" x14ac:dyDescent="0.2">
      <c r="A50" s="588">
        <v>4</v>
      </c>
      <c r="B50" s="587" t="s">
        <v>115</v>
      </c>
      <c r="C50" s="589">
        <v>16753204</v>
      </c>
      <c r="D50" s="591">
        <v>17445509</v>
      </c>
      <c r="E50" s="590">
        <f t="shared" si="4"/>
        <v>692305</v>
      </c>
    </row>
    <row r="51" spans="1:5" s="421" customFormat="1" x14ac:dyDescent="0.2">
      <c r="A51" s="588">
        <v>5</v>
      </c>
      <c r="B51" s="587" t="s">
        <v>745</v>
      </c>
      <c r="C51" s="589">
        <v>825171</v>
      </c>
      <c r="D51" s="591">
        <v>188341</v>
      </c>
      <c r="E51" s="590">
        <f t="shared" si="4"/>
        <v>-636830</v>
      </c>
    </row>
    <row r="52" spans="1:5" s="421" customFormat="1" x14ac:dyDescent="0.2">
      <c r="A52" s="588">
        <v>6</v>
      </c>
      <c r="B52" s="587" t="s">
        <v>424</v>
      </c>
      <c r="C52" s="589">
        <v>4609438</v>
      </c>
      <c r="D52" s="591">
        <v>5177610</v>
      </c>
      <c r="E52" s="590">
        <f t="shared" si="4"/>
        <v>568172</v>
      </c>
    </row>
    <row r="53" spans="1:5" s="421" customFormat="1" x14ac:dyDescent="0.2">
      <c r="A53" s="588">
        <v>7</v>
      </c>
      <c r="B53" s="587" t="s">
        <v>760</v>
      </c>
      <c r="C53" s="589">
        <v>0</v>
      </c>
      <c r="D53" s="591">
        <v>0</v>
      </c>
      <c r="E53" s="590">
        <f t="shared" si="4"/>
        <v>0</v>
      </c>
    </row>
    <row r="54" spans="1:5" s="421" customFormat="1" x14ac:dyDescent="0.2">
      <c r="A54" s="588"/>
      <c r="B54" s="592" t="s">
        <v>792</v>
      </c>
      <c r="C54" s="593">
        <f>SUM(C48+C49+C52)</f>
        <v>92541178</v>
      </c>
      <c r="D54" s="593">
        <f>SUM(D48+D49+D52)</f>
        <v>92527867</v>
      </c>
      <c r="E54" s="593">
        <f t="shared" si="4"/>
        <v>-13311</v>
      </c>
    </row>
    <row r="55" spans="1:5" s="421" customFormat="1" x14ac:dyDescent="0.2">
      <c r="A55" s="588"/>
      <c r="B55" s="592" t="s">
        <v>466</v>
      </c>
      <c r="C55" s="593">
        <f>SUM(C47+C54)</f>
        <v>140999695</v>
      </c>
      <c r="D55" s="593">
        <f>SUM(D47+D54)</f>
        <v>143256149</v>
      </c>
      <c r="E55" s="593">
        <f t="shared" si="4"/>
        <v>2256454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793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658</v>
      </c>
      <c r="C58" s="589">
        <v>115542619</v>
      </c>
      <c r="D58" s="589">
        <v>106150272</v>
      </c>
      <c r="E58" s="590">
        <f t="shared" ref="E58:E66" si="5">D58-C58</f>
        <v>-9392347</v>
      </c>
    </row>
    <row r="59" spans="1:5" s="421" customFormat="1" x14ac:dyDescent="0.2">
      <c r="A59" s="588">
        <v>2</v>
      </c>
      <c r="B59" s="587" t="s">
        <v>637</v>
      </c>
      <c r="C59" s="589">
        <v>51831965</v>
      </c>
      <c r="D59" s="591">
        <v>47859860</v>
      </c>
      <c r="E59" s="590">
        <f t="shared" si="5"/>
        <v>-3972105</v>
      </c>
    </row>
    <row r="60" spans="1:5" s="421" customFormat="1" x14ac:dyDescent="0.2">
      <c r="A60" s="588">
        <v>3</v>
      </c>
      <c r="B60" s="587" t="s">
        <v>779</v>
      </c>
      <c r="C60" s="589">
        <f>C61+C62</f>
        <v>24181201</v>
      </c>
      <c r="D60" s="591">
        <f>D61+D62</f>
        <v>22081334</v>
      </c>
      <c r="E60" s="590">
        <f t="shared" si="5"/>
        <v>-2099867</v>
      </c>
    </row>
    <row r="61" spans="1:5" s="421" customFormat="1" x14ac:dyDescent="0.2">
      <c r="A61" s="588">
        <v>4</v>
      </c>
      <c r="B61" s="587" t="s">
        <v>115</v>
      </c>
      <c r="C61" s="589">
        <v>23144138</v>
      </c>
      <c r="D61" s="591">
        <v>21600284</v>
      </c>
      <c r="E61" s="590">
        <f t="shared" si="5"/>
        <v>-1543854</v>
      </c>
    </row>
    <row r="62" spans="1:5" s="421" customFormat="1" x14ac:dyDescent="0.2">
      <c r="A62" s="588">
        <v>5</v>
      </c>
      <c r="B62" s="587" t="s">
        <v>745</v>
      </c>
      <c r="C62" s="589">
        <v>1037063</v>
      </c>
      <c r="D62" s="591">
        <v>481050</v>
      </c>
      <c r="E62" s="590">
        <f t="shared" si="5"/>
        <v>-556013</v>
      </c>
    </row>
    <row r="63" spans="1:5" s="421" customFormat="1" x14ac:dyDescent="0.2">
      <c r="A63" s="588">
        <v>6</v>
      </c>
      <c r="B63" s="587" t="s">
        <v>424</v>
      </c>
      <c r="C63" s="589">
        <v>5268282</v>
      </c>
      <c r="D63" s="591">
        <v>5806504</v>
      </c>
      <c r="E63" s="590">
        <f t="shared" si="5"/>
        <v>538222</v>
      </c>
    </row>
    <row r="64" spans="1:5" s="421" customFormat="1" x14ac:dyDescent="0.2">
      <c r="A64" s="588">
        <v>7</v>
      </c>
      <c r="B64" s="587" t="s">
        <v>760</v>
      </c>
      <c r="C64" s="589">
        <v>0</v>
      </c>
      <c r="D64" s="591">
        <v>0</v>
      </c>
      <c r="E64" s="590">
        <f t="shared" si="5"/>
        <v>0</v>
      </c>
    </row>
    <row r="65" spans="1:5" s="421" customFormat="1" x14ac:dyDescent="0.2">
      <c r="A65" s="588"/>
      <c r="B65" s="592" t="s">
        <v>794</v>
      </c>
      <c r="C65" s="593">
        <f>SUM(C59+C60+C63)</f>
        <v>81281448</v>
      </c>
      <c r="D65" s="593">
        <f>SUM(D59+D60+D63)</f>
        <v>75747698</v>
      </c>
      <c r="E65" s="593">
        <f t="shared" si="5"/>
        <v>-5533750</v>
      </c>
    </row>
    <row r="66" spans="1:5" s="421" customFormat="1" x14ac:dyDescent="0.2">
      <c r="A66" s="588"/>
      <c r="B66" s="592" t="s">
        <v>468</v>
      </c>
      <c r="C66" s="593">
        <f>SUM(C58+C65)</f>
        <v>196824067</v>
      </c>
      <c r="D66" s="593">
        <f>SUM(D58+D65)</f>
        <v>181897970</v>
      </c>
      <c r="E66" s="593">
        <f t="shared" si="5"/>
        <v>-14926097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656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783</v>
      </c>
      <c r="C69" s="590">
        <f t="shared" ref="C69:D75" si="6">C47+C58</f>
        <v>164001136</v>
      </c>
      <c r="D69" s="590">
        <f t="shared" si="6"/>
        <v>156878554</v>
      </c>
      <c r="E69" s="590">
        <f t="shared" ref="E69:E77" si="7">D69-C69</f>
        <v>-7122582</v>
      </c>
    </row>
    <row r="70" spans="1:5" s="421" customFormat="1" x14ac:dyDescent="0.2">
      <c r="A70" s="588">
        <v>2</v>
      </c>
      <c r="B70" s="587" t="s">
        <v>784</v>
      </c>
      <c r="C70" s="590">
        <f t="shared" si="6"/>
        <v>122185330</v>
      </c>
      <c r="D70" s="590">
        <f t="shared" si="6"/>
        <v>117576267</v>
      </c>
      <c r="E70" s="590">
        <f t="shared" si="7"/>
        <v>-4609063</v>
      </c>
    </row>
    <row r="71" spans="1:5" s="421" customFormat="1" x14ac:dyDescent="0.2">
      <c r="A71" s="588">
        <v>3</v>
      </c>
      <c r="B71" s="587" t="s">
        <v>785</v>
      </c>
      <c r="C71" s="590">
        <f t="shared" si="6"/>
        <v>41759576</v>
      </c>
      <c r="D71" s="590">
        <f t="shared" si="6"/>
        <v>39715184</v>
      </c>
      <c r="E71" s="590">
        <f t="shared" si="7"/>
        <v>-2044392</v>
      </c>
    </row>
    <row r="72" spans="1:5" s="421" customFormat="1" x14ac:dyDescent="0.2">
      <c r="A72" s="588">
        <v>4</v>
      </c>
      <c r="B72" s="587" t="s">
        <v>786</v>
      </c>
      <c r="C72" s="590">
        <f t="shared" si="6"/>
        <v>39897342</v>
      </c>
      <c r="D72" s="590">
        <f t="shared" si="6"/>
        <v>39045793</v>
      </c>
      <c r="E72" s="590">
        <f t="shared" si="7"/>
        <v>-851549</v>
      </c>
    </row>
    <row r="73" spans="1:5" s="421" customFormat="1" x14ac:dyDescent="0.2">
      <c r="A73" s="588">
        <v>5</v>
      </c>
      <c r="B73" s="587" t="s">
        <v>787</v>
      </c>
      <c r="C73" s="590">
        <f t="shared" si="6"/>
        <v>1862234</v>
      </c>
      <c r="D73" s="590">
        <f t="shared" si="6"/>
        <v>669391</v>
      </c>
      <c r="E73" s="590">
        <f t="shared" si="7"/>
        <v>-1192843</v>
      </c>
    </row>
    <row r="74" spans="1:5" s="421" customFormat="1" x14ac:dyDescent="0.2">
      <c r="A74" s="588">
        <v>6</v>
      </c>
      <c r="B74" s="587" t="s">
        <v>788</v>
      </c>
      <c r="C74" s="590">
        <f t="shared" si="6"/>
        <v>9877720</v>
      </c>
      <c r="D74" s="590">
        <f t="shared" si="6"/>
        <v>10984114</v>
      </c>
      <c r="E74" s="590">
        <f t="shared" si="7"/>
        <v>1106394</v>
      </c>
    </row>
    <row r="75" spans="1:5" s="421" customFormat="1" x14ac:dyDescent="0.2">
      <c r="A75" s="588">
        <v>7</v>
      </c>
      <c r="B75" s="587" t="s">
        <v>789</v>
      </c>
      <c r="C75" s="590">
        <f t="shared" si="6"/>
        <v>0</v>
      </c>
      <c r="D75" s="590">
        <f t="shared" si="6"/>
        <v>0</v>
      </c>
      <c r="E75" s="590">
        <f t="shared" si="7"/>
        <v>0</v>
      </c>
    </row>
    <row r="76" spans="1:5" s="421" customFormat="1" x14ac:dyDescent="0.2">
      <c r="A76" s="588"/>
      <c r="B76" s="592" t="s">
        <v>795</v>
      </c>
      <c r="C76" s="593">
        <f>SUM(C70+C71+C74)</f>
        <v>173822626</v>
      </c>
      <c r="D76" s="593">
        <f>SUM(D70+D71+D74)</f>
        <v>168275565</v>
      </c>
      <c r="E76" s="593">
        <f t="shared" si="7"/>
        <v>-5547061</v>
      </c>
    </row>
    <row r="77" spans="1:5" s="421" customFormat="1" x14ac:dyDescent="0.2">
      <c r="A77" s="588"/>
      <c r="B77" s="592" t="s">
        <v>728</v>
      </c>
      <c r="C77" s="593">
        <f>SUM(C69+C76)</f>
        <v>337823762</v>
      </c>
      <c r="D77" s="593">
        <f>SUM(D69+D76)</f>
        <v>325154119</v>
      </c>
      <c r="E77" s="593">
        <f t="shared" si="7"/>
        <v>-12669643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796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797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658</v>
      </c>
      <c r="C83" s="599">
        <f t="shared" ref="C83:D89" si="8">IF(C$44=0,0,C14/C$44)</f>
        <v>8.3727991996306414E-2</v>
      </c>
      <c r="D83" s="599">
        <f t="shared" si="8"/>
        <v>8.3734812462853372E-2</v>
      </c>
      <c r="E83" s="599">
        <f t="shared" ref="E83:E91" si="9">D83-C83</f>
        <v>6.820466546958448E-6</v>
      </c>
    </row>
    <row r="84" spans="1:5" s="421" customFormat="1" x14ac:dyDescent="0.2">
      <c r="A84" s="588">
        <v>2</v>
      </c>
      <c r="B84" s="587" t="s">
        <v>637</v>
      </c>
      <c r="C84" s="599">
        <f t="shared" si="8"/>
        <v>0.20094729183969101</v>
      </c>
      <c r="D84" s="599">
        <f t="shared" si="8"/>
        <v>0.19189980216438898</v>
      </c>
      <c r="E84" s="599">
        <f t="shared" si="9"/>
        <v>-9.0474896753020284E-3</v>
      </c>
    </row>
    <row r="85" spans="1:5" s="421" customFormat="1" x14ac:dyDescent="0.2">
      <c r="A85" s="588">
        <v>3</v>
      </c>
      <c r="B85" s="587" t="s">
        <v>779</v>
      </c>
      <c r="C85" s="599">
        <f t="shared" si="8"/>
        <v>7.2930653954101268E-2</v>
      </c>
      <c r="D85" s="599">
        <f t="shared" si="8"/>
        <v>6.8581513455852838E-2</v>
      </c>
      <c r="E85" s="599">
        <f t="shared" si="9"/>
        <v>-4.34914049824843E-3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7.0380344043438292E-2</v>
      </c>
      <c r="D86" s="599">
        <f t="shared" si="8"/>
        <v>6.5023828301935593E-2</v>
      </c>
      <c r="E86" s="599">
        <f t="shared" si="9"/>
        <v>-5.3565157415026987E-3</v>
      </c>
    </row>
    <row r="87" spans="1:5" s="421" customFormat="1" x14ac:dyDescent="0.2">
      <c r="A87" s="588">
        <v>5</v>
      </c>
      <c r="B87" s="587" t="s">
        <v>745</v>
      </c>
      <c r="C87" s="599">
        <f t="shared" si="8"/>
        <v>2.5503099106629862E-3</v>
      </c>
      <c r="D87" s="599">
        <f t="shared" si="8"/>
        <v>3.557685153917241E-3</v>
      </c>
      <c r="E87" s="599">
        <f t="shared" si="9"/>
        <v>1.0073752432542549E-3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1.3117256753709233E-2</v>
      </c>
      <c r="D88" s="599">
        <f t="shared" si="8"/>
        <v>1.1768948753185952E-2</v>
      </c>
      <c r="E88" s="599">
        <f t="shared" si="9"/>
        <v>-1.3483080005232805E-3</v>
      </c>
    </row>
    <row r="89" spans="1:5" s="421" customFormat="1" x14ac:dyDescent="0.2">
      <c r="A89" s="588">
        <v>7</v>
      </c>
      <c r="B89" s="587" t="s">
        <v>760</v>
      </c>
      <c r="C89" s="599">
        <f t="shared" si="8"/>
        <v>1.2562379768640342E-3</v>
      </c>
      <c r="D89" s="599">
        <f t="shared" si="8"/>
        <v>1.4900331599798514E-3</v>
      </c>
      <c r="E89" s="599">
        <f t="shared" si="9"/>
        <v>2.3379518311581718E-4</v>
      </c>
    </row>
    <row r="90" spans="1:5" s="421" customFormat="1" x14ac:dyDescent="0.2">
      <c r="A90" s="588"/>
      <c r="B90" s="592" t="s">
        <v>798</v>
      </c>
      <c r="C90" s="600">
        <f>SUM(C84+C85+C88)</f>
        <v>0.28699520254750149</v>
      </c>
      <c r="D90" s="600">
        <f>SUM(D84+D85+D88)</f>
        <v>0.27225026437342775</v>
      </c>
      <c r="E90" s="601">
        <f t="shared" si="9"/>
        <v>-1.4744938174073741E-2</v>
      </c>
    </row>
    <row r="91" spans="1:5" s="421" customFormat="1" x14ac:dyDescent="0.2">
      <c r="A91" s="588"/>
      <c r="B91" s="592" t="s">
        <v>799</v>
      </c>
      <c r="C91" s="600">
        <f>SUM(C83+C90)</f>
        <v>0.37072319454380792</v>
      </c>
      <c r="D91" s="600">
        <f>SUM(D83+D90)</f>
        <v>0.35598507683628111</v>
      </c>
      <c r="E91" s="601">
        <f t="shared" si="9"/>
        <v>-1.473811770752681E-2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800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658</v>
      </c>
      <c r="C95" s="599">
        <f t="shared" ref="C95:D101" si="10">IF(C$44=0,0,C25/C$44)</f>
        <v>0.2518263251586782</v>
      </c>
      <c r="D95" s="599">
        <f t="shared" si="10"/>
        <v>0.24918429089455682</v>
      </c>
      <c r="E95" s="599">
        <f t="shared" ref="E95:E103" si="11">D95-C95</f>
        <v>-2.642034264121379E-3</v>
      </c>
    </row>
    <row r="96" spans="1:5" s="421" customFormat="1" x14ac:dyDescent="0.2">
      <c r="A96" s="588">
        <v>2</v>
      </c>
      <c r="B96" s="587" t="s">
        <v>637</v>
      </c>
      <c r="C96" s="599">
        <f t="shared" si="10"/>
        <v>0.23601365782849243</v>
      </c>
      <c r="D96" s="599">
        <f t="shared" si="10"/>
        <v>0.24367819405147428</v>
      </c>
      <c r="E96" s="599">
        <f t="shared" si="11"/>
        <v>7.6645362229818548E-3</v>
      </c>
    </row>
    <row r="97" spans="1:5" s="421" customFormat="1" x14ac:dyDescent="0.2">
      <c r="A97" s="588">
        <v>3</v>
      </c>
      <c r="B97" s="587" t="s">
        <v>779</v>
      </c>
      <c r="C97" s="599">
        <f t="shared" si="10"/>
        <v>0.11422075411477495</v>
      </c>
      <c r="D97" s="599">
        <f t="shared" si="10"/>
        <v>0.1222359704417456</v>
      </c>
      <c r="E97" s="599">
        <f t="shared" si="11"/>
        <v>8.0152163269706506E-3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0.11126219539825033</v>
      </c>
      <c r="D98" s="599">
        <f t="shared" si="10"/>
        <v>0.11882396937211774</v>
      </c>
      <c r="E98" s="599">
        <f t="shared" si="11"/>
        <v>7.5617739738674111E-3</v>
      </c>
    </row>
    <row r="99" spans="1:5" s="421" customFormat="1" x14ac:dyDescent="0.2">
      <c r="A99" s="588">
        <v>5</v>
      </c>
      <c r="B99" s="587" t="s">
        <v>745</v>
      </c>
      <c r="C99" s="599">
        <f t="shared" si="10"/>
        <v>2.9585587165246244E-3</v>
      </c>
      <c r="D99" s="599">
        <f t="shared" si="10"/>
        <v>3.4120010696278508E-3</v>
      </c>
      <c r="E99" s="599">
        <f t="shared" si="11"/>
        <v>4.5344235310322643E-4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2.7216068354246465E-2</v>
      </c>
      <c r="D100" s="599">
        <f t="shared" si="10"/>
        <v>2.8916467775942156E-2</v>
      </c>
      <c r="E100" s="599">
        <f t="shared" si="11"/>
        <v>1.7003994216956905E-3</v>
      </c>
    </row>
    <row r="101" spans="1:5" s="421" customFormat="1" x14ac:dyDescent="0.2">
      <c r="A101" s="588">
        <v>7</v>
      </c>
      <c r="B101" s="587" t="s">
        <v>760</v>
      </c>
      <c r="C101" s="599">
        <f t="shared" si="10"/>
        <v>1.0642937655613192E-2</v>
      </c>
      <c r="D101" s="599">
        <f t="shared" si="10"/>
        <v>1.2346887652540954E-2</v>
      </c>
      <c r="E101" s="599">
        <f t="shared" si="11"/>
        <v>1.7039499969277623E-3</v>
      </c>
    </row>
    <row r="102" spans="1:5" s="421" customFormat="1" x14ac:dyDescent="0.2">
      <c r="A102" s="588"/>
      <c r="B102" s="592" t="s">
        <v>801</v>
      </c>
      <c r="C102" s="600">
        <f>SUM(C96+C97+C100)</f>
        <v>0.37745048029751382</v>
      </c>
      <c r="D102" s="600">
        <f>SUM(D96+D97+D100)</f>
        <v>0.39483063226916204</v>
      </c>
      <c r="E102" s="601">
        <f t="shared" si="11"/>
        <v>1.7380151971648217E-2</v>
      </c>
    </row>
    <row r="103" spans="1:5" s="421" customFormat="1" x14ac:dyDescent="0.2">
      <c r="A103" s="588"/>
      <c r="B103" s="592" t="s">
        <v>802</v>
      </c>
      <c r="C103" s="600">
        <f>SUM(C95+C102)</f>
        <v>0.62927680545619202</v>
      </c>
      <c r="D103" s="600">
        <f>SUM(D95+D102)</f>
        <v>0.64401492316371889</v>
      </c>
      <c r="E103" s="601">
        <f t="shared" si="11"/>
        <v>1.4738117707526865E-2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803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804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658</v>
      </c>
      <c r="C109" s="599">
        <f t="shared" ref="C109:D115" si="12">IF(C$77=0,0,C47/C$77)</f>
        <v>0.1434431868057878</v>
      </c>
      <c r="D109" s="599">
        <f t="shared" si="12"/>
        <v>0.15601303823556975</v>
      </c>
      <c r="E109" s="599">
        <f t="shared" ref="E109:E117" si="13">D109-C109</f>
        <v>1.2569851429781953E-2</v>
      </c>
    </row>
    <row r="110" spans="1:5" s="421" customFormat="1" x14ac:dyDescent="0.2">
      <c r="A110" s="588">
        <v>2</v>
      </c>
      <c r="B110" s="587" t="s">
        <v>637</v>
      </c>
      <c r="C110" s="599">
        <f t="shared" si="12"/>
        <v>0.20825463722116741</v>
      </c>
      <c r="D110" s="599">
        <f t="shared" si="12"/>
        <v>0.21441034551372237</v>
      </c>
      <c r="E110" s="599">
        <f t="shared" si="13"/>
        <v>6.1557082925549622E-3</v>
      </c>
    </row>
    <row r="111" spans="1:5" s="421" customFormat="1" x14ac:dyDescent="0.2">
      <c r="A111" s="588">
        <v>3</v>
      </c>
      <c r="B111" s="587" t="s">
        <v>779</v>
      </c>
      <c r="C111" s="599">
        <f t="shared" si="12"/>
        <v>5.2034157976134317E-2</v>
      </c>
      <c r="D111" s="599">
        <f t="shared" si="12"/>
        <v>5.4232282384219156E-2</v>
      </c>
      <c r="E111" s="599">
        <f t="shared" si="13"/>
        <v>2.1981244080848394E-3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4.9591550046145065E-2</v>
      </c>
      <c r="D112" s="599">
        <f t="shared" si="12"/>
        <v>5.3653046295870546E-2</v>
      </c>
      <c r="E112" s="599">
        <f t="shared" si="13"/>
        <v>4.0614962497254811E-3</v>
      </c>
    </row>
    <row r="113" spans="1:5" s="421" customFormat="1" x14ac:dyDescent="0.2">
      <c r="A113" s="588">
        <v>5</v>
      </c>
      <c r="B113" s="587" t="s">
        <v>745</v>
      </c>
      <c r="C113" s="599">
        <f t="shared" si="12"/>
        <v>2.4426079299892469E-3</v>
      </c>
      <c r="D113" s="599">
        <f t="shared" si="12"/>
        <v>5.7923608834861478E-4</v>
      </c>
      <c r="E113" s="599">
        <f t="shared" si="13"/>
        <v>-1.8633718416406321E-3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1.3644504971204483E-2</v>
      </c>
      <c r="D114" s="599">
        <f t="shared" si="12"/>
        <v>1.5923556545811433E-2</v>
      </c>
      <c r="E114" s="599">
        <f t="shared" si="13"/>
        <v>2.2790515746069495E-3</v>
      </c>
    </row>
    <row r="115" spans="1:5" s="421" customFormat="1" x14ac:dyDescent="0.2">
      <c r="A115" s="588">
        <v>7</v>
      </c>
      <c r="B115" s="587" t="s">
        <v>760</v>
      </c>
      <c r="C115" s="599">
        <f t="shared" si="12"/>
        <v>0</v>
      </c>
      <c r="D115" s="599">
        <f t="shared" si="12"/>
        <v>0</v>
      </c>
      <c r="E115" s="599">
        <f t="shared" si="13"/>
        <v>0</v>
      </c>
    </row>
    <row r="116" spans="1:5" s="421" customFormat="1" x14ac:dyDescent="0.2">
      <c r="A116" s="588"/>
      <c r="B116" s="592" t="s">
        <v>798</v>
      </c>
      <c r="C116" s="600">
        <f>SUM(C110+C111+C114)</f>
        <v>0.27393330016850626</v>
      </c>
      <c r="D116" s="600">
        <f>SUM(D110+D111+D114)</f>
        <v>0.28456618444375298</v>
      </c>
      <c r="E116" s="601">
        <f t="shared" si="13"/>
        <v>1.0632884275246723E-2</v>
      </c>
    </row>
    <row r="117" spans="1:5" s="421" customFormat="1" x14ac:dyDescent="0.2">
      <c r="A117" s="588"/>
      <c r="B117" s="592" t="s">
        <v>799</v>
      </c>
      <c r="C117" s="600">
        <f>SUM(C109+C116)</f>
        <v>0.41737648697429408</v>
      </c>
      <c r="D117" s="600">
        <f>SUM(D109+D116)</f>
        <v>0.4405792226793227</v>
      </c>
      <c r="E117" s="601">
        <f t="shared" si="13"/>
        <v>2.3202735705028621E-2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805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658</v>
      </c>
      <c r="C121" s="599">
        <f t="shared" ref="C121:D127" si="14">IF(C$77=0,0,C58/C$77)</f>
        <v>0.34202040234221298</v>
      </c>
      <c r="D121" s="599">
        <f t="shared" si="14"/>
        <v>0.32646140952008051</v>
      </c>
      <c r="E121" s="599">
        <f t="shared" ref="E121:E129" si="15">D121-C121</f>
        <v>-1.5558992822132467E-2</v>
      </c>
    </row>
    <row r="122" spans="1:5" s="421" customFormat="1" x14ac:dyDescent="0.2">
      <c r="A122" s="588">
        <v>2</v>
      </c>
      <c r="B122" s="587" t="s">
        <v>637</v>
      </c>
      <c r="C122" s="599">
        <f t="shared" si="14"/>
        <v>0.15342900893987441</v>
      </c>
      <c r="D122" s="599">
        <f t="shared" si="14"/>
        <v>0.14719130776258135</v>
      </c>
      <c r="E122" s="599">
        <f t="shared" si="15"/>
        <v>-6.2377011772930535E-3</v>
      </c>
    </row>
    <row r="123" spans="1:5" s="421" customFormat="1" x14ac:dyDescent="0.2">
      <c r="A123" s="588">
        <v>3</v>
      </c>
      <c r="B123" s="587" t="s">
        <v>779</v>
      </c>
      <c r="C123" s="599">
        <f t="shared" si="14"/>
        <v>7.157933727586635E-2</v>
      </c>
      <c r="D123" s="599">
        <f t="shared" si="14"/>
        <v>6.7910362224259571E-2</v>
      </c>
      <c r="E123" s="599">
        <f t="shared" si="15"/>
        <v>-3.6689750516067793E-3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6.8509502892813087E-2</v>
      </c>
      <c r="D124" s="599">
        <f t="shared" si="14"/>
        <v>6.6430909952581593E-2</v>
      </c>
      <c r="E124" s="599">
        <f t="shared" si="15"/>
        <v>-2.078592940231494E-3</v>
      </c>
    </row>
    <row r="125" spans="1:5" s="421" customFormat="1" x14ac:dyDescent="0.2">
      <c r="A125" s="588">
        <v>5</v>
      </c>
      <c r="B125" s="587" t="s">
        <v>745</v>
      </c>
      <c r="C125" s="599">
        <f t="shared" si="14"/>
        <v>3.0698343830532562E-3</v>
      </c>
      <c r="D125" s="599">
        <f t="shared" si="14"/>
        <v>1.4794522716779731E-3</v>
      </c>
      <c r="E125" s="599">
        <f t="shared" si="15"/>
        <v>-1.5903821113752831E-3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1.5594764467752271E-2</v>
      </c>
      <c r="D126" s="599">
        <f t="shared" si="14"/>
        <v>1.7857697813755822E-2</v>
      </c>
      <c r="E126" s="599">
        <f t="shared" si="15"/>
        <v>2.2629333460035504E-3</v>
      </c>
    </row>
    <row r="127" spans="1:5" s="421" customFormat="1" x14ac:dyDescent="0.2">
      <c r="A127" s="588">
        <v>7</v>
      </c>
      <c r="B127" s="587" t="s">
        <v>760</v>
      </c>
      <c r="C127" s="599">
        <f t="shared" si="14"/>
        <v>0</v>
      </c>
      <c r="D127" s="599">
        <f t="shared" si="14"/>
        <v>0</v>
      </c>
      <c r="E127" s="599">
        <f t="shared" si="15"/>
        <v>0</v>
      </c>
    </row>
    <row r="128" spans="1:5" s="421" customFormat="1" x14ac:dyDescent="0.2">
      <c r="A128" s="588"/>
      <c r="B128" s="592" t="s">
        <v>801</v>
      </c>
      <c r="C128" s="600">
        <f>SUM(C122+C123+C126)</f>
        <v>0.24060311068349302</v>
      </c>
      <c r="D128" s="600">
        <f>SUM(D122+D123+D126)</f>
        <v>0.23295936780059676</v>
      </c>
      <c r="E128" s="601">
        <f t="shared" si="15"/>
        <v>-7.643742882896265E-3</v>
      </c>
    </row>
    <row r="129" spans="1:5" s="421" customFormat="1" x14ac:dyDescent="0.2">
      <c r="A129" s="588"/>
      <c r="B129" s="592" t="s">
        <v>802</v>
      </c>
      <c r="C129" s="600">
        <f>SUM(C121+C128)</f>
        <v>0.58262351302570603</v>
      </c>
      <c r="D129" s="600">
        <f>SUM(D121+D128)</f>
        <v>0.5594207773206773</v>
      </c>
      <c r="E129" s="601">
        <f t="shared" si="15"/>
        <v>-2.3202735705028732E-2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806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807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808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658</v>
      </c>
      <c r="C137" s="606">
        <v>3521</v>
      </c>
      <c r="D137" s="606">
        <v>3480</v>
      </c>
      <c r="E137" s="607">
        <f t="shared" ref="E137:E145" si="16">D137-C137</f>
        <v>-41</v>
      </c>
    </row>
    <row r="138" spans="1:5" s="421" customFormat="1" x14ac:dyDescent="0.2">
      <c r="A138" s="588">
        <v>2</v>
      </c>
      <c r="B138" s="587" t="s">
        <v>637</v>
      </c>
      <c r="C138" s="606">
        <v>6527</v>
      </c>
      <c r="D138" s="606">
        <v>6205</v>
      </c>
      <c r="E138" s="607">
        <f t="shared" si="16"/>
        <v>-322</v>
      </c>
    </row>
    <row r="139" spans="1:5" s="421" customFormat="1" x14ac:dyDescent="0.2">
      <c r="A139" s="588">
        <v>3</v>
      </c>
      <c r="B139" s="587" t="s">
        <v>779</v>
      </c>
      <c r="C139" s="606">
        <f>C140+C141</f>
        <v>3210</v>
      </c>
      <c r="D139" s="606">
        <f>D140+D141</f>
        <v>3058</v>
      </c>
      <c r="E139" s="607">
        <f t="shared" si="16"/>
        <v>-152</v>
      </c>
    </row>
    <row r="140" spans="1:5" s="421" customFormat="1" x14ac:dyDescent="0.2">
      <c r="A140" s="588">
        <v>4</v>
      </c>
      <c r="B140" s="587" t="s">
        <v>115</v>
      </c>
      <c r="C140" s="606">
        <v>3087</v>
      </c>
      <c r="D140" s="606">
        <v>2975</v>
      </c>
      <c r="E140" s="607">
        <f t="shared" si="16"/>
        <v>-112</v>
      </c>
    </row>
    <row r="141" spans="1:5" s="421" customFormat="1" x14ac:dyDescent="0.2">
      <c r="A141" s="588">
        <v>5</v>
      </c>
      <c r="B141" s="587" t="s">
        <v>745</v>
      </c>
      <c r="C141" s="606">
        <v>123</v>
      </c>
      <c r="D141" s="606">
        <v>83</v>
      </c>
      <c r="E141" s="607">
        <f t="shared" si="16"/>
        <v>-40</v>
      </c>
    </row>
    <row r="142" spans="1:5" s="421" customFormat="1" x14ac:dyDescent="0.2">
      <c r="A142" s="588">
        <v>6</v>
      </c>
      <c r="B142" s="587" t="s">
        <v>424</v>
      </c>
      <c r="C142" s="606">
        <v>812</v>
      </c>
      <c r="D142" s="606">
        <v>739</v>
      </c>
      <c r="E142" s="607">
        <f t="shared" si="16"/>
        <v>-73</v>
      </c>
    </row>
    <row r="143" spans="1:5" s="421" customFormat="1" x14ac:dyDescent="0.2">
      <c r="A143" s="588">
        <v>7</v>
      </c>
      <c r="B143" s="587" t="s">
        <v>760</v>
      </c>
      <c r="C143" s="606">
        <v>59</v>
      </c>
      <c r="D143" s="606">
        <v>70</v>
      </c>
      <c r="E143" s="607">
        <f t="shared" si="16"/>
        <v>11</v>
      </c>
    </row>
    <row r="144" spans="1:5" s="421" customFormat="1" x14ac:dyDescent="0.2">
      <c r="A144" s="588"/>
      <c r="B144" s="592" t="s">
        <v>809</v>
      </c>
      <c r="C144" s="608">
        <f>SUM(C138+C139+C142)</f>
        <v>10549</v>
      </c>
      <c r="D144" s="608">
        <f>SUM(D138+D139+D142)</f>
        <v>10002</v>
      </c>
      <c r="E144" s="609">
        <f t="shared" si="16"/>
        <v>-547</v>
      </c>
    </row>
    <row r="145" spans="1:5" s="421" customFormat="1" x14ac:dyDescent="0.2">
      <c r="A145" s="588"/>
      <c r="B145" s="592" t="s">
        <v>138</v>
      </c>
      <c r="C145" s="608">
        <f>SUM(C137+C144)</f>
        <v>14070</v>
      </c>
      <c r="D145" s="608">
        <f>SUM(D137+D144)</f>
        <v>13482</v>
      </c>
      <c r="E145" s="609">
        <f t="shared" si="16"/>
        <v>-588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658</v>
      </c>
      <c r="C149" s="610">
        <v>12808</v>
      </c>
      <c r="D149" s="610">
        <v>12890</v>
      </c>
      <c r="E149" s="607">
        <f t="shared" ref="E149:E157" si="17">D149-C149</f>
        <v>82</v>
      </c>
    </row>
    <row r="150" spans="1:5" s="421" customFormat="1" x14ac:dyDescent="0.2">
      <c r="A150" s="588">
        <v>2</v>
      </c>
      <c r="B150" s="587" t="s">
        <v>637</v>
      </c>
      <c r="C150" s="610">
        <v>32565</v>
      </c>
      <c r="D150" s="610">
        <v>31881</v>
      </c>
      <c r="E150" s="607">
        <f t="shared" si="17"/>
        <v>-684</v>
      </c>
    </row>
    <row r="151" spans="1:5" s="421" customFormat="1" x14ac:dyDescent="0.2">
      <c r="A151" s="588">
        <v>3</v>
      </c>
      <c r="B151" s="587" t="s">
        <v>779</v>
      </c>
      <c r="C151" s="610">
        <f>C152+C153</f>
        <v>14318</v>
      </c>
      <c r="D151" s="610">
        <f>D152+D153</f>
        <v>13646</v>
      </c>
      <c r="E151" s="607">
        <f t="shared" si="17"/>
        <v>-672</v>
      </c>
    </row>
    <row r="152" spans="1:5" s="421" customFormat="1" x14ac:dyDescent="0.2">
      <c r="A152" s="588">
        <v>4</v>
      </c>
      <c r="B152" s="587" t="s">
        <v>115</v>
      </c>
      <c r="C152" s="610">
        <v>13835</v>
      </c>
      <c r="D152" s="610">
        <v>13229</v>
      </c>
      <c r="E152" s="607">
        <f t="shared" si="17"/>
        <v>-606</v>
      </c>
    </row>
    <row r="153" spans="1:5" s="421" customFormat="1" x14ac:dyDescent="0.2">
      <c r="A153" s="588">
        <v>5</v>
      </c>
      <c r="B153" s="587" t="s">
        <v>745</v>
      </c>
      <c r="C153" s="611">
        <v>483</v>
      </c>
      <c r="D153" s="610">
        <v>417</v>
      </c>
      <c r="E153" s="607">
        <f t="shared" si="17"/>
        <v>-66</v>
      </c>
    </row>
    <row r="154" spans="1:5" s="421" customFormat="1" x14ac:dyDescent="0.2">
      <c r="A154" s="588">
        <v>6</v>
      </c>
      <c r="B154" s="587" t="s">
        <v>424</v>
      </c>
      <c r="C154" s="610">
        <v>2528</v>
      </c>
      <c r="D154" s="610">
        <v>2217</v>
      </c>
      <c r="E154" s="607">
        <f t="shared" si="17"/>
        <v>-311</v>
      </c>
    </row>
    <row r="155" spans="1:5" s="421" customFormat="1" x14ac:dyDescent="0.2">
      <c r="A155" s="588">
        <v>7</v>
      </c>
      <c r="B155" s="587" t="s">
        <v>760</v>
      </c>
      <c r="C155" s="610">
        <v>166</v>
      </c>
      <c r="D155" s="610">
        <v>236</v>
      </c>
      <c r="E155" s="607">
        <f t="shared" si="17"/>
        <v>70</v>
      </c>
    </row>
    <row r="156" spans="1:5" s="421" customFormat="1" x14ac:dyDescent="0.2">
      <c r="A156" s="588"/>
      <c r="B156" s="592" t="s">
        <v>810</v>
      </c>
      <c r="C156" s="608">
        <f>SUM(C150+C151+C154)</f>
        <v>49411</v>
      </c>
      <c r="D156" s="608">
        <f>SUM(D150+D151+D154)</f>
        <v>47744</v>
      </c>
      <c r="E156" s="609">
        <f t="shared" si="17"/>
        <v>-1667</v>
      </c>
    </row>
    <row r="157" spans="1:5" s="421" customFormat="1" x14ac:dyDescent="0.2">
      <c r="A157" s="588"/>
      <c r="B157" s="592" t="s">
        <v>140</v>
      </c>
      <c r="C157" s="608">
        <f>SUM(C149+C156)</f>
        <v>62219</v>
      </c>
      <c r="D157" s="608">
        <f>SUM(D149+D156)</f>
        <v>60634</v>
      </c>
      <c r="E157" s="609">
        <f t="shared" si="17"/>
        <v>-1585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811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658</v>
      </c>
      <c r="C161" s="612">
        <f t="shared" ref="C161:D169" si="18">IF(C137=0,0,C149/C137)</f>
        <v>3.6376029537063332</v>
      </c>
      <c r="D161" s="612">
        <f t="shared" si="18"/>
        <v>3.7040229885057472</v>
      </c>
      <c r="E161" s="613">
        <f t="shared" ref="E161:E169" si="19">D161-C161</f>
        <v>6.6420034799413941E-2</v>
      </c>
    </row>
    <row r="162" spans="1:5" s="421" customFormat="1" x14ac:dyDescent="0.2">
      <c r="A162" s="588">
        <v>2</v>
      </c>
      <c r="B162" s="587" t="s">
        <v>637</v>
      </c>
      <c r="C162" s="612">
        <f t="shared" si="18"/>
        <v>4.9892753179102192</v>
      </c>
      <c r="D162" s="612">
        <f t="shared" si="18"/>
        <v>5.1379532634971801</v>
      </c>
      <c r="E162" s="613">
        <f t="shared" si="19"/>
        <v>0.1486779455869609</v>
      </c>
    </row>
    <row r="163" spans="1:5" s="421" customFormat="1" x14ac:dyDescent="0.2">
      <c r="A163" s="588">
        <v>3</v>
      </c>
      <c r="B163" s="587" t="s">
        <v>779</v>
      </c>
      <c r="C163" s="612">
        <f t="shared" si="18"/>
        <v>4.4604361370716514</v>
      </c>
      <c r="D163" s="612">
        <f t="shared" si="18"/>
        <v>4.462393721386527</v>
      </c>
      <c r="E163" s="613">
        <f t="shared" si="19"/>
        <v>1.9575843148755823E-3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4.4816974408811143</v>
      </c>
      <c r="D164" s="612">
        <f t="shared" si="18"/>
        <v>4.4467226890756306</v>
      </c>
      <c r="E164" s="613">
        <f t="shared" si="19"/>
        <v>-3.4974751805483706E-2</v>
      </c>
    </row>
    <row r="165" spans="1:5" s="421" customFormat="1" x14ac:dyDescent="0.2">
      <c r="A165" s="588">
        <v>5</v>
      </c>
      <c r="B165" s="587" t="s">
        <v>745</v>
      </c>
      <c r="C165" s="612">
        <f t="shared" si="18"/>
        <v>3.9268292682926829</v>
      </c>
      <c r="D165" s="612">
        <f t="shared" si="18"/>
        <v>5.024096385542169</v>
      </c>
      <c r="E165" s="613">
        <f t="shared" si="19"/>
        <v>1.0972671172494861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3.1133004926108376</v>
      </c>
      <c r="D166" s="612">
        <f t="shared" si="18"/>
        <v>3</v>
      </c>
      <c r="E166" s="613">
        <f t="shared" si="19"/>
        <v>-0.11330049261083763</v>
      </c>
    </row>
    <row r="167" spans="1:5" s="421" customFormat="1" x14ac:dyDescent="0.2">
      <c r="A167" s="588">
        <v>7</v>
      </c>
      <c r="B167" s="587" t="s">
        <v>760</v>
      </c>
      <c r="C167" s="612">
        <f t="shared" si="18"/>
        <v>2.8135593220338984</v>
      </c>
      <c r="D167" s="612">
        <f t="shared" si="18"/>
        <v>3.3714285714285714</v>
      </c>
      <c r="E167" s="613">
        <f t="shared" si="19"/>
        <v>0.55786924939467308</v>
      </c>
    </row>
    <row r="168" spans="1:5" s="421" customFormat="1" x14ac:dyDescent="0.2">
      <c r="A168" s="588"/>
      <c r="B168" s="592" t="s">
        <v>812</v>
      </c>
      <c r="C168" s="614">
        <f t="shared" si="18"/>
        <v>4.6839510854109392</v>
      </c>
      <c r="D168" s="614">
        <f t="shared" si="18"/>
        <v>4.7734453109378121</v>
      </c>
      <c r="E168" s="615">
        <f t="shared" si="19"/>
        <v>8.9494225526872917E-2</v>
      </c>
    </row>
    <row r="169" spans="1:5" s="421" customFormat="1" x14ac:dyDescent="0.2">
      <c r="A169" s="588"/>
      <c r="B169" s="592" t="s">
        <v>746</v>
      </c>
      <c r="C169" s="614">
        <f t="shared" si="18"/>
        <v>4.4221037668798866</v>
      </c>
      <c r="D169" s="614">
        <f t="shared" si="18"/>
        <v>4.4974039460020769</v>
      </c>
      <c r="E169" s="615">
        <f t="shared" si="19"/>
        <v>7.5300179122190336E-2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813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658</v>
      </c>
      <c r="C173" s="617">
        <f t="shared" ref="C173:D181" si="20">IF(C137=0,0,C203/C137)</f>
        <v>1.1632</v>
      </c>
      <c r="D173" s="617">
        <f t="shared" si="20"/>
        <v>1.2228000000000001</v>
      </c>
      <c r="E173" s="618">
        <f t="shared" ref="E173:E181" si="21">D173-C173</f>
        <v>5.9600000000000097E-2</v>
      </c>
    </row>
    <row r="174" spans="1:5" s="421" customFormat="1" x14ac:dyDescent="0.2">
      <c r="A174" s="588">
        <v>2</v>
      </c>
      <c r="B174" s="587" t="s">
        <v>637</v>
      </c>
      <c r="C174" s="617">
        <f t="shared" si="20"/>
        <v>1.4419999999999999</v>
      </c>
      <c r="D174" s="617">
        <f t="shared" si="20"/>
        <v>1.4489000000000001</v>
      </c>
      <c r="E174" s="618">
        <f t="shared" si="21"/>
        <v>6.9000000000001283E-3</v>
      </c>
    </row>
    <row r="175" spans="1:5" s="421" customFormat="1" x14ac:dyDescent="0.2">
      <c r="A175" s="588">
        <v>3</v>
      </c>
      <c r="B175" s="587" t="s">
        <v>779</v>
      </c>
      <c r="C175" s="617">
        <f t="shared" si="20"/>
        <v>1.1052656074766356</v>
      </c>
      <c r="D175" s="617">
        <f t="shared" si="20"/>
        <v>1.1571045781556573</v>
      </c>
      <c r="E175" s="618">
        <f t="shared" si="21"/>
        <v>5.1838970679021656E-2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1.1125</v>
      </c>
      <c r="D176" s="617">
        <f t="shared" si="20"/>
        <v>1.1573</v>
      </c>
      <c r="E176" s="618">
        <f t="shared" si="21"/>
        <v>4.4799999999999951E-2</v>
      </c>
    </row>
    <row r="177" spans="1:5" s="421" customFormat="1" x14ac:dyDescent="0.2">
      <c r="A177" s="588">
        <v>5</v>
      </c>
      <c r="B177" s="587" t="s">
        <v>745</v>
      </c>
      <c r="C177" s="617">
        <f t="shared" si="20"/>
        <v>0.92369999999999997</v>
      </c>
      <c r="D177" s="617">
        <f t="shared" si="20"/>
        <v>1.1500999999999999</v>
      </c>
      <c r="E177" s="618">
        <f t="shared" si="21"/>
        <v>0.22639999999999993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0.94130000000000003</v>
      </c>
      <c r="D178" s="617">
        <f t="shared" si="20"/>
        <v>0.9919</v>
      </c>
      <c r="E178" s="618">
        <f t="shared" si="21"/>
        <v>5.0599999999999978E-2</v>
      </c>
    </row>
    <row r="179" spans="1:5" s="421" customFormat="1" x14ac:dyDescent="0.2">
      <c r="A179" s="588">
        <v>7</v>
      </c>
      <c r="B179" s="587" t="s">
        <v>760</v>
      </c>
      <c r="C179" s="617">
        <f t="shared" si="20"/>
        <v>1.0829</v>
      </c>
      <c r="D179" s="617">
        <f t="shared" si="20"/>
        <v>1.0834999999999999</v>
      </c>
      <c r="E179" s="618">
        <f t="shared" si="21"/>
        <v>5.9999999999993392E-4</v>
      </c>
    </row>
    <row r="180" spans="1:5" s="421" customFormat="1" x14ac:dyDescent="0.2">
      <c r="A180" s="588"/>
      <c r="B180" s="592" t="s">
        <v>814</v>
      </c>
      <c r="C180" s="619">
        <f t="shared" si="20"/>
        <v>1.30099271968907</v>
      </c>
      <c r="D180" s="619">
        <f t="shared" si="20"/>
        <v>1.3259212557488504</v>
      </c>
      <c r="E180" s="620">
        <f t="shared" si="21"/>
        <v>2.4928536059780404E-2</v>
      </c>
    </row>
    <row r="181" spans="1:5" s="421" customFormat="1" x14ac:dyDescent="0.2">
      <c r="A181" s="588"/>
      <c r="B181" s="592" t="s">
        <v>725</v>
      </c>
      <c r="C181" s="619">
        <f t="shared" si="20"/>
        <v>1.26651026297086</v>
      </c>
      <c r="D181" s="619">
        <f t="shared" si="20"/>
        <v>1.2993033971220889</v>
      </c>
      <c r="E181" s="620">
        <f t="shared" si="21"/>
        <v>3.2793134151228864E-2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815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816</v>
      </c>
      <c r="C185" s="589">
        <v>257118682</v>
      </c>
      <c r="D185" s="589">
        <v>256935481</v>
      </c>
      <c r="E185" s="590">
        <f>D185-C185</f>
        <v>-183201</v>
      </c>
    </row>
    <row r="186" spans="1:5" s="421" customFormat="1" ht="25.5" x14ac:dyDescent="0.2">
      <c r="A186" s="588">
        <v>2</v>
      </c>
      <c r="B186" s="587" t="s">
        <v>817</v>
      </c>
      <c r="C186" s="589">
        <v>160242760</v>
      </c>
      <c r="D186" s="589">
        <v>150322481</v>
      </c>
      <c r="E186" s="590">
        <f>D186-C186</f>
        <v>-9920279</v>
      </c>
    </row>
    <row r="187" spans="1:5" s="421" customFormat="1" x14ac:dyDescent="0.2">
      <c r="A187" s="588"/>
      <c r="B187" s="587" t="s">
        <v>670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749</v>
      </c>
      <c r="C188" s="622">
        <f>+C185-C186</f>
        <v>96875922</v>
      </c>
      <c r="D188" s="622">
        <f>+D185-D186</f>
        <v>106613000</v>
      </c>
      <c r="E188" s="590">
        <f t="shared" ref="E188:E197" si="22">D188-C188</f>
        <v>9737078</v>
      </c>
    </row>
    <row r="189" spans="1:5" s="421" customFormat="1" x14ac:dyDescent="0.2">
      <c r="A189" s="588">
        <v>4</v>
      </c>
      <c r="B189" s="587" t="s">
        <v>672</v>
      </c>
      <c r="C189" s="623">
        <f>IF(C185=0,0,+C188/C185)</f>
        <v>0.37677511897015714</v>
      </c>
      <c r="D189" s="623">
        <f>IF(D185=0,0,+D188/D185)</f>
        <v>0.41494074537724124</v>
      </c>
      <c r="E189" s="599">
        <f t="shared" si="22"/>
        <v>3.8165626407084097E-2</v>
      </c>
    </row>
    <row r="190" spans="1:5" s="421" customFormat="1" x14ac:dyDescent="0.2">
      <c r="A190" s="588">
        <v>5</v>
      </c>
      <c r="B190" s="587" t="s">
        <v>764</v>
      </c>
      <c r="C190" s="589">
        <v>14516181</v>
      </c>
      <c r="D190" s="589">
        <v>13232029</v>
      </c>
      <c r="E190" s="622">
        <f t="shared" si="22"/>
        <v>-1284152</v>
      </c>
    </row>
    <row r="191" spans="1:5" s="421" customFormat="1" x14ac:dyDescent="0.2">
      <c r="A191" s="588">
        <v>6</v>
      </c>
      <c r="B191" s="587" t="s">
        <v>750</v>
      </c>
      <c r="C191" s="589">
        <v>6858523</v>
      </c>
      <c r="D191" s="589">
        <v>6675957</v>
      </c>
      <c r="E191" s="622">
        <f t="shared" si="22"/>
        <v>-182566</v>
      </c>
    </row>
    <row r="192" spans="1:5" ht="29.25" x14ac:dyDescent="0.2">
      <c r="A192" s="588">
        <v>7</v>
      </c>
      <c r="B192" s="624" t="s">
        <v>818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819</v>
      </c>
      <c r="C193" s="589">
        <v>2248341</v>
      </c>
      <c r="D193" s="589">
        <v>3555323</v>
      </c>
      <c r="E193" s="622">
        <f t="shared" si="22"/>
        <v>1306982</v>
      </c>
    </row>
    <row r="194" spans="1:5" s="421" customFormat="1" x14ac:dyDescent="0.2">
      <c r="A194" s="588">
        <v>9</v>
      </c>
      <c r="B194" s="587" t="s">
        <v>820</v>
      </c>
      <c r="C194" s="589">
        <v>12798310</v>
      </c>
      <c r="D194" s="589">
        <v>12353274</v>
      </c>
      <c r="E194" s="622">
        <f t="shared" si="22"/>
        <v>-445036</v>
      </c>
    </row>
    <row r="195" spans="1:5" s="421" customFormat="1" x14ac:dyDescent="0.2">
      <c r="A195" s="588">
        <v>10</v>
      </c>
      <c r="B195" s="587" t="s">
        <v>821</v>
      </c>
      <c r="C195" s="589">
        <f>+C193+C194</f>
        <v>15046651</v>
      </c>
      <c r="D195" s="589">
        <f>+D193+D194</f>
        <v>15908597</v>
      </c>
      <c r="E195" s="625">
        <f t="shared" si="22"/>
        <v>861946</v>
      </c>
    </row>
    <row r="196" spans="1:5" s="421" customFormat="1" x14ac:dyDescent="0.2">
      <c r="A196" s="588">
        <v>11</v>
      </c>
      <c r="B196" s="587" t="s">
        <v>822</v>
      </c>
      <c r="C196" s="589">
        <v>30854159</v>
      </c>
      <c r="D196" s="589">
        <v>32202655</v>
      </c>
      <c r="E196" s="622">
        <f t="shared" si="22"/>
        <v>1348496</v>
      </c>
    </row>
    <row r="197" spans="1:5" s="421" customFormat="1" x14ac:dyDescent="0.2">
      <c r="A197" s="588">
        <v>12</v>
      </c>
      <c r="B197" s="587" t="s">
        <v>712</v>
      </c>
      <c r="C197" s="589">
        <v>350127953</v>
      </c>
      <c r="D197" s="589">
        <v>344831100</v>
      </c>
      <c r="E197" s="622">
        <f t="shared" si="22"/>
        <v>-5296853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823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824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658</v>
      </c>
      <c r="C203" s="629">
        <v>4095.6271999999999</v>
      </c>
      <c r="D203" s="629">
        <v>4255.3440000000001</v>
      </c>
      <c r="E203" s="630">
        <f t="shared" ref="E203:E211" si="23">D203-C203</f>
        <v>159.71680000000015</v>
      </c>
    </row>
    <row r="204" spans="1:5" s="421" customFormat="1" x14ac:dyDescent="0.2">
      <c r="A204" s="588">
        <v>2</v>
      </c>
      <c r="B204" s="587" t="s">
        <v>637</v>
      </c>
      <c r="C204" s="629">
        <v>9411.9339999999993</v>
      </c>
      <c r="D204" s="629">
        <v>8990.424500000001</v>
      </c>
      <c r="E204" s="630">
        <f t="shared" si="23"/>
        <v>-421.5094999999983</v>
      </c>
    </row>
    <row r="205" spans="1:5" s="421" customFormat="1" x14ac:dyDescent="0.2">
      <c r="A205" s="588">
        <v>3</v>
      </c>
      <c r="B205" s="587" t="s">
        <v>779</v>
      </c>
      <c r="C205" s="629">
        <f>C206+C207</f>
        <v>3547.9026000000003</v>
      </c>
      <c r="D205" s="629">
        <f>D206+D207</f>
        <v>3538.4258</v>
      </c>
      <c r="E205" s="630">
        <f t="shared" si="23"/>
        <v>-9.4768000000003667</v>
      </c>
    </row>
    <row r="206" spans="1:5" s="421" customFormat="1" x14ac:dyDescent="0.2">
      <c r="A206" s="588">
        <v>4</v>
      </c>
      <c r="B206" s="587" t="s">
        <v>115</v>
      </c>
      <c r="C206" s="629">
        <v>3434.2875000000004</v>
      </c>
      <c r="D206" s="629">
        <v>3442.9675000000002</v>
      </c>
      <c r="E206" s="630">
        <f t="shared" si="23"/>
        <v>8.6799999999998363</v>
      </c>
    </row>
    <row r="207" spans="1:5" s="421" customFormat="1" x14ac:dyDescent="0.2">
      <c r="A207" s="588">
        <v>5</v>
      </c>
      <c r="B207" s="587" t="s">
        <v>745</v>
      </c>
      <c r="C207" s="629">
        <v>113.6151</v>
      </c>
      <c r="D207" s="629">
        <v>95.458299999999994</v>
      </c>
      <c r="E207" s="630">
        <f t="shared" si="23"/>
        <v>-18.156800000000004</v>
      </c>
    </row>
    <row r="208" spans="1:5" s="421" customFormat="1" x14ac:dyDescent="0.2">
      <c r="A208" s="588">
        <v>6</v>
      </c>
      <c r="B208" s="587" t="s">
        <v>424</v>
      </c>
      <c r="C208" s="629">
        <v>764.3356</v>
      </c>
      <c r="D208" s="629">
        <v>733.01409999999998</v>
      </c>
      <c r="E208" s="630">
        <f t="shared" si="23"/>
        <v>-31.321500000000015</v>
      </c>
    </row>
    <row r="209" spans="1:5" s="421" customFormat="1" x14ac:dyDescent="0.2">
      <c r="A209" s="588">
        <v>7</v>
      </c>
      <c r="B209" s="587" t="s">
        <v>760</v>
      </c>
      <c r="C209" s="629">
        <v>63.891100000000002</v>
      </c>
      <c r="D209" s="629">
        <v>75.844999999999999</v>
      </c>
      <c r="E209" s="630">
        <f t="shared" si="23"/>
        <v>11.953899999999997</v>
      </c>
    </row>
    <row r="210" spans="1:5" s="421" customFormat="1" x14ac:dyDescent="0.2">
      <c r="A210" s="588"/>
      <c r="B210" s="592" t="s">
        <v>825</v>
      </c>
      <c r="C210" s="631">
        <f>C204+C205+C208</f>
        <v>13724.172199999999</v>
      </c>
      <c r="D210" s="631">
        <f>D204+D205+D208</f>
        <v>13261.864400000002</v>
      </c>
      <c r="E210" s="632">
        <f t="shared" si="23"/>
        <v>-462.30779999999686</v>
      </c>
    </row>
    <row r="211" spans="1:5" s="421" customFormat="1" x14ac:dyDescent="0.2">
      <c r="A211" s="588"/>
      <c r="B211" s="592" t="s">
        <v>726</v>
      </c>
      <c r="C211" s="631">
        <f>C210+C203</f>
        <v>17819.7994</v>
      </c>
      <c r="D211" s="631">
        <f>D210+D203</f>
        <v>17517.208400000003</v>
      </c>
      <c r="E211" s="632">
        <f t="shared" si="23"/>
        <v>-302.59099999999671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826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658</v>
      </c>
      <c r="C215" s="633">
        <f>IF(C14*C137=0,0,C25/C14*C137)</f>
        <v>10590.012608003557</v>
      </c>
      <c r="D215" s="633">
        <f>IF(D14*D137=0,0,D25/D14*D137)</f>
        <v>10356.043165412832</v>
      </c>
      <c r="E215" s="633">
        <f t="shared" ref="E215:E223" si="24">D215-C215</f>
        <v>-233.96944259072552</v>
      </c>
    </row>
    <row r="216" spans="1:5" s="421" customFormat="1" x14ac:dyDescent="0.2">
      <c r="A216" s="588">
        <v>2</v>
      </c>
      <c r="B216" s="587" t="s">
        <v>637</v>
      </c>
      <c r="C216" s="633">
        <f>IF(C15*C138=0,0,C26/C15*C138)</f>
        <v>7665.9960457466541</v>
      </c>
      <c r="D216" s="633">
        <f>IF(D15*D138=0,0,D26/D15*D138)</f>
        <v>7879.2326882866655</v>
      </c>
      <c r="E216" s="633">
        <f t="shared" si="24"/>
        <v>213.23664254001142</v>
      </c>
    </row>
    <row r="217" spans="1:5" s="421" customFormat="1" x14ac:dyDescent="0.2">
      <c r="A217" s="588">
        <v>3</v>
      </c>
      <c r="B217" s="587" t="s">
        <v>779</v>
      </c>
      <c r="C217" s="633">
        <f>C218+C219</f>
        <v>5022.8362154359202</v>
      </c>
      <c r="D217" s="633">
        <f>D218+D219</f>
        <v>5516.0899395831993</v>
      </c>
      <c r="E217" s="633">
        <f t="shared" si="24"/>
        <v>493.25372414727917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4880.1466071608511</v>
      </c>
      <c r="D218" s="633">
        <f t="shared" si="25"/>
        <v>5436.4887167298239</v>
      </c>
      <c r="E218" s="633">
        <f t="shared" si="24"/>
        <v>556.34210956897277</v>
      </c>
    </row>
    <row r="219" spans="1:5" s="421" customFormat="1" x14ac:dyDescent="0.2">
      <c r="A219" s="588">
        <v>5</v>
      </c>
      <c r="B219" s="587" t="s">
        <v>745</v>
      </c>
      <c r="C219" s="633">
        <f t="shared" si="25"/>
        <v>142.68960827506945</v>
      </c>
      <c r="D219" s="633">
        <f t="shared" si="25"/>
        <v>79.601222853375447</v>
      </c>
      <c r="E219" s="633">
        <f t="shared" si="24"/>
        <v>-63.088385421693999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1684.7613734021754</v>
      </c>
      <c r="D220" s="633">
        <f t="shared" si="25"/>
        <v>1815.7330900634954</v>
      </c>
      <c r="E220" s="633">
        <f t="shared" si="24"/>
        <v>130.97171666131999</v>
      </c>
    </row>
    <row r="221" spans="1:5" s="421" customFormat="1" x14ac:dyDescent="0.2">
      <c r="A221" s="588">
        <v>7</v>
      </c>
      <c r="B221" s="587" t="s">
        <v>760</v>
      </c>
      <c r="C221" s="633">
        <f t="shared" si="25"/>
        <v>499.85220415696853</v>
      </c>
      <c r="D221" s="633">
        <f t="shared" si="25"/>
        <v>580.04221576488533</v>
      </c>
      <c r="E221" s="633">
        <f t="shared" si="24"/>
        <v>80.190011607916801</v>
      </c>
    </row>
    <row r="222" spans="1:5" s="421" customFormat="1" x14ac:dyDescent="0.2">
      <c r="A222" s="588"/>
      <c r="B222" s="592" t="s">
        <v>827</v>
      </c>
      <c r="C222" s="634">
        <f>C216+C218+C219+C220</f>
        <v>14373.593634584751</v>
      </c>
      <c r="D222" s="634">
        <f>D216+D218+D219+D220</f>
        <v>15211.055717933359</v>
      </c>
      <c r="E222" s="634">
        <f t="shared" si="24"/>
        <v>837.46208334860785</v>
      </c>
    </row>
    <row r="223" spans="1:5" s="421" customFormat="1" x14ac:dyDescent="0.2">
      <c r="A223" s="588"/>
      <c r="B223" s="592" t="s">
        <v>828</v>
      </c>
      <c r="C223" s="634">
        <f>C215+C222</f>
        <v>24963.606242588306</v>
      </c>
      <c r="D223" s="634">
        <f>D215+D222</f>
        <v>25567.098883346189</v>
      </c>
      <c r="E223" s="634">
        <f t="shared" si="24"/>
        <v>603.49264075788233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829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658</v>
      </c>
      <c r="C227" s="636">
        <f t="shared" ref="C227:D235" si="26">IF(C203=0,0,C47/C203)</f>
        <v>11831.769502849284</v>
      </c>
      <c r="D227" s="636">
        <f t="shared" si="26"/>
        <v>11921.076650912359</v>
      </c>
      <c r="E227" s="636">
        <f t="shared" ref="E227:E235" si="27">D227-C227</f>
        <v>89.307148063075147</v>
      </c>
    </row>
    <row r="228" spans="1:5" s="421" customFormat="1" x14ac:dyDescent="0.2">
      <c r="A228" s="588">
        <v>2</v>
      </c>
      <c r="B228" s="587" t="s">
        <v>637</v>
      </c>
      <c r="C228" s="636">
        <f t="shared" si="26"/>
        <v>7474.9105762960098</v>
      </c>
      <c r="D228" s="636">
        <f t="shared" si="26"/>
        <v>7754.5178205990151</v>
      </c>
      <c r="E228" s="636">
        <f t="shared" si="27"/>
        <v>279.60724430300525</v>
      </c>
    </row>
    <row r="229" spans="1:5" s="421" customFormat="1" x14ac:dyDescent="0.2">
      <c r="A229" s="588">
        <v>3</v>
      </c>
      <c r="B229" s="587" t="s">
        <v>779</v>
      </c>
      <c r="C229" s="636">
        <f t="shared" si="26"/>
        <v>4954.5821804691022</v>
      </c>
      <c r="D229" s="636">
        <f t="shared" si="26"/>
        <v>4983.5296814758694</v>
      </c>
      <c r="E229" s="636">
        <f t="shared" si="27"/>
        <v>28.947501006767197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4878.2182621577249</v>
      </c>
      <c r="D230" s="636">
        <f t="shared" si="26"/>
        <v>5066.9978732009522</v>
      </c>
      <c r="E230" s="636">
        <f t="shared" si="27"/>
        <v>188.77961104322731</v>
      </c>
    </row>
    <row r="231" spans="1:5" s="421" customFormat="1" x14ac:dyDescent="0.2">
      <c r="A231" s="588">
        <v>5</v>
      </c>
      <c r="B231" s="587" t="s">
        <v>745</v>
      </c>
      <c r="C231" s="636">
        <f t="shared" si="26"/>
        <v>7262.8638270793235</v>
      </c>
      <c r="D231" s="636">
        <f t="shared" si="26"/>
        <v>1973.0185850785108</v>
      </c>
      <c r="E231" s="636">
        <f t="shared" si="27"/>
        <v>-5289.8452420008125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6030.6467473188477</v>
      </c>
      <c r="D232" s="636">
        <f t="shared" si="26"/>
        <v>7063.4521218623222</v>
      </c>
      <c r="E232" s="636">
        <f t="shared" si="27"/>
        <v>1032.8053745434745</v>
      </c>
    </row>
    <row r="233" spans="1:5" s="421" customFormat="1" x14ac:dyDescent="0.2">
      <c r="A233" s="588">
        <v>7</v>
      </c>
      <c r="B233" s="587" t="s">
        <v>760</v>
      </c>
      <c r="C233" s="636">
        <f t="shared" si="26"/>
        <v>0</v>
      </c>
      <c r="D233" s="636">
        <f t="shared" si="26"/>
        <v>0</v>
      </c>
      <c r="E233" s="636">
        <f t="shared" si="27"/>
        <v>0</v>
      </c>
    </row>
    <row r="234" spans="1:5" x14ac:dyDescent="0.2">
      <c r="A234" s="588"/>
      <c r="B234" s="592" t="s">
        <v>830</v>
      </c>
      <c r="C234" s="637">
        <f t="shared" si="26"/>
        <v>6742.9333187760503</v>
      </c>
      <c r="D234" s="637">
        <f t="shared" si="26"/>
        <v>6976.9878660499635</v>
      </c>
      <c r="E234" s="637">
        <f t="shared" si="27"/>
        <v>234.05454727391316</v>
      </c>
    </row>
    <row r="235" spans="1:5" s="421" customFormat="1" x14ac:dyDescent="0.2">
      <c r="A235" s="588"/>
      <c r="B235" s="592" t="s">
        <v>831</v>
      </c>
      <c r="C235" s="637">
        <f t="shared" si="26"/>
        <v>7912.5298683216379</v>
      </c>
      <c r="D235" s="637">
        <f t="shared" si="26"/>
        <v>8178.0239024843695</v>
      </c>
      <c r="E235" s="637">
        <f t="shared" si="27"/>
        <v>265.49403416273162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832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658</v>
      </c>
      <c r="C239" s="636">
        <f t="shared" ref="C239:D247" si="28">IF(C215=0,0,C58/C215)</f>
        <v>10910.527048162056</v>
      </c>
      <c r="D239" s="636">
        <f t="shared" si="28"/>
        <v>10250.080103424178</v>
      </c>
      <c r="E239" s="638">
        <f t="shared" ref="E239:E247" si="29">D239-C239</f>
        <v>-660.44694473787786</v>
      </c>
    </row>
    <row r="240" spans="1:5" s="421" customFormat="1" x14ac:dyDescent="0.2">
      <c r="A240" s="588">
        <v>2</v>
      </c>
      <c r="B240" s="587" t="s">
        <v>637</v>
      </c>
      <c r="C240" s="636">
        <f t="shared" si="28"/>
        <v>6761.2825118476385</v>
      </c>
      <c r="D240" s="636">
        <f t="shared" si="28"/>
        <v>6074.1777649426294</v>
      </c>
      <c r="E240" s="638">
        <f t="shared" si="29"/>
        <v>-687.10474690500905</v>
      </c>
    </row>
    <row r="241" spans="1:5" x14ac:dyDescent="0.2">
      <c r="A241" s="588">
        <v>3</v>
      </c>
      <c r="B241" s="587" t="s">
        <v>779</v>
      </c>
      <c r="C241" s="636">
        <f t="shared" si="28"/>
        <v>4814.2523392834482</v>
      </c>
      <c r="D241" s="636">
        <f t="shared" si="28"/>
        <v>4003.0772235139598</v>
      </c>
      <c r="E241" s="638">
        <f t="shared" si="29"/>
        <v>-811.17511576948846</v>
      </c>
    </row>
    <row r="242" spans="1:5" x14ac:dyDescent="0.2">
      <c r="A242" s="588">
        <v>4</v>
      </c>
      <c r="B242" s="587" t="s">
        <v>115</v>
      </c>
      <c r="C242" s="636">
        <f t="shared" si="28"/>
        <v>4742.5087529213979</v>
      </c>
      <c r="D242" s="636">
        <f t="shared" si="28"/>
        <v>3973.2049720859313</v>
      </c>
      <c r="E242" s="638">
        <f t="shared" si="29"/>
        <v>-769.30378083546657</v>
      </c>
    </row>
    <row r="243" spans="1:5" x14ac:dyDescent="0.2">
      <c r="A243" s="588">
        <v>5</v>
      </c>
      <c r="B243" s="587" t="s">
        <v>745</v>
      </c>
      <c r="C243" s="636">
        <f t="shared" si="28"/>
        <v>7267.9644477038937</v>
      </c>
      <c r="D243" s="636">
        <f t="shared" si="28"/>
        <v>6043.2488692552961</v>
      </c>
      <c r="E243" s="638">
        <f t="shared" si="29"/>
        <v>-1224.7155784485976</v>
      </c>
    </row>
    <row r="244" spans="1:5" x14ac:dyDescent="0.2">
      <c r="A244" s="588">
        <v>6</v>
      </c>
      <c r="B244" s="587" t="s">
        <v>424</v>
      </c>
      <c r="C244" s="636">
        <f t="shared" si="28"/>
        <v>3127.0196973719371</v>
      </c>
      <c r="D244" s="636">
        <f t="shared" si="28"/>
        <v>3197.8841118090486</v>
      </c>
      <c r="E244" s="638">
        <f t="shared" si="29"/>
        <v>70.864414437111463</v>
      </c>
    </row>
    <row r="245" spans="1:5" x14ac:dyDescent="0.2">
      <c r="A245" s="588">
        <v>7</v>
      </c>
      <c r="B245" s="587" t="s">
        <v>760</v>
      </c>
      <c r="C245" s="636">
        <f t="shared" si="28"/>
        <v>0</v>
      </c>
      <c r="D245" s="636">
        <f t="shared" si="28"/>
        <v>0</v>
      </c>
      <c r="E245" s="638">
        <f t="shared" si="29"/>
        <v>0</v>
      </c>
    </row>
    <row r="246" spans="1:5" ht="25.5" x14ac:dyDescent="0.2">
      <c r="A246" s="588"/>
      <c r="B246" s="592" t="s">
        <v>833</v>
      </c>
      <c r="C246" s="637">
        <f t="shared" si="28"/>
        <v>5654.9148435938923</v>
      </c>
      <c r="D246" s="637">
        <f t="shared" si="28"/>
        <v>4979.7791425282749</v>
      </c>
      <c r="E246" s="639">
        <f t="shared" si="29"/>
        <v>-675.13570106561747</v>
      </c>
    </row>
    <row r="247" spans="1:5" x14ac:dyDescent="0.2">
      <c r="A247" s="588"/>
      <c r="B247" s="592" t="s">
        <v>834</v>
      </c>
      <c r="C247" s="637">
        <f t="shared" si="28"/>
        <v>7884.4404565320792</v>
      </c>
      <c r="D247" s="637">
        <f t="shared" si="28"/>
        <v>7114.533050071007</v>
      </c>
      <c r="E247" s="639">
        <f t="shared" si="29"/>
        <v>-769.90740646107224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762</v>
      </c>
      <c r="B249" s="626" t="s">
        <v>759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9851911.91024925</v>
      </c>
      <c r="D251" s="622">
        <f>((IF((IF(D15=0,0,D26/D15)*D138)=0,0,D59/(IF(D15=0,0,D26/D15)*D138)))-(IF((IF(D17=0,0,D28/D17)*D140)=0,0,D61/(IF(D17=0,0,D28/D17)*D140))))*(IF(D17=0,0,D28/D17)*D140)</f>
        <v>11421914.882521784</v>
      </c>
      <c r="E251" s="622">
        <f>D251-C251</f>
        <v>1570002.9722725339</v>
      </c>
    </row>
    <row r="252" spans="1:5" x14ac:dyDescent="0.2">
      <c r="A252" s="588">
        <v>2</v>
      </c>
      <c r="B252" s="587" t="s">
        <v>745</v>
      </c>
      <c r="C252" s="622">
        <f>IF(C231=0,0,(C228-C231)*C207)+IF(C243=0,0,(C240-C243)*C219)</f>
        <v>-48206.534330454189</v>
      </c>
      <c r="D252" s="622">
        <f>IF(D231=0,0,(D228-D231)*D207)+IF(D243=0,0,(D240-D243)*D219)</f>
        <v>554354.06639230321</v>
      </c>
      <c r="E252" s="622">
        <f>D252-C252</f>
        <v>602560.6007227574</v>
      </c>
    </row>
    <row r="253" spans="1:5" x14ac:dyDescent="0.2">
      <c r="A253" s="588">
        <v>3</v>
      </c>
      <c r="B253" s="587" t="s">
        <v>760</v>
      </c>
      <c r="C253" s="622">
        <f>IF(C233=0,0,(C228-C233)*C209+IF(C221=0,0,(C240-C245)*C221))</f>
        <v>0</v>
      </c>
      <c r="D253" s="622">
        <f>IF(D233=0,0,(D228-D233)*D209+IF(D221=0,0,(D240-D245)*D221))</f>
        <v>0</v>
      </c>
      <c r="E253" s="622">
        <f>D253-C253</f>
        <v>0</v>
      </c>
    </row>
    <row r="254" spans="1:5" ht="15" customHeight="1" x14ac:dyDescent="0.2">
      <c r="A254" s="588"/>
      <c r="B254" s="592" t="s">
        <v>761</v>
      </c>
      <c r="C254" s="640">
        <f>+C251+C252+C253</f>
        <v>9803705.3759187963</v>
      </c>
      <c r="D254" s="640">
        <f>+D251+D252+D253</f>
        <v>11976268.948914086</v>
      </c>
      <c r="E254" s="640">
        <f>D254-C254</f>
        <v>2172563.5729952902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835</v>
      </c>
      <c r="B256" s="626" t="s">
        <v>836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727</v>
      </c>
      <c r="C258" s="622">
        <f>+C44</f>
        <v>839272510</v>
      </c>
      <c r="D258" s="625">
        <f>+D44</f>
        <v>846701962</v>
      </c>
      <c r="E258" s="622">
        <f t="shared" ref="E258:E271" si="30">D258-C258</f>
        <v>7429452</v>
      </c>
    </row>
    <row r="259" spans="1:5" x14ac:dyDescent="0.2">
      <c r="A259" s="588">
        <v>2</v>
      </c>
      <c r="B259" s="587" t="s">
        <v>744</v>
      </c>
      <c r="C259" s="622">
        <f>+(C43-C76)</f>
        <v>383828370</v>
      </c>
      <c r="D259" s="625">
        <f>+(D43-D76)</f>
        <v>396543139</v>
      </c>
      <c r="E259" s="622">
        <f t="shared" si="30"/>
        <v>12714769</v>
      </c>
    </row>
    <row r="260" spans="1:5" x14ac:dyDescent="0.2">
      <c r="A260" s="588">
        <v>3</v>
      </c>
      <c r="B260" s="587" t="s">
        <v>748</v>
      </c>
      <c r="C260" s="622">
        <f>C195</f>
        <v>15046651</v>
      </c>
      <c r="D260" s="622">
        <f>D195</f>
        <v>15908597</v>
      </c>
      <c r="E260" s="622">
        <f t="shared" si="30"/>
        <v>861946</v>
      </c>
    </row>
    <row r="261" spans="1:5" x14ac:dyDescent="0.2">
      <c r="A261" s="588">
        <v>4</v>
      </c>
      <c r="B261" s="587" t="s">
        <v>749</v>
      </c>
      <c r="C261" s="622">
        <f>C188</f>
        <v>96875922</v>
      </c>
      <c r="D261" s="622">
        <f>D188</f>
        <v>106613000</v>
      </c>
      <c r="E261" s="622">
        <f t="shared" si="30"/>
        <v>9737078</v>
      </c>
    </row>
    <row r="262" spans="1:5" x14ac:dyDescent="0.2">
      <c r="A262" s="588">
        <v>5</v>
      </c>
      <c r="B262" s="587" t="s">
        <v>750</v>
      </c>
      <c r="C262" s="622">
        <f>C191</f>
        <v>6858523</v>
      </c>
      <c r="D262" s="622">
        <f>D191</f>
        <v>6675957</v>
      </c>
      <c r="E262" s="622">
        <f t="shared" si="30"/>
        <v>-182566</v>
      </c>
    </row>
    <row r="263" spans="1:5" x14ac:dyDescent="0.2">
      <c r="A263" s="588">
        <v>6</v>
      </c>
      <c r="B263" s="587" t="s">
        <v>751</v>
      </c>
      <c r="C263" s="622">
        <f>+C259+C260+C261+C262</f>
        <v>502609466</v>
      </c>
      <c r="D263" s="622">
        <f>+D259+D260+D261+D262</f>
        <v>525740693</v>
      </c>
      <c r="E263" s="622">
        <f t="shared" si="30"/>
        <v>23131227</v>
      </c>
    </row>
    <row r="264" spans="1:5" x14ac:dyDescent="0.2">
      <c r="A264" s="588">
        <v>7</v>
      </c>
      <c r="B264" s="587" t="s">
        <v>656</v>
      </c>
      <c r="C264" s="622">
        <f>+C258-C263</f>
        <v>336663044</v>
      </c>
      <c r="D264" s="622">
        <f>+D258-D263</f>
        <v>320961269</v>
      </c>
      <c r="E264" s="622">
        <f t="shared" si="30"/>
        <v>-15701775</v>
      </c>
    </row>
    <row r="265" spans="1:5" x14ac:dyDescent="0.2">
      <c r="A265" s="588">
        <v>8</v>
      </c>
      <c r="B265" s="587" t="s">
        <v>837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838</v>
      </c>
      <c r="C266" s="622">
        <f>+C264+C265</f>
        <v>336663044</v>
      </c>
      <c r="D266" s="622">
        <f>+D264+D265</f>
        <v>320961269</v>
      </c>
      <c r="E266" s="641">
        <f t="shared" si="30"/>
        <v>-15701775</v>
      </c>
    </row>
    <row r="267" spans="1:5" x14ac:dyDescent="0.2">
      <c r="A267" s="588">
        <v>10</v>
      </c>
      <c r="B267" s="587" t="s">
        <v>839</v>
      </c>
      <c r="C267" s="642">
        <f>IF(C258=0,0,C266/C258)</f>
        <v>0.40113674639480329</v>
      </c>
      <c r="D267" s="642">
        <f>IF(D258=0,0,D266/D258)</f>
        <v>0.37907231045249429</v>
      </c>
      <c r="E267" s="643">
        <f t="shared" si="30"/>
        <v>-2.2064435942309002E-2</v>
      </c>
    </row>
    <row r="268" spans="1:5" x14ac:dyDescent="0.2">
      <c r="A268" s="588">
        <v>11</v>
      </c>
      <c r="B268" s="587" t="s">
        <v>718</v>
      </c>
      <c r="C268" s="622">
        <f>+C260*C267</f>
        <v>6035764.6262781136</v>
      </c>
      <c r="D268" s="644">
        <f>+D260*D267</f>
        <v>6030508.6208476191</v>
      </c>
      <c r="E268" s="622">
        <f t="shared" si="30"/>
        <v>-5256.0054304944351</v>
      </c>
    </row>
    <row r="269" spans="1:5" x14ac:dyDescent="0.2">
      <c r="A269" s="588">
        <v>12</v>
      </c>
      <c r="B269" s="587" t="s">
        <v>840</v>
      </c>
      <c r="C269" s="622">
        <f>((C17+C18+C28+C29)*C267)-(C50+C51+C61+C62)</f>
        <v>21247386.729354031</v>
      </c>
      <c r="D269" s="644">
        <f>((D17+D18+D28+D29)*D267)-(D50+D51+D61+D62)</f>
        <v>21529837.779160261</v>
      </c>
      <c r="E269" s="622">
        <f t="shared" si="30"/>
        <v>282451.04980622977</v>
      </c>
    </row>
    <row r="270" spans="1:5" s="648" customFormat="1" x14ac:dyDescent="0.2">
      <c r="A270" s="645">
        <v>13</v>
      </c>
      <c r="B270" s="646" t="s">
        <v>841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842</v>
      </c>
      <c r="C271" s="622">
        <f>+C268+C269+C270</f>
        <v>27283151.355632145</v>
      </c>
      <c r="D271" s="622">
        <f>+D268+D269+D270</f>
        <v>27560346.400007881</v>
      </c>
      <c r="E271" s="625">
        <f t="shared" si="30"/>
        <v>277195.04437573627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843</v>
      </c>
      <c r="B273" s="626" t="s">
        <v>844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845</v>
      </c>
      <c r="C275" s="425"/>
      <c r="D275" s="425"/>
      <c r="E275" s="596"/>
    </row>
    <row r="276" spans="1:5" x14ac:dyDescent="0.2">
      <c r="A276" s="588">
        <v>1</v>
      </c>
      <c r="B276" s="587" t="s">
        <v>658</v>
      </c>
      <c r="C276" s="623">
        <f t="shared" ref="C276:D284" si="31">IF(C14=0,0,+C47/C14)</f>
        <v>0.68959871725590172</v>
      </c>
      <c r="D276" s="623">
        <f t="shared" si="31"/>
        <v>0.71550642235660222</v>
      </c>
      <c r="E276" s="650">
        <f t="shared" ref="E276:E284" si="32">D276-C276</f>
        <v>2.5907705100700507E-2</v>
      </c>
    </row>
    <row r="277" spans="1:5" x14ac:dyDescent="0.2">
      <c r="A277" s="588">
        <v>2</v>
      </c>
      <c r="B277" s="587" t="s">
        <v>637</v>
      </c>
      <c r="C277" s="623">
        <f t="shared" si="31"/>
        <v>0.41715717596569996</v>
      </c>
      <c r="D277" s="623">
        <f t="shared" si="31"/>
        <v>0.42907173208955857</v>
      </c>
      <c r="E277" s="650">
        <f t="shared" si="32"/>
        <v>1.1914556123858611E-2</v>
      </c>
    </row>
    <row r="278" spans="1:5" x14ac:dyDescent="0.2">
      <c r="A278" s="588">
        <v>3</v>
      </c>
      <c r="B278" s="587" t="s">
        <v>779</v>
      </c>
      <c r="C278" s="623">
        <f t="shared" si="31"/>
        <v>0.28718755683935288</v>
      </c>
      <c r="D278" s="623">
        <f t="shared" si="31"/>
        <v>0.30367532935724334</v>
      </c>
      <c r="E278" s="650">
        <f t="shared" si="32"/>
        <v>1.6487772517890464E-2</v>
      </c>
    </row>
    <row r="279" spans="1:5" x14ac:dyDescent="0.2">
      <c r="A279" s="588">
        <v>4</v>
      </c>
      <c r="B279" s="587" t="s">
        <v>115</v>
      </c>
      <c r="C279" s="623">
        <f t="shared" si="31"/>
        <v>0.28362433663220443</v>
      </c>
      <c r="D279" s="623">
        <f t="shared" si="31"/>
        <v>0.31686957685459605</v>
      </c>
      <c r="E279" s="650">
        <f t="shared" si="32"/>
        <v>3.3245240222391614E-2</v>
      </c>
    </row>
    <row r="280" spans="1:5" x14ac:dyDescent="0.2">
      <c r="A280" s="588">
        <v>5</v>
      </c>
      <c r="B280" s="587" t="s">
        <v>745</v>
      </c>
      <c r="C280" s="623">
        <f t="shared" si="31"/>
        <v>0.38552096449036516</v>
      </c>
      <c r="D280" s="623">
        <f t="shared" si="31"/>
        <v>6.2524005751089115E-2</v>
      </c>
      <c r="E280" s="650">
        <f t="shared" si="32"/>
        <v>-0.32299695873927603</v>
      </c>
    </row>
    <row r="281" spans="1:5" x14ac:dyDescent="0.2">
      <c r="A281" s="588">
        <v>6</v>
      </c>
      <c r="B281" s="587" t="s">
        <v>424</v>
      </c>
      <c r="C281" s="623">
        <f t="shared" si="31"/>
        <v>0.41869903523068908</v>
      </c>
      <c r="D281" s="623">
        <f t="shared" si="31"/>
        <v>0.51959037378803286</v>
      </c>
      <c r="E281" s="650">
        <f t="shared" si="32"/>
        <v>0.10089133855734378</v>
      </c>
    </row>
    <row r="282" spans="1:5" x14ac:dyDescent="0.2">
      <c r="A282" s="588">
        <v>7</v>
      </c>
      <c r="B282" s="587" t="s">
        <v>760</v>
      </c>
      <c r="C282" s="623">
        <f t="shared" si="31"/>
        <v>0</v>
      </c>
      <c r="D282" s="623">
        <f t="shared" si="31"/>
        <v>0</v>
      </c>
      <c r="E282" s="650">
        <f t="shared" si="32"/>
        <v>0</v>
      </c>
    </row>
    <row r="283" spans="1:5" ht="29.25" customHeight="1" x14ac:dyDescent="0.2">
      <c r="A283" s="588"/>
      <c r="B283" s="592" t="s">
        <v>846</v>
      </c>
      <c r="C283" s="651">
        <f t="shared" si="31"/>
        <v>0.38420002452471896</v>
      </c>
      <c r="D283" s="651">
        <f t="shared" si="31"/>
        <v>0.40139658604962747</v>
      </c>
      <c r="E283" s="652">
        <f t="shared" si="32"/>
        <v>1.7196561524908505E-2</v>
      </c>
    </row>
    <row r="284" spans="1:5" x14ac:dyDescent="0.2">
      <c r="A284" s="588"/>
      <c r="B284" s="592" t="s">
        <v>847</v>
      </c>
      <c r="C284" s="651">
        <f t="shared" si="31"/>
        <v>0.45317444985611616</v>
      </c>
      <c r="D284" s="651">
        <f t="shared" si="31"/>
        <v>0.47528150411881509</v>
      </c>
      <c r="E284" s="652">
        <f t="shared" si="32"/>
        <v>2.2107054262698933E-2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848</v>
      </c>
      <c r="C286" s="596"/>
      <c r="D286" s="596"/>
      <c r="E286" s="596"/>
    </row>
    <row r="287" spans="1:5" x14ac:dyDescent="0.2">
      <c r="A287" s="588">
        <v>1</v>
      </c>
      <c r="B287" s="587" t="s">
        <v>658</v>
      </c>
      <c r="C287" s="623">
        <f t="shared" ref="C287:D295" si="33">IF(C25=0,0,+C58/C25)</f>
        <v>0.54668616239517343</v>
      </c>
      <c r="D287" s="623">
        <f t="shared" si="33"/>
        <v>0.50311803462948534</v>
      </c>
      <c r="E287" s="650">
        <f t="shared" ref="E287:E295" si="34">D287-C287</f>
        <v>-4.3568127765688081E-2</v>
      </c>
    </row>
    <row r="288" spans="1:5" x14ac:dyDescent="0.2">
      <c r="A288" s="588">
        <v>2</v>
      </c>
      <c r="B288" s="587" t="s">
        <v>637</v>
      </c>
      <c r="C288" s="623">
        <f t="shared" si="33"/>
        <v>0.26167217223464639</v>
      </c>
      <c r="D288" s="623">
        <f t="shared" si="33"/>
        <v>0.23196592349546624</v>
      </c>
      <c r="E288" s="650">
        <f t="shared" si="34"/>
        <v>-2.9706248739180152E-2</v>
      </c>
    </row>
    <row r="289" spans="1:5" x14ac:dyDescent="0.2">
      <c r="A289" s="588">
        <v>3</v>
      </c>
      <c r="B289" s="587" t="s">
        <v>779</v>
      </c>
      <c r="C289" s="623">
        <f t="shared" si="33"/>
        <v>0.25224922792672522</v>
      </c>
      <c r="D289" s="623">
        <f t="shared" si="33"/>
        <v>0.21335150756778168</v>
      </c>
      <c r="E289" s="650">
        <f t="shared" si="34"/>
        <v>-3.8897720358943538E-2</v>
      </c>
    </row>
    <row r="290" spans="1:5" x14ac:dyDescent="0.2">
      <c r="A290" s="588">
        <v>4</v>
      </c>
      <c r="B290" s="587" t="s">
        <v>115</v>
      </c>
      <c r="C290" s="623">
        <f t="shared" si="33"/>
        <v>0.24785083529538485</v>
      </c>
      <c r="D290" s="623">
        <f t="shared" si="33"/>
        <v>0.21469643793871546</v>
      </c>
      <c r="E290" s="650">
        <f t="shared" si="34"/>
        <v>-3.3154397356669391E-2</v>
      </c>
    </row>
    <row r="291" spans="1:5" x14ac:dyDescent="0.2">
      <c r="A291" s="588">
        <v>5</v>
      </c>
      <c r="B291" s="587" t="s">
        <v>745</v>
      </c>
      <c r="C291" s="623">
        <f t="shared" si="33"/>
        <v>0.41765910052890876</v>
      </c>
      <c r="D291" s="623">
        <f t="shared" si="33"/>
        <v>0.16651390056172696</v>
      </c>
      <c r="E291" s="650">
        <f t="shared" si="34"/>
        <v>-0.25114519996718176</v>
      </c>
    </row>
    <row r="292" spans="1:5" x14ac:dyDescent="0.2">
      <c r="A292" s="588">
        <v>6</v>
      </c>
      <c r="B292" s="587" t="s">
        <v>424</v>
      </c>
      <c r="C292" s="623">
        <f t="shared" si="33"/>
        <v>0.23064318598380909</v>
      </c>
      <c r="D292" s="623">
        <f t="shared" si="33"/>
        <v>0.23715862394587731</v>
      </c>
      <c r="E292" s="650">
        <f t="shared" si="34"/>
        <v>6.5154379620682157E-3</v>
      </c>
    </row>
    <row r="293" spans="1:5" x14ac:dyDescent="0.2">
      <c r="A293" s="588">
        <v>7</v>
      </c>
      <c r="B293" s="587" t="s">
        <v>760</v>
      </c>
      <c r="C293" s="623">
        <f t="shared" si="33"/>
        <v>0</v>
      </c>
      <c r="D293" s="623">
        <f t="shared" si="33"/>
        <v>0</v>
      </c>
      <c r="E293" s="650">
        <f t="shared" si="34"/>
        <v>0</v>
      </c>
    </row>
    <row r="294" spans="1:5" ht="29.25" customHeight="1" x14ac:dyDescent="0.2">
      <c r="A294" s="588"/>
      <c r="B294" s="592" t="s">
        <v>849</v>
      </c>
      <c r="C294" s="651">
        <f t="shared" si="33"/>
        <v>0.25658333829255137</v>
      </c>
      <c r="D294" s="651">
        <f t="shared" si="33"/>
        <v>0.22658337091166977</v>
      </c>
      <c r="E294" s="652">
        <f t="shared" si="34"/>
        <v>-2.9999967380881593E-2</v>
      </c>
    </row>
    <row r="295" spans="1:5" x14ac:dyDescent="0.2">
      <c r="A295" s="588"/>
      <c r="B295" s="592" t="s">
        <v>850</v>
      </c>
      <c r="C295" s="651">
        <f t="shared" si="33"/>
        <v>0.37267776204770053</v>
      </c>
      <c r="D295" s="651">
        <f t="shared" si="33"/>
        <v>0.33358103759271196</v>
      </c>
      <c r="E295" s="652">
        <f t="shared" si="34"/>
        <v>-3.9096724454988574E-2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851</v>
      </c>
      <c r="B297" s="579" t="s">
        <v>852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853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656</v>
      </c>
      <c r="C301" s="590">
        <f>+C48+C47+C50+C51+C52+C59+C58+C61+C62+C63</f>
        <v>337823762</v>
      </c>
      <c r="D301" s="590">
        <f>+D48+D47+D50+D51+D52+D59+D58+D61+D62+D63</f>
        <v>325154119</v>
      </c>
      <c r="E301" s="590">
        <f>D301-C301</f>
        <v>-12669643</v>
      </c>
    </row>
    <row r="302" spans="1:5" ht="25.5" x14ac:dyDescent="0.2">
      <c r="A302" s="588">
        <v>2</v>
      </c>
      <c r="B302" s="587" t="s">
        <v>854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855</v>
      </c>
      <c r="C303" s="593">
        <f>+C301+C302</f>
        <v>337823762</v>
      </c>
      <c r="D303" s="593">
        <f>+D301+D302</f>
        <v>325154119</v>
      </c>
      <c r="E303" s="593">
        <f>D303-C303</f>
        <v>-12669643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856</v>
      </c>
      <c r="C305" s="589">
        <v>-12800916</v>
      </c>
      <c r="D305" s="654">
        <v>-12470101</v>
      </c>
      <c r="E305" s="655">
        <f>D305-C305</f>
        <v>330815</v>
      </c>
    </row>
    <row r="306" spans="1:5" x14ac:dyDescent="0.2">
      <c r="A306" s="588">
        <v>4</v>
      </c>
      <c r="B306" s="592" t="s">
        <v>857</v>
      </c>
      <c r="C306" s="593">
        <f>+C303+C305+C194+C190-C191</f>
        <v>345478814</v>
      </c>
      <c r="D306" s="593">
        <f>+D303+D305</f>
        <v>312684018</v>
      </c>
      <c r="E306" s="656">
        <f>D306-C306</f>
        <v>-32794796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858</v>
      </c>
      <c r="C308" s="589">
        <v>325022845</v>
      </c>
      <c r="D308" s="589">
        <v>312684018</v>
      </c>
      <c r="E308" s="590">
        <f>D308-C308</f>
        <v>-12338827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859</v>
      </c>
      <c r="C310" s="657">
        <f>C306-C308</f>
        <v>20455969</v>
      </c>
      <c r="D310" s="658">
        <f>D306-D308</f>
        <v>0</v>
      </c>
      <c r="E310" s="656">
        <f>D310-C310</f>
        <v>-20455969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860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861</v>
      </c>
      <c r="C314" s="590">
        <f>+C14+C15+C16+C19+C25+C26+C27+C30</f>
        <v>839272510</v>
      </c>
      <c r="D314" s="590">
        <f>+D14+D15+D16+D19+D25+D26+D27+D30</f>
        <v>846701962</v>
      </c>
      <c r="E314" s="590">
        <f>D314-C314</f>
        <v>7429452</v>
      </c>
    </row>
    <row r="315" spans="1:5" x14ac:dyDescent="0.2">
      <c r="A315" s="588">
        <v>2</v>
      </c>
      <c r="B315" s="659" t="s">
        <v>862</v>
      </c>
      <c r="C315" s="589">
        <v>3751716</v>
      </c>
      <c r="D315" s="589">
        <v>3510521</v>
      </c>
      <c r="E315" s="590">
        <f>D315-C315</f>
        <v>-241195</v>
      </c>
    </row>
    <row r="316" spans="1:5" x14ac:dyDescent="0.2">
      <c r="A316" s="588"/>
      <c r="B316" s="592" t="s">
        <v>863</v>
      </c>
      <c r="C316" s="657">
        <f>C314+C315</f>
        <v>843024226</v>
      </c>
      <c r="D316" s="657">
        <f>D314+D315</f>
        <v>850212483</v>
      </c>
      <c r="E316" s="593">
        <f>D316-C316</f>
        <v>7188257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864</v>
      </c>
      <c r="C318" s="589">
        <v>843024228</v>
      </c>
      <c r="D318" s="589">
        <v>850212483</v>
      </c>
      <c r="E318" s="590">
        <f>D318-C318</f>
        <v>7188255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859</v>
      </c>
      <c r="C320" s="657">
        <f>C316-C318</f>
        <v>-2</v>
      </c>
      <c r="D320" s="657">
        <f>D316-D318</f>
        <v>0</v>
      </c>
      <c r="E320" s="593">
        <f>D320-C320</f>
        <v>2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865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866</v>
      </c>
      <c r="C324" s="589">
        <f>+C193+C194</f>
        <v>15046651</v>
      </c>
      <c r="D324" s="589">
        <f>+D193+D194</f>
        <v>15908597</v>
      </c>
      <c r="E324" s="590">
        <f>D324-C324</f>
        <v>861946</v>
      </c>
    </row>
    <row r="325" spans="1:5" x14ac:dyDescent="0.2">
      <c r="A325" s="588">
        <v>2</v>
      </c>
      <c r="B325" s="587" t="s">
        <v>867</v>
      </c>
      <c r="C325" s="589">
        <v>3202503</v>
      </c>
      <c r="D325" s="589">
        <v>1837578</v>
      </c>
      <c r="E325" s="590">
        <f>D325-C325</f>
        <v>-1364925</v>
      </c>
    </row>
    <row r="326" spans="1:5" x14ac:dyDescent="0.2">
      <c r="A326" s="588"/>
      <c r="B326" s="592" t="s">
        <v>868</v>
      </c>
      <c r="C326" s="657">
        <f>C324+C325</f>
        <v>18249154</v>
      </c>
      <c r="D326" s="657">
        <f>D324+D325</f>
        <v>17746175</v>
      </c>
      <c r="E326" s="593">
        <f>D326-C326</f>
        <v>-502979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869</v>
      </c>
      <c r="C328" s="589">
        <v>18249154</v>
      </c>
      <c r="D328" s="589">
        <v>17746175</v>
      </c>
      <c r="E328" s="590">
        <f>D328-C328</f>
        <v>-502979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870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fitToHeight="0" orientation="portrait" horizontalDpi="1200" verticalDpi="1200" r:id="rId1"/>
  <headerFooter>
    <oddHeader>_x000D_
                &amp;LOFFICE OF HEALTH CARE ACCESS&amp;CTWELVE MONTHS ACTUAL FILING&amp;RLAWRENCE AND MEMORIAL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631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871</v>
      </c>
      <c r="B5" s="824"/>
      <c r="C5" s="825"/>
      <c r="D5" s="661"/>
    </row>
    <row r="6" spans="1:58" s="662" customFormat="1" ht="15.75" customHeight="1" x14ac:dyDescent="0.25">
      <c r="A6" s="823" t="s">
        <v>872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873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874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778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658</v>
      </c>
      <c r="C14" s="589">
        <v>70898430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637</v>
      </c>
      <c r="C15" s="591">
        <v>162481939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779</v>
      </c>
      <c r="C16" s="591">
        <v>58068102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55055803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745</v>
      </c>
      <c r="C18" s="591">
        <v>3012299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9964792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760</v>
      </c>
      <c r="C20" s="591">
        <v>1261614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780</v>
      </c>
      <c r="C21" s="593">
        <f>SUM(C15+C16+C19)</f>
        <v>230514833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301413263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781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658</v>
      </c>
      <c r="C25" s="589">
        <v>210984828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637</v>
      </c>
      <c r="C26" s="591">
        <v>206322805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779</v>
      </c>
      <c r="C27" s="591">
        <v>103497436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100608488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745</v>
      </c>
      <c r="C29" s="591">
        <v>2888948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24483630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760</v>
      </c>
      <c r="C31" s="594">
        <v>10454134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782</v>
      </c>
      <c r="C32" s="593">
        <f>SUM(C26+C27+C30)</f>
        <v>334303871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545288699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655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875</v>
      </c>
      <c r="C36" s="590">
        <f>SUM(C14+C25)</f>
        <v>281883258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876</v>
      </c>
      <c r="C37" s="594">
        <f>SUM(C21+C32)</f>
        <v>564818704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655</v>
      </c>
      <c r="C38" s="593">
        <f>SUM(+C36+C37)</f>
        <v>846701962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791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658</v>
      </c>
      <c r="C41" s="589">
        <v>50728282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637</v>
      </c>
      <c r="C42" s="591">
        <v>69716407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779</v>
      </c>
      <c r="C43" s="591">
        <v>17633850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17445509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745</v>
      </c>
      <c r="C45" s="591">
        <v>188341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5177610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760</v>
      </c>
      <c r="C47" s="591">
        <v>0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792</v>
      </c>
      <c r="C48" s="593">
        <f>SUM(C42+C43+C46)</f>
        <v>92527867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143256149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793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658</v>
      </c>
      <c r="C52" s="589">
        <v>106150272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637</v>
      </c>
      <c r="C53" s="591">
        <v>47859860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779</v>
      </c>
      <c r="C54" s="591">
        <v>22081334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21600284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745</v>
      </c>
      <c r="C56" s="591">
        <v>481050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5806504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760</v>
      </c>
      <c r="C58" s="591">
        <v>0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794</v>
      </c>
      <c r="C59" s="593">
        <f>SUM(C53+C54+C57)</f>
        <v>75747698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181897970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656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877</v>
      </c>
      <c r="C63" s="590">
        <f>SUM(C41+C52)</f>
        <v>156878554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878</v>
      </c>
      <c r="C64" s="594">
        <f>SUM(C48+C59)</f>
        <v>168275565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656</v>
      </c>
      <c r="C65" s="593">
        <f>SUM(+C63+C64)</f>
        <v>325154119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879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880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658</v>
      </c>
      <c r="C70" s="606">
        <v>3480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637</v>
      </c>
      <c r="C71" s="606">
        <v>6205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779</v>
      </c>
      <c r="C72" s="606">
        <v>3058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2975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745</v>
      </c>
      <c r="C74" s="606">
        <v>83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739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760</v>
      </c>
      <c r="C76" s="621">
        <v>70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809</v>
      </c>
      <c r="C77" s="608">
        <f>SUM(C71+C72+C75)</f>
        <v>10002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13482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813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658</v>
      </c>
      <c r="C81" s="617">
        <v>1.2228000000000001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637</v>
      </c>
      <c r="C82" s="617">
        <v>1.4489000000000001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779</v>
      </c>
      <c r="C83" s="617">
        <f>((C73*C84)+(C74*C85))/(C73+C74)</f>
        <v>1.1571045781556573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1.1573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745</v>
      </c>
      <c r="C85" s="617">
        <v>1.1500999999999999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0.9919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760</v>
      </c>
      <c r="C87" s="617">
        <v>1.0834999999999999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814</v>
      </c>
      <c r="C88" s="619">
        <f>((C71*C82)+(C73*C84)+(C74*C85)+(C75*C86))/(C71+C73+C74+C75)</f>
        <v>1.3259212557488504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725</v>
      </c>
      <c r="C89" s="619">
        <f>((C70*C81)+(C71*C82)+(C73*C84)+(C74*C85)+(C75*C86))/(C70+C71+C73+C74+C75)</f>
        <v>1.2993033971220886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815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816</v>
      </c>
      <c r="C92" s="589">
        <v>256935481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817</v>
      </c>
      <c r="C93" s="622">
        <v>150322481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670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749</v>
      </c>
      <c r="C95" s="589">
        <f>+C92-C93</f>
        <v>106613000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672</v>
      </c>
      <c r="C96" s="681">
        <f>(+C92-C93)/C92</f>
        <v>0.41494074537724124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764</v>
      </c>
      <c r="C98" s="589">
        <v>13232029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750</v>
      </c>
      <c r="C99" s="589">
        <v>6675957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881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819</v>
      </c>
      <c r="C103" s="589">
        <v>3555323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820</v>
      </c>
      <c r="C104" s="589">
        <v>12353274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821</v>
      </c>
      <c r="C105" s="654">
        <f>+C103+C104</f>
        <v>15908597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822</v>
      </c>
      <c r="C107" s="589">
        <v>32202655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712</v>
      </c>
      <c r="C108" s="589">
        <v>344831100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852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853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656</v>
      </c>
      <c r="C114" s="590">
        <f>+C65</f>
        <v>325154119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854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855</v>
      </c>
      <c r="C116" s="593">
        <f>+C114+C115</f>
        <v>325154119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856</v>
      </c>
      <c r="C118" s="654">
        <v>-12470101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857</v>
      </c>
      <c r="C119" s="656">
        <f>+C116+C118</f>
        <v>312684018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858</v>
      </c>
      <c r="C121" s="589">
        <v>312684018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859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860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861</v>
      </c>
      <c r="C127" s="590">
        <f>C38</f>
        <v>846701962</v>
      </c>
      <c r="D127" s="664"/>
      <c r="AR127" s="485"/>
    </row>
    <row r="128" spans="1:58" s="421" customFormat="1" ht="12.75" x14ac:dyDescent="0.2">
      <c r="A128" s="588">
        <v>2</v>
      </c>
      <c r="B128" s="659" t="s">
        <v>862</v>
      </c>
      <c r="C128" s="589">
        <v>3510521</v>
      </c>
      <c r="D128" s="664"/>
      <c r="AR128" s="485"/>
    </row>
    <row r="129" spans="1:44" s="421" customFormat="1" ht="12.75" x14ac:dyDescent="0.2">
      <c r="A129" s="588"/>
      <c r="B129" s="671" t="s">
        <v>863</v>
      </c>
      <c r="C129" s="657">
        <f>C127+C128</f>
        <v>850212483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864</v>
      </c>
      <c r="C131" s="589">
        <v>850212483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859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865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866</v>
      </c>
      <c r="C137" s="589">
        <f>C105</f>
        <v>15908597</v>
      </c>
      <c r="D137" s="664"/>
      <c r="AR137" s="485"/>
    </row>
    <row r="138" spans="1:44" s="421" customFormat="1" ht="12.75" x14ac:dyDescent="0.2">
      <c r="A138" s="588">
        <v>2</v>
      </c>
      <c r="B138" s="669" t="s">
        <v>882</v>
      </c>
      <c r="C138" s="589">
        <v>1837578</v>
      </c>
      <c r="D138" s="664"/>
      <c r="AR138" s="485"/>
    </row>
    <row r="139" spans="1:44" s="421" customFormat="1" ht="12.75" x14ac:dyDescent="0.2">
      <c r="A139" s="588"/>
      <c r="B139" s="671" t="s">
        <v>868</v>
      </c>
      <c r="C139" s="657">
        <f>C137+C138</f>
        <v>17746175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883</v>
      </c>
      <c r="C141" s="589">
        <v>17746175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870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FILING&amp;RLAWRENCE AND MEMORIAL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631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884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634</v>
      </c>
      <c r="D8" s="177" t="s">
        <v>634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885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886</v>
      </c>
      <c r="C12" s="185">
        <v>675</v>
      </c>
      <c r="D12" s="185">
        <v>584</v>
      </c>
      <c r="E12" s="185">
        <f>+D12-C12</f>
        <v>-91</v>
      </c>
      <c r="F12" s="77">
        <f>IF(C12=0,0,+E12/C12)</f>
        <v>-0.1348148148148148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887</v>
      </c>
      <c r="C13" s="185">
        <v>545</v>
      </c>
      <c r="D13" s="185">
        <v>492</v>
      </c>
      <c r="E13" s="185">
        <f>+D13-C13</f>
        <v>-53</v>
      </c>
      <c r="F13" s="77">
        <f>IF(C13=0,0,+E13/C13)</f>
        <v>-9.7247706422018354E-2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888</v>
      </c>
      <c r="C15" s="76">
        <v>2248341</v>
      </c>
      <c r="D15" s="76">
        <v>3555323</v>
      </c>
      <c r="E15" s="76">
        <f>+D15-C15</f>
        <v>1306982</v>
      </c>
      <c r="F15" s="77">
        <f>IF(C15=0,0,+E15/C15)</f>
        <v>0.58130950776594836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889</v>
      </c>
      <c r="C16" s="79">
        <f>IF(C13=0,0,+C15/+C13)</f>
        <v>4125.396330275229</v>
      </c>
      <c r="D16" s="79">
        <f>IF(D13=0,0,+D15/+D13)</f>
        <v>7226.2662601626016</v>
      </c>
      <c r="E16" s="79">
        <f>+D16-C16</f>
        <v>3100.8699298873726</v>
      </c>
      <c r="F16" s="80">
        <f>IF(C16=0,0,+E16/C16)</f>
        <v>0.75165382465943475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890</v>
      </c>
      <c r="C18" s="704">
        <v>0.42620400000000003</v>
      </c>
      <c r="D18" s="704">
        <v>0.40238699999999999</v>
      </c>
      <c r="E18" s="704">
        <f>+D18-C18</f>
        <v>-2.3817000000000033E-2</v>
      </c>
      <c r="F18" s="77">
        <f>IF(C18=0,0,+E18/C18)</f>
        <v>-5.5881690458090563E-2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891</v>
      </c>
      <c r="C19" s="79">
        <f>+C15*C18</f>
        <v>958251.92756400001</v>
      </c>
      <c r="D19" s="79">
        <f>+D15*D18</f>
        <v>1430615.7560010001</v>
      </c>
      <c r="E19" s="79">
        <f>+D19-C19</f>
        <v>472363.82843700005</v>
      </c>
      <c r="F19" s="80">
        <f>IF(C19=0,0,+E19/C19)</f>
        <v>0.4929432593345362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892</v>
      </c>
      <c r="C20" s="79">
        <f>IF(C13=0,0,+C19/C13)</f>
        <v>1758.2604175486238</v>
      </c>
      <c r="D20" s="79">
        <f>IF(D13=0,0,+D19/D13)</f>
        <v>2907.7556016280487</v>
      </c>
      <c r="E20" s="79">
        <f>+D20-C20</f>
        <v>1149.4951840794249</v>
      </c>
      <c r="F20" s="80">
        <f>IF(C20=0,0,+E20/C20)</f>
        <v>0.65376844784008581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893</v>
      </c>
      <c r="C22" s="76">
        <v>520407</v>
      </c>
      <c r="D22" s="76">
        <v>876908</v>
      </c>
      <c r="E22" s="76">
        <f>+D22-C22</f>
        <v>356501</v>
      </c>
      <c r="F22" s="77">
        <f>IF(C22=0,0,+E22/C22)</f>
        <v>0.68504266852674922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894</v>
      </c>
      <c r="C23" s="185">
        <v>1142151</v>
      </c>
      <c r="D23" s="185">
        <v>2131433</v>
      </c>
      <c r="E23" s="185">
        <f>+D23-C23</f>
        <v>989282</v>
      </c>
      <c r="F23" s="77">
        <f>IF(C23=0,0,+E23/C23)</f>
        <v>0.86615692671109157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895</v>
      </c>
      <c r="C24" s="185">
        <v>585783</v>
      </c>
      <c r="D24" s="185">
        <v>546982</v>
      </c>
      <c r="E24" s="185">
        <f>+D24-C24</f>
        <v>-38801</v>
      </c>
      <c r="F24" s="77">
        <f>IF(C24=0,0,+E24/C24)</f>
        <v>-6.6237838926701528E-2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896</v>
      </c>
      <c r="C25" s="79">
        <f>+C22+C23+C24</f>
        <v>2248341</v>
      </c>
      <c r="D25" s="79">
        <f>+D22+D23+D24</f>
        <v>3555323</v>
      </c>
      <c r="E25" s="79">
        <f>+E22+E23+E24</f>
        <v>1306982</v>
      </c>
      <c r="F25" s="80">
        <f>IF(C25=0,0,+E25/C25)</f>
        <v>0.58130950776594836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897</v>
      </c>
      <c r="C27" s="185">
        <v>111</v>
      </c>
      <c r="D27" s="185">
        <v>155</v>
      </c>
      <c r="E27" s="185">
        <f>+D27-C27</f>
        <v>44</v>
      </c>
      <c r="F27" s="77">
        <f>IF(C27=0,0,+E27/C27)</f>
        <v>0.3963963963963964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898</v>
      </c>
      <c r="C28" s="185">
        <v>32</v>
      </c>
      <c r="D28" s="185">
        <v>35</v>
      </c>
      <c r="E28" s="185">
        <f>+D28-C28</f>
        <v>3</v>
      </c>
      <c r="F28" s="77">
        <f>IF(C28=0,0,+E28/C28)</f>
        <v>9.375E-2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899</v>
      </c>
      <c r="C29" s="185">
        <v>304</v>
      </c>
      <c r="D29" s="185">
        <v>371</v>
      </c>
      <c r="E29" s="185">
        <f>+D29-C29</f>
        <v>67</v>
      </c>
      <c r="F29" s="77">
        <f>IF(C29=0,0,+E29/C29)</f>
        <v>0.22039473684210525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900</v>
      </c>
      <c r="C30" s="185">
        <v>754</v>
      </c>
      <c r="D30" s="185">
        <v>1042</v>
      </c>
      <c r="E30" s="185">
        <f>+D30-C30</f>
        <v>288</v>
      </c>
      <c r="F30" s="77">
        <f>IF(C30=0,0,+E30/C30)</f>
        <v>0.38196286472148538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901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902</v>
      </c>
      <c r="C33" s="76">
        <v>3602658</v>
      </c>
      <c r="D33" s="76">
        <v>2519816</v>
      </c>
      <c r="E33" s="76">
        <f>+D33-C33</f>
        <v>-1082842</v>
      </c>
      <c r="F33" s="77">
        <f>IF(C33=0,0,+E33/C33)</f>
        <v>-0.30056752542150822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903</v>
      </c>
      <c r="C34" s="185">
        <v>3649610</v>
      </c>
      <c r="D34" s="185">
        <v>3737260</v>
      </c>
      <c r="E34" s="185">
        <f>+D34-C34</f>
        <v>87650</v>
      </c>
      <c r="F34" s="77">
        <f>IF(C34=0,0,+E34/C34)</f>
        <v>2.4016264751576196E-2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904</v>
      </c>
      <c r="C35" s="185">
        <v>5546042</v>
      </c>
      <c r="D35" s="185">
        <v>6096198</v>
      </c>
      <c r="E35" s="185">
        <f>+D35-C35</f>
        <v>550156</v>
      </c>
      <c r="F35" s="77">
        <f>IF(C35=0,0,+E35/C35)</f>
        <v>9.919795053842001E-2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905</v>
      </c>
      <c r="C36" s="79">
        <f>+C33+C34+C35</f>
        <v>12798310</v>
      </c>
      <c r="D36" s="79">
        <f>+D33+D34+D35</f>
        <v>12353274</v>
      </c>
      <c r="E36" s="79">
        <f>+E33+E34+E35</f>
        <v>-445036</v>
      </c>
      <c r="F36" s="80">
        <f>IF(C36=0,0,+E36/C36)</f>
        <v>-3.4773028626435831E-2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906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907</v>
      </c>
      <c r="C39" s="76">
        <f>+C25</f>
        <v>2248341</v>
      </c>
      <c r="D39" s="76">
        <f>+D25</f>
        <v>3555323</v>
      </c>
      <c r="E39" s="76">
        <f>+D39-C39</f>
        <v>1306982</v>
      </c>
      <c r="F39" s="77">
        <f>IF(C39=0,0,+E39/C39)</f>
        <v>0.58130950776594836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908</v>
      </c>
      <c r="C40" s="185">
        <f>+C36</f>
        <v>12798310</v>
      </c>
      <c r="D40" s="185">
        <f>+D36</f>
        <v>12353274</v>
      </c>
      <c r="E40" s="185">
        <f>+D40-C40</f>
        <v>-445036</v>
      </c>
      <c r="F40" s="77">
        <f>IF(C40=0,0,+E40/C40)</f>
        <v>-3.4773028626435831E-2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909</v>
      </c>
      <c r="C41" s="79">
        <f>+C39+C40</f>
        <v>15046651</v>
      </c>
      <c r="D41" s="79">
        <f>+D39+D40</f>
        <v>15908597</v>
      </c>
      <c r="E41" s="79">
        <f>+E39+E40</f>
        <v>861946</v>
      </c>
      <c r="F41" s="80">
        <f>IF(C41=0,0,+E41/C41)</f>
        <v>5.728490678756356E-2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910</v>
      </c>
      <c r="C43" s="76">
        <f t="shared" ref="C43:D45" si="0">+C22+C33</f>
        <v>4123065</v>
      </c>
      <c r="D43" s="76">
        <f t="shared" si="0"/>
        <v>3396724</v>
      </c>
      <c r="E43" s="76">
        <f>+D43-C43</f>
        <v>-726341</v>
      </c>
      <c r="F43" s="77">
        <f>IF(C43=0,0,+E43/C43)</f>
        <v>-0.17616530420936852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911</v>
      </c>
      <c r="C44" s="185">
        <f t="shared" si="0"/>
        <v>4791761</v>
      </c>
      <c r="D44" s="185">
        <f t="shared" si="0"/>
        <v>5868693</v>
      </c>
      <c r="E44" s="185">
        <f>+D44-C44</f>
        <v>1076932</v>
      </c>
      <c r="F44" s="77">
        <f>IF(C44=0,0,+E44/C44)</f>
        <v>0.22474660151038417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912</v>
      </c>
      <c r="C45" s="185">
        <f t="shared" si="0"/>
        <v>6131825</v>
      </c>
      <c r="D45" s="185">
        <f t="shared" si="0"/>
        <v>6643180</v>
      </c>
      <c r="E45" s="185">
        <f>+D45-C45</f>
        <v>511355</v>
      </c>
      <c r="F45" s="77">
        <f>IF(C45=0,0,+E45/C45)</f>
        <v>8.3393606308073048E-2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909</v>
      </c>
      <c r="C46" s="79">
        <f>+C43+C44+C45</f>
        <v>15046651</v>
      </c>
      <c r="D46" s="79">
        <f>+D43+D44+D45</f>
        <v>15908597</v>
      </c>
      <c r="E46" s="79">
        <f>+E43+E44+E45</f>
        <v>861946</v>
      </c>
      <c r="F46" s="80">
        <f>IF(C46=0,0,+E46/C46)</f>
        <v>5.728490678756356E-2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913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4" orientation="portrait" horizontalDpi="1200" verticalDpi="1200" r:id="rId1"/>
  <headerFooter>
    <oddHeader>_x000D_
                  &amp;LOFFICE OF HEALTH CARE ACCESS&amp;CTWELVE MONTHS ACTUAL FILING&amp;RLAWRENCE AND MEMORIAL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631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914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915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916</v>
      </c>
      <c r="D10" s="177" t="s">
        <v>916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917</v>
      </c>
      <c r="D11" s="693" t="s">
        <v>917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918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257118682</v>
      </c>
      <c r="D15" s="76">
        <v>256935481</v>
      </c>
      <c r="E15" s="76">
        <f>+D15-C15</f>
        <v>-183201</v>
      </c>
      <c r="F15" s="77">
        <f>IF(C15=0,0,E15/C15)</f>
        <v>-7.1251532006530742E-4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919</v>
      </c>
      <c r="C17" s="76">
        <v>96875922</v>
      </c>
      <c r="D17" s="76">
        <v>106613000</v>
      </c>
      <c r="E17" s="76">
        <f>+D17-C17</f>
        <v>9737078</v>
      </c>
      <c r="F17" s="77">
        <f>IF(C17=0,0,E17/C17)</f>
        <v>0.10051081629963739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920</v>
      </c>
      <c r="C19" s="79">
        <f>+C15-C17</f>
        <v>160242760</v>
      </c>
      <c r="D19" s="79">
        <f>+D15-D17</f>
        <v>150322481</v>
      </c>
      <c r="E19" s="79">
        <f>+D19-C19</f>
        <v>-9920279</v>
      </c>
      <c r="F19" s="80">
        <f>IF(C19=0,0,E19/C19)</f>
        <v>-6.1907814119027904E-2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921</v>
      </c>
      <c r="C21" s="720">
        <f>IF(C15=0,0,C17/C15)</f>
        <v>0.37677511897015714</v>
      </c>
      <c r="D21" s="720">
        <f>IF(D15=0,0,D17/D15)</f>
        <v>0.41494074537724124</v>
      </c>
      <c r="E21" s="720">
        <f>+D21-C21</f>
        <v>3.8165626407084097E-2</v>
      </c>
      <c r="F21" s="80">
        <f>IF(C21=0,0,E21/C21)</f>
        <v>0.10129550621973805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922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FILING&amp;R&amp;12LAWRENCE AND MEMORIAL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923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924</v>
      </c>
      <c r="B6" s="734" t="s">
        <v>925</v>
      </c>
      <c r="C6" s="734" t="s">
        <v>926</v>
      </c>
      <c r="D6" s="734" t="s">
        <v>927</v>
      </c>
      <c r="E6" s="734" t="s">
        <v>928</v>
      </c>
    </row>
    <row r="7" spans="1:6" ht="37.5" customHeight="1" x14ac:dyDescent="0.25">
      <c r="A7" s="735" t="s">
        <v>8</v>
      </c>
      <c r="B7" s="736" t="s">
        <v>9</v>
      </c>
      <c r="C7" s="737" t="s">
        <v>929</v>
      </c>
      <c r="D7" s="737" t="s">
        <v>930</v>
      </c>
      <c r="E7" s="737" t="s">
        <v>931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932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933</v>
      </c>
      <c r="C10" s="744">
        <v>304241557</v>
      </c>
      <c r="D10" s="744">
        <v>311137786</v>
      </c>
      <c r="E10" s="744">
        <v>301413263</v>
      </c>
    </row>
    <row r="11" spans="1:6" ht="26.1" customHeight="1" x14ac:dyDescent="0.25">
      <c r="A11" s="742">
        <v>2</v>
      </c>
      <c r="B11" s="743" t="s">
        <v>934</v>
      </c>
      <c r="C11" s="744">
        <v>483895016</v>
      </c>
      <c r="D11" s="744">
        <v>528134724</v>
      </c>
      <c r="E11" s="744">
        <v>545288699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788136573</v>
      </c>
      <c r="D12" s="744">
        <f>+D11+D10</f>
        <v>839272510</v>
      </c>
      <c r="E12" s="744">
        <f>+E11+E10</f>
        <v>846701962</v>
      </c>
    </row>
    <row r="13" spans="1:6" ht="26.1" customHeight="1" x14ac:dyDescent="0.25">
      <c r="A13" s="742">
        <v>4</v>
      </c>
      <c r="B13" s="743" t="s">
        <v>507</v>
      </c>
      <c r="C13" s="744">
        <v>318785233</v>
      </c>
      <c r="D13" s="744">
        <v>325022845</v>
      </c>
      <c r="E13" s="744">
        <v>312684017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935</v>
      </c>
      <c r="C16" s="744">
        <v>348525480</v>
      </c>
      <c r="D16" s="744">
        <v>350127953</v>
      </c>
      <c r="E16" s="744">
        <v>344831100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936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66332</v>
      </c>
      <c r="D19" s="747">
        <v>62219</v>
      </c>
      <c r="E19" s="747">
        <v>60634</v>
      </c>
    </row>
    <row r="20" spans="1:5" ht="26.1" customHeight="1" x14ac:dyDescent="0.25">
      <c r="A20" s="742">
        <v>2</v>
      </c>
      <c r="B20" s="743" t="s">
        <v>381</v>
      </c>
      <c r="C20" s="748">
        <v>14150</v>
      </c>
      <c r="D20" s="748">
        <v>14070</v>
      </c>
      <c r="E20" s="748">
        <v>13482</v>
      </c>
    </row>
    <row r="21" spans="1:5" ht="26.1" customHeight="1" x14ac:dyDescent="0.25">
      <c r="A21" s="742">
        <v>3</v>
      </c>
      <c r="B21" s="743" t="s">
        <v>937</v>
      </c>
      <c r="C21" s="749">
        <f>IF(C20=0,0,+C19/C20)</f>
        <v>4.687773851590106</v>
      </c>
      <c r="D21" s="749">
        <f>IF(D20=0,0,+D19/D20)</f>
        <v>4.4221037668798866</v>
      </c>
      <c r="E21" s="749">
        <f>IF(E20=0,0,+E19/E20)</f>
        <v>4.4974039460020769</v>
      </c>
    </row>
    <row r="22" spans="1:5" ht="26.1" customHeight="1" x14ac:dyDescent="0.25">
      <c r="A22" s="742">
        <v>4</v>
      </c>
      <c r="B22" s="743" t="s">
        <v>938</v>
      </c>
      <c r="C22" s="748">
        <f>IF(C10=0,0,C19*(C12/C10))</f>
        <v>171832.78864246674</v>
      </c>
      <c r="D22" s="748">
        <f>IF(D10=0,0,D19*(D12/D10))</f>
        <v>167831.41954892615</v>
      </c>
      <c r="E22" s="748">
        <f>IF(E10=0,0,E19*(E12/E10))</f>
        <v>170327.36467176629</v>
      </c>
    </row>
    <row r="23" spans="1:5" ht="26.1" customHeight="1" x14ac:dyDescent="0.25">
      <c r="A23" s="742">
        <v>0</v>
      </c>
      <c r="B23" s="743" t="s">
        <v>939</v>
      </c>
      <c r="C23" s="748">
        <f>IF(C10=0,0,C20*(C12/C10))</f>
        <v>36655.520100266906</v>
      </c>
      <c r="D23" s="748">
        <f>IF(D10=0,0,D20*(D12/D10))</f>
        <v>37952.84516069675</v>
      </c>
      <c r="E23" s="748">
        <f>IF(E10=0,0,E20*(E12/E10))</f>
        <v>37872.374088873454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940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1.2530368127208484</v>
      </c>
      <c r="D26" s="750">
        <v>1.26651026297086</v>
      </c>
      <c r="E26" s="750">
        <v>1.2993033971220889</v>
      </c>
    </row>
    <row r="27" spans="1:5" ht="26.1" customHeight="1" x14ac:dyDescent="0.25">
      <c r="A27" s="742">
        <v>2</v>
      </c>
      <c r="B27" s="743" t="s">
        <v>941</v>
      </c>
      <c r="C27" s="748">
        <f>C19*C26</f>
        <v>83116.437861399318</v>
      </c>
      <c r="D27" s="748">
        <f>D19*D26</f>
        <v>78801.002051783944</v>
      </c>
      <c r="E27" s="748">
        <f>E19*E26</f>
        <v>78781.962181100738</v>
      </c>
    </row>
    <row r="28" spans="1:5" ht="26.1" customHeight="1" x14ac:dyDescent="0.25">
      <c r="A28" s="742">
        <v>3</v>
      </c>
      <c r="B28" s="743" t="s">
        <v>942</v>
      </c>
      <c r="C28" s="748">
        <f>C20*C26</f>
        <v>17730.470900000004</v>
      </c>
      <c r="D28" s="748">
        <f>D20*D26</f>
        <v>17819.7994</v>
      </c>
      <c r="E28" s="748">
        <f>E20*E26</f>
        <v>17517.208400000003</v>
      </c>
    </row>
    <row r="29" spans="1:5" ht="26.1" customHeight="1" x14ac:dyDescent="0.25">
      <c r="A29" s="742">
        <v>4</v>
      </c>
      <c r="B29" s="743" t="s">
        <v>943</v>
      </c>
      <c r="C29" s="748">
        <f>C22*C26</f>
        <v>215312.80980149173</v>
      </c>
      <c r="D29" s="748">
        <f>D22*D26</f>
        <v>212560.21530768319</v>
      </c>
      <c r="E29" s="748">
        <f>E22*E26</f>
        <v>221306.92354087881</v>
      </c>
    </row>
    <row r="30" spans="1:5" ht="26.1" customHeight="1" x14ac:dyDescent="0.25">
      <c r="A30" s="742">
        <v>5</v>
      </c>
      <c r="B30" s="743" t="s">
        <v>944</v>
      </c>
      <c r="C30" s="748">
        <f>C23*C26</f>
        <v>45930.716075063436</v>
      </c>
      <c r="D30" s="748">
        <f>D23*D26</f>
        <v>48067.667904966373</v>
      </c>
      <c r="E30" s="748">
        <f>E23*E26</f>
        <v>49207.704310751855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945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946</v>
      </c>
      <c r="C33" s="744">
        <f>IF(C19=0,0,C12/C19)</f>
        <v>11881.694702406079</v>
      </c>
      <c r="D33" s="744">
        <f>IF(D19=0,0,D12/D19)</f>
        <v>13489.006734277311</v>
      </c>
      <c r="E33" s="744">
        <f>IF(E19=0,0,E12/E19)</f>
        <v>13964.144902200085</v>
      </c>
    </row>
    <row r="34" spans="1:5" ht="26.1" customHeight="1" x14ac:dyDescent="0.25">
      <c r="A34" s="742">
        <v>2</v>
      </c>
      <c r="B34" s="743" t="s">
        <v>947</v>
      </c>
      <c r="C34" s="744">
        <f>IF(C20=0,0,C12/C20)</f>
        <v>55698.697738515904</v>
      </c>
      <c r="D34" s="744">
        <f>IF(D20=0,0,D12/D20)</f>
        <v>59649.787491115851</v>
      </c>
      <c r="E34" s="744">
        <f>IF(E20=0,0,E12/E20)</f>
        <v>62802.400385699453</v>
      </c>
    </row>
    <row r="35" spans="1:5" ht="26.1" customHeight="1" x14ac:dyDescent="0.25">
      <c r="A35" s="742">
        <v>3</v>
      </c>
      <c r="B35" s="743" t="s">
        <v>948</v>
      </c>
      <c r="C35" s="744">
        <f>IF(C22=0,0,C12/C22)</f>
        <v>4586.6483296146662</v>
      </c>
      <c r="D35" s="744">
        <f>IF(D22=0,0,D12/D22)</f>
        <v>5000.6876677542232</v>
      </c>
      <c r="E35" s="744">
        <f>IF(E22=0,0,E12/E22)</f>
        <v>4971.0271959626607</v>
      </c>
    </row>
    <row r="36" spans="1:5" ht="26.1" customHeight="1" x14ac:dyDescent="0.25">
      <c r="A36" s="742">
        <v>4</v>
      </c>
      <c r="B36" s="743" t="s">
        <v>949</v>
      </c>
      <c r="C36" s="744">
        <f>IF(C23=0,0,C12/C23)</f>
        <v>21501.17010600707</v>
      </c>
      <c r="D36" s="744">
        <f>IF(D23=0,0,D12/D23)</f>
        <v>22113.559772565739</v>
      </c>
      <c r="E36" s="744">
        <f>IF(E23=0,0,E12/E23)</f>
        <v>22356.717326806112</v>
      </c>
    </row>
    <row r="37" spans="1:5" ht="26.1" customHeight="1" x14ac:dyDescent="0.25">
      <c r="A37" s="742">
        <v>5</v>
      </c>
      <c r="B37" s="743" t="s">
        <v>950</v>
      </c>
      <c r="C37" s="744">
        <f>IF(C29=0,0,C12/C29)</f>
        <v>3660.4258414844189</v>
      </c>
      <c r="D37" s="744">
        <f>IF(D29=0,0,D12/D29)</f>
        <v>3948.3988515214105</v>
      </c>
      <c r="E37" s="744">
        <f>IF(E29=0,0,E12/E29)</f>
        <v>3825.9171852958366</v>
      </c>
    </row>
    <row r="38" spans="1:5" ht="26.1" customHeight="1" x14ac:dyDescent="0.25">
      <c r="A38" s="742">
        <v>6</v>
      </c>
      <c r="B38" s="743" t="s">
        <v>951</v>
      </c>
      <c r="C38" s="744">
        <f>IF(C30=0,0,C12/C30)</f>
        <v>17159.24854539537</v>
      </c>
      <c r="D38" s="744">
        <f>IF(D30=0,0,D12/D30)</f>
        <v>17460.229434457044</v>
      </c>
      <c r="E38" s="744">
        <f>IF(E30=0,0,E12/E30)</f>
        <v>17206.695046226654</v>
      </c>
    </row>
    <row r="39" spans="1:5" ht="26.1" customHeight="1" x14ac:dyDescent="0.25">
      <c r="A39" s="742">
        <v>7</v>
      </c>
      <c r="B39" s="743" t="s">
        <v>952</v>
      </c>
      <c r="C39" s="744">
        <f>IF(C22=0,0,C10/C22)</f>
        <v>1770.5675348901937</v>
      </c>
      <c r="D39" s="744">
        <f>IF(D22=0,0,D10/D22)</f>
        <v>1853.8709071056701</v>
      </c>
      <c r="E39" s="744">
        <f>IF(E22=0,0,E10/E22)</f>
        <v>1769.611498310011</v>
      </c>
    </row>
    <row r="40" spans="1:5" ht="26.1" customHeight="1" x14ac:dyDescent="0.25">
      <c r="A40" s="742">
        <v>8</v>
      </c>
      <c r="B40" s="743" t="s">
        <v>953</v>
      </c>
      <c r="C40" s="744">
        <f>IF(C23=0,0,C10/C23)</f>
        <v>8300.0201925326019</v>
      </c>
      <c r="D40" s="744">
        <f>IF(D23=0,0,D10/D23)</f>
        <v>8198.0095216210138</v>
      </c>
      <c r="E40" s="744">
        <f>IF(E23=0,0,E10/E23)</f>
        <v>7958.6577353900921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954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955</v>
      </c>
      <c r="C43" s="744">
        <f>IF(C19=0,0,C13/C19)</f>
        <v>4805.9041337514318</v>
      </c>
      <c r="D43" s="744">
        <f>IF(D19=0,0,D13/D19)</f>
        <v>5223.8519584049891</v>
      </c>
      <c r="E43" s="744">
        <f>IF(E19=0,0,E13/E19)</f>
        <v>5156.9089454761352</v>
      </c>
    </row>
    <row r="44" spans="1:5" ht="26.1" customHeight="1" x14ac:dyDescent="0.25">
      <c r="A44" s="742">
        <v>2</v>
      </c>
      <c r="B44" s="743" t="s">
        <v>956</v>
      </c>
      <c r="C44" s="744">
        <f>IF(C20=0,0,C13/C20)</f>
        <v>22528.991731448765</v>
      </c>
      <c r="D44" s="744">
        <f>IF(D20=0,0,D13/D20)</f>
        <v>23100.415422885573</v>
      </c>
      <c r="E44" s="744">
        <f>IF(E20=0,0,E13/E20)</f>
        <v>23192.702640557782</v>
      </c>
    </row>
    <row r="45" spans="1:5" ht="26.1" customHeight="1" x14ac:dyDescent="0.25">
      <c r="A45" s="742">
        <v>3</v>
      </c>
      <c r="B45" s="743" t="s">
        <v>957</v>
      </c>
      <c r="C45" s="744">
        <f>IF(C22=0,0,C13/C22)</f>
        <v>1855.2060728252388</v>
      </c>
      <c r="D45" s="744">
        <f>IF(D22=0,0,D13/D22)</f>
        <v>1936.6030858438248</v>
      </c>
      <c r="E45" s="744">
        <f>IF(E22=0,0,E13/E22)</f>
        <v>1835.7826271930276</v>
      </c>
    </row>
    <row r="46" spans="1:5" ht="26.1" customHeight="1" x14ac:dyDescent="0.25">
      <c r="A46" s="742">
        <v>4</v>
      </c>
      <c r="B46" s="743" t="s">
        <v>958</v>
      </c>
      <c r="C46" s="744">
        <f>IF(C23=0,0,C13/C23)</f>
        <v>8696.786517501323</v>
      </c>
      <c r="D46" s="744">
        <f>IF(D23=0,0,D13/D23)</f>
        <v>8563.859800861188</v>
      </c>
      <c r="E46" s="744">
        <f>IF(E23=0,0,E13/E23)</f>
        <v>8256.2560315399824</v>
      </c>
    </row>
    <row r="47" spans="1:5" ht="26.1" customHeight="1" x14ac:dyDescent="0.25">
      <c r="A47" s="742">
        <v>5</v>
      </c>
      <c r="B47" s="743" t="s">
        <v>959</v>
      </c>
      <c r="C47" s="744">
        <f>IF(C29=0,0,C13/C29)</f>
        <v>1480.5678923325786</v>
      </c>
      <c r="D47" s="744">
        <f>IF(D29=0,0,D13/D29)</f>
        <v>1529.0859793754253</v>
      </c>
      <c r="E47" s="744">
        <f>IF(E29=0,0,E13/E29)</f>
        <v>1412.8975813187446</v>
      </c>
    </row>
    <row r="48" spans="1:5" ht="26.1" customHeight="1" x14ac:dyDescent="0.25">
      <c r="A48" s="742">
        <v>6</v>
      </c>
      <c r="B48" s="743" t="s">
        <v>960</v>
      </c>
      <c r="C48" s="744">
        <f>IF(C30=0,0,C13/C30)</f>
        <v>6940.5674511805382</v>
      </c>
      <c r="D48" s="744">
        <f>IF(D30=0,0,D13/D30)</f>
        <v>6761.776869279287</v>
      </c>
      <c r="E48" s="744">
        <f>IF(E30=0,0,E13/E30)</f>
        <v>6354.3711575197121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961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962</v>
      </c>
      <c r="C51" s="744">
        <f>IF(C19=0,0,C16/C19)</f>
        <v>5254.2585780618701</v>
      </c>
      <c r="D51" s="744">
        <f>IF(D19=0,0,D16/D19)</f>
        <v>5627.34780372555</v>
      </c>
      <c r="E51" s="744">
        <f>IF(E19=0,0,E16/E19)</f>
        <v>5687.0914008642012</v>
      </c>
    </row>
    <row r="52" spans="1:6" ht="26.1" customHeight="1" x14ac:dyDescent="0.25">
      <c r="A52" s="742">
        <v>2</v>
      </c>
      <c r="B52" s="743" t="s">
        <v>963</v>
      </c>
      <c r="C52" s="744">
        <f>IF(C20=0,0,C16/C20)</f>
        <v>24630.775971731447</v>
      </c>
      <c r="D52" s="744">
        <f>IF(D20=0,0,D16/D20)</f>
        <v>24884.715920398008</v>
      </c>
      <c r="E52" s="744">
        <f>IF(E20=0,0,E16/E20)</f>
        <v>25577.14730752114</v>
      </c>
    </row>
    <row r="53" spans="1:6" ht="26.1" customHeight="1" x14ac:dyDescent="0.25">
      <c r="A53" s="742">
        <v>3</v>
      </c>
      <c r="B53" s="743" t="s">
        <v>964</v>
      </c>
      <c r="C53" s="744">
        <f>IF(C22=0,0,C16/C22)</f>
        <v>2028.2827436687799</v>
      </c>
      <c r="D53" s="744">
        <f>IF(D22=0,0,D16/D22)</f>
        <v>2086.1883546062177</v>
      </c>
      <c r="E53" s="744">
        <f>IF(E22=0,0,E16/E22)</f>
        <v>2024.5196693115965</v>
      </c>
    </row>
    <row r="54" spans="1:6" ht="26.1" customHeight="1" x14ac:dyDescent="0.25">
      <c r="A54" s="742">
        <v>4</v>
      </c>
      <c r="B54" s="743" t="s">
        <v>965</v>
      </c>
      <c r="C54" s="744">
        <f>IF(C23=0,0,C16/C23)</f>
        <v>9508.1308094019441</v>
      </c>
      <c r="D54" s="744">
        <f>IF(D23=0,0,D16/D23)</f>
        <v>9225.3413813251063</v>
      </c>
      <c r="E54" s="744">
        <f>IF(E23=0,0,E16/E23)</f>
        <v>9105.0827495207941</v>
      </c>
    </row>
    <row r="55" spans="1:6" ht="26.1" customHeight="1" x14ac:dyDescent="0.25">
      <c r="A55" s="742">
        <v>5</v>
      </c>
      <c r="B55" s="743" t="s">
        <v>966</v>
      </c>
      <c r="C55" s="744">
        <f>IF(C29=0,0,C16/C29)</f>
        <v>1618.6936593383555</v>
      </c>
      <c r="D55" s="744">
        <f>IF(D29=0,0,D16/D29)</f>
        <v>1647.1941962101705</v>
      </c>
      <c r="E55" s="744">
        <f>IF(E29=0,0,E16/E29)</f>
        <v>1558.1577588389564</v>
      </c>
    </row>
    <row r="56" spans="1:6" ht="26.1" customHeight="1" x14ac:dyDescent="0.25">
      <c r="A56" s="742">
        <v>6</v>
      </c>
      <c r="B56" s="743" t="s">
        <v>967</v>
      </c>
      <c r="C56" s="744">
        <f>IF(C30=0,0,C16/C30)</f>
        <v>7588.0698099810461</v>
      </c>
      <c r="D56" s="744">
        <f>IF(D30=0,0,D16/D30)</f>
        <v>7284.0636598436813</v>
      </c>
      <c r="E56" s="744">
        <f>IF(E30=0,0,E16/E30)</f>
        <v>7007.6648530960747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968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969</v>
      </c>
      <c r="C59" s="752">
        <v>40921636</v>
      </c>
      <c r="D59" s="752">
        <v>40670258</v>
      </c>
      <c r="E59" s="752">
        <v>42101513</v>
      </c>
    </row>
    <row r="60" spans="1:6" ht="26.1" customHeight="1" x14ac:dyDescent="0.25">
      <c r="A60" s="742">
        <v>2</v>
      </c>
      <c r="B60" s="743" t="s">
        <v>970</v>
      </c>
      <c r="C60" s="752">
        <v>14645164</v>
      </c>
      <c r="D60" s="752">
        <v>14949101</v>
      </c>
      <c r="E60" s="752">
        <v>15677067</v>
      </c>
    </row>
    <row r="61" spans="1:6" ht="26.1" customHeight="1" x14ac:dyDescent="0.25">
      <c r="A61" s="753">
        <v>3</v>
      </c>
      <c r="B61" s="754" t="s">
        <v>971</v>
      </c>
      <c r="C61" s="755">
        <f>C59+C60</f>
        <v>55566800</v>
      </c>
      <c r="D61" s="755">
        <f>D59+D60</f>
        <v>55619359</v>
      </c>
      <c r="E61" s="755">
        <f>E59+E60</f>
        <v>57778580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972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973</v>
      </c>
      <c r="C64" s="744">
        <v>367754</v>
      </c>
      <c r="D64" s="744">
        <v>389032</v>
      </c>
      <c r="E64" s="752">
        <v>600900</v>
      </c>
      <c r="F64" s="756"/>
    </row>
    <row r="65" spans="1:6" ht="26.1" customHeight="1" x14ac:dyDescent="0.25">
      <c r="A65" s="742">
        <v>2</v>
      </c>
      <c r="B65" s="743" t="s">
        <v>974</v>
      </c>
      <c r="C65" s="752">
        <v>131613</v>
      </c>
      <c r="D65" s="752">
        <v>142996</v>
      </c>
      <c r="E65" s="752">
        <v>223753</v>
      </c>
      <c r="F65" s="756"/>
    </row>
    <row r="66" spans="1:6" ht="26.1" customHeight="1" x14ac:dyDescent="0.25">
      <c r="A66" s="753">
        <v>3</v>
      </c>
      <c r="B66" s="754" t="s">
        <v>975</v>
      </c>
      <c r="C66" s="757">
        <f>C64+C65</f>
        <v>499367</v>
      </c>
      <c r="D66" s="757">
        <f>D64+D65</f>
        <v>532028</v>
      </c>
      <c r="E66" s="757">
        <f>E64+E65</f>
        <v>824653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976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977</v>
      </c>
      <c r="C69" s="752">
        <v>101054229</v>
      </c>
      <c r="D69" s="752">
        <v>99580813</v>
      </c>
      <c r="E69" s="752">
        <v>100136596</v>
      </c>
    </row>
    <row r="70" spans="1:6" ht="26.1" customHeight="1" x14ac:dyDescent="0.25">
      <c r="A70" s="742">
        <v>2</v>
      </c>
      <c r="B70" s="743" t="s">
        <v>978</v>
      </c>
      <c r="C70" s="752">
        <v>36165592</v>
      </c>
      <c r="D70" s="752">
        <v>36602758</v>
      </c>
      <c r="E70" s="752">
        <v>37287214</v>
      </c>
    </row>
    <row r="71" spans="1:6" ht="26.1" customHeight="1" x14ac:dyDescent="0.25">
      <c r="A71" s="753">
        <v>3</v>
      </c>
      <c r="B71" s="754" t="s">
        <v>979</v>
      </c>
      <c r="C71" s="755">
        <f>C69+C70</f>
        <v>137219821</v>
      </c>
      <c r="D71" s="755">
        <f>D69+D70</f>
        <v>136183571</v>
      </c>
      <c r="E71" s="755">
        <f>E69+E70</f>
        <v>137423810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980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981</v>
      </c>
      <c r="C75" s="744">
        <f t="shared" ref="C75:E76" si="0">+C59+C64+C69</f>
        <v>142343619</v>
      </c>
      <c r="D75" s="744">
        <f t="shared" si="0"/>
        <v>140640103</v>
      </c>
      <c r="E75" s="744">
        <f t="shared" si="0"/>
        <v>142839009</v>
      </c>
    </row>
    <row r="76" spans="1:6" ht="26.1" customHeight="1" x14ac:dyDescent="0.25">
      <c r="A76" s="742">
        <v>2</v>
      </c>
      <c r="B76" s="743" t="s">
        <v>982</v>
      </c>
      <c r="C76" s="744">
        <f t="shared" si="0"/>
        <v>50942369</v>
      </c>
      <c r="D76" s="744">
        <f t="shared" si="0"/>
        <v>51694855</v>
      </c>
      <c r="E76" s="744">
        <f t="shared" si="0"/>
        <v>53188034</v>
      </c>
    </row>
    <row r="77" spans="1:6" ht="26.1" customHeight="1" x14ac:dyDescent="0.25">
      <c r="A77" s="753">
        <v>3</v>
      </c>
      <c r="B77" s="754" t="s">
        <v>980</v>
      </c>
      <c r="C77" s="757">
        <f>C75+C76</f>
        <v>193285988</v>
      </c>
      <c r="D77" s="757">
        <f>D75+D76</f>
        <v>192334958</v>
      </c>
      <c r="E77" s="757">
        <f>E75+E76</f>
        <v>196027043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983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407.3</v>
      </c>
      <c r="D80" s="749">
        <v>417.1</v>
      </c>
      <c r="E80" s="749">
        <v>429.8</v>
      </c>
    </row>
    <row r="81" spans="1:5" ht="26.1" customHeight="1" x14ac:dyDescent="0.25">
      <c r="A81" s="742">
        <v>2</v>
      </c>
      <c r="B81" s="743" t="s">
        <v>617</v>
      </c>
      <c r="C81" s="749">
        <v>1.6</v>
      </c>
      <c r="D81" s="749">
        <v>1.6</v>
      </c>
      <c r="E81" s="749">
        <v>1.5</v>
      </c>
    </row>
    <row r="82" spans="1:5" ht="26.1" customHeight="1" x14ac:dyDescent="0.25">
      <c r="A82" s="742">
        <v>3</v>
      </c>
      <c r="B82" s="743" t="s">
        <v>984</v>
      </c>
      <c r="C82" s="749">
        <v>1440.2</v>
      </c>
      <c r="D82" s="749">
        <v>1407</v>
      </c>
      <c r="E82" s="749">
        <v>1394.4</v>
      </c>
    </row>
    <row r="83" spans="1:5" ht="26.1" customHeight="1" x14ac:dyDescent="0.25">
      <c r="A83" s="753">
        <v>4</v>
      </c>
      <c r="B83" s="754" t="s">
        <v>983</v>
      </c>
      <c r="C83" s="759">
        <f>C80+C81+C82</f>
        <v>1849.1000000000001</v>
      </c>
      <c r="D83" s="759">
        <f>D80+D81+D82</f>
        <v>1825.7</v>
      </c>
      <c r="E83" s="759">
        <f>E80+E81+E82</f>
        <v>1825.7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985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986</v>
      </c>
      <c r="C86" s="752">
        <f>IF(C80=0,0,C59/C80)</f>
        <v>100470.50331451019</v>
      </c>
      <c r="D86" s="752">
        <f>IF(D80=0,0,D59/D80)</f>
        <v>97507.211699832173</v>
      </c>
      <c r="E86" s="752">
        <f>IF(E80=0,0,E59/E80)</f>
        <v>97956.056305258258</v>
      </c>
    </row>
    <row r="87" spans="1:5" ht="26.1" customHeight="1" x14ac:dyDescent="0.25">
      <c r="A87" s="742">
        <v>2</v>
      </c>
      <c r="B87" s="743" t="s">
        <v>987</v>
      </c>
      <c r="C87" s="752">
        <f>IF(C80=0,0,C60/C80)</f>
        <v>35956.700220967345</v>
      </c>
      <c r="D87" s="752">
        <f>IF(D80=0,0,D60/D80)</f>
        <v>35840.568209062571</v>
      </c>
      <c r="E87" s="752">
        <f>IF(E80=0,0,E60/E80)</f>
        <v>36475.260586319215</v>
      </c>
    </row>
    <row r="88" spans="1:5" ht="26.1" customHeight="1" x14ac:dyDescent="0.25">
      <c r="A88" s="753">
        <v>3</v>
      </c>
      <c r="B88" s="754" t="s">
        <v>988</v>
      </c>
      <c r="C88" s="755">
        <f>+C86+C87</f>
        <v>136427.20353547754</v>
      </c>
      <c r="D88" s="755">
        <f>+D86+D87</f>
        <v>133347.77990889474</v>
      </c>
      <c r="E88" s="755">
        <f>+E86+E87</f>
        <v>134431.31689157747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989</v>
      </c>
    </row>
    <row r="91" spans="1:5" ht="26.1" customHeight="1" x14ac:dyDescent="0.25">
      <c r="A91" s="742">
        <v>1</v>
      </c>
      <c r="B91" s="743" t="s">
        <v>990</v>
      </c>
      <c r="C91" s="744">
        <f>IF(C81=0,0,C64/C81)</f>
        <v>229846.25</v>
      </c>
      <c r="D91" s="744">
        <f>IF(D81=0,0,D64/D81)</f>
        <v>243145</v>
      </c>
      <c r="E91" s="744">
        <f>IF(E81=0,0,E64/E81)</f>
        <v>400600</v>
      </c>
    </row>
    <row r="92" spans="1:5" ht="26.1" customHeight="1" x14ac:dyDescent="0.25">
      <c r="A92" s="742">
        <v>2</v>
      </c>
      <c r="B92" s="743" t="s">
        <v>991</v>
      </c>
      <c r="C92" s="744">
        <f>IF(C81=0,0,C65/C81)</f>
        <v>82258.125</v>
      </c>
      <c r="D92" s="744">
        <f>IF(D81=0,0,D65/D81)</f>
        <v>89372.5</v>
      </c>
      <c r="E92" s="744">
        <f>IF(E81=0,0,E65/E81)</f>
        <v>149168.66666666666</v>
      </c>
    </row>
    <row r="93" spans="1:5" ht="26.1" customHeight="1" x14ac:dyDescent="0.25">
      <c r="A93" s="753">
        <v>3</v>
      </c>
      <c r="B93" s="754" t="s">
        <v>992</v>
      </c>
      <c r="C93" s="757">
        <f>+C91+C92</f>
        <v>312104.375</v>
      </c>
      <c r="D93" s="757">
        <f>+D91+D92</f>
        <v>332517.5</v>
      </c>
      <c r="E93" s="757">
        <f>+E91+E92</f>
        <v>549768.66666666663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993</v>
      </c>
      <c r="B95" s="745" t="s">
        <v>994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995</v>
      </c>
      <c r="C96" s="752">
        <f>IF(C82=0,0,C69/C82)</f>
        <v>70166.802527426742</v>
      </c>
      <c r="D96" s="752">
        <f>IF(D82=0,0,D69/D82)</f>
        <v>70775.275764036953</v>
      </c>
      <c r="E96" s="752">
        <f>IF(E82=0,0,E69/E82)</f>
        <v>71813.393574297181</v>
      </c>
    </row>
    <row r="97" spans="1:5" ht="26.1" customHeight="1" x14ac:dyDescent="0.25">
      <c r="A97" s="742">
        <v>2</v>
      </c>
      <c r="B97" s="743" t="s">
        <v>996</v>
      </c>
      <c r="C97" s="752">
        <f>IF(C82=0,0,C70/C82)</f>
        <v>25111.50673517567</v>
      </c>
      <c r="D97" s="752">
        <f>IF(D82=0,0,D70/D82)</f>
        <v>26014.753375977256</v>
      </c>
      <c r="E97" s="752">
        <f>IF(E82=0,0,E70/E82)</f>
        <v>26740.687033849681</v>
      </c>
    </row>
    <row r="98" spans="1:5" ht="26.1" customHeight="1" x14ac:dyDescent="0.25">
      <c r="A98" s="753">
        <v>3</v>
      </c>
      <c r="B98" s="754" t="s">
        <v>997</v>
      </c>
      <c r="C98" s="757">
        <f>+C96+C97</f>
        <v>95278.309262602415</v>
      </c>
      <c r="D98" s="757">
        <f>+D96+D97</f>
        <v>96790.029140014201</v>
      </c>
      <c r="E98" s="757">
        <f>+E96+E97</f>
        <v>98554.080608146862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998</v>
      </c>
      <c r="B100" s="745" t="s">
        <v>999</v>
      </c>
    </row>
    <row r="101" spans="1:5" ht="26.1" customHeight="1" x14ac:dyDescent="0.25">
      <c r="A101" s="742">
        <v>1</v>
      </c>
      <c r="B101" s="743" t="s">
        <v>1000</v>
      </c>
      <c r="C101" s="744">
        <f>IF(C83=0,0,C75/C83)</f>
        <v>76979.946460440202</v>
      </c>
      <c r="D101" s="744">
        <f>IF(D83=0,0,D75/D83)</f>
        <v>77033.523032261597</v>
      </c>
      <c r="E101" s="744">
        <f>IF(E83=0,0,E75/E83)</f>
        <v>78237.941063701597</v>
      </c>
    </row>
    <row r="102" spans="1:5" ht="26.1" customHeight="1" x14ac:dyDescent="0.25">
      <c r="A102" s="742">
        <v>2</v>
      </c>
      <c r="B102" s="743" t="s">
        <v>1001</v>
      </c>
      <c r="C102" s="761">
        <f>IF(C83=0,0,C76/C83)</f>
        <v>27549.818289978906</v>
      </c>
      <c r="D102" s="761">
        <f>IF(D83=0,0,D76/D83)</f>
        <v>28315.087363750888</v>
      </c>
      <c r="E102" s="761">
        <f>IF(E83=0,0,E76/E83)</f>
        <v>29132.953935476802</v>
      </c>
    </row>
    <row r="103" spans="1:5" ht="26.1" customHeight="1" x14ac:dyDescent="0.25">
      <c r="A103" s="753">
        <v>3</v>
      </c>
      <c r="B103" s="754" t="s">
        <v>999</v>
      </c>
      <c r="C103" s="757">
        <f>+C101+C102</f>
        <v>104529.76475041911</v>
      </c>
      <c r="D103" s="757">
        <f>+D101+D102</f>
        <v>105348.61039601249</v>
      </c>
      <c r="E103" s="757">
        <f>+E101+E102</f>
        <v>107370.8949991784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1002</v>
      </c>
      <c r="B107" s="736" t="s">
        <v>1003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1004</v>
      </c>
      <c r="C108" s="744">
        <f>IF(C19=0,0,C77/C19)</f>
        <v>2913.917686787674</v>
      </c>
      <c r="D108" s="744">
        <f>IF(D19=0,0,D77/D19)</f>
        <v>3091.2576222697248</v>
      </c>
      <c r="E108" s="744">
        <f>IF(E19=0,0,E77/E19)</f>
        <v>3232.9558168684239</v>
      </c>
    </row>
    <row r="109" spans="1:5" ht="26.1" customHeight="1" x14ac:dyDescent="0.25">
      <c r="A109" s="742">
        <v>2</v>
      </c>
      <c r="B109" s="743" t="s">
        <v>1005</v>
      </c>
      <c r="C109" s="744">
        <f>IF(C20=0,0,C77/C20)</f>
        <v>13659.787137809188</v>
      </c>
      <c r="D109" s="744">
        <f>IF(D20=0,0,D77/D20)</f>
        <v>13669.861975835111</v>
      </c>
      <c r="E109" s="744">
        <f>IF(E20=0,0,E77/E20)</f>
        <v>14539.908248034417</v>
      </c>
    </row>
    <row r="110" spans="1:5" ht="26.1" customHeight="1" x14ac:dyDescent="0.25">
      <c r="A110" s="742">
        <v>3</v>
      </c>
      <c r="B110" s="743" t="s">
        <v>1006</v>
      </c>
      <c r="C110" s="744">
        <f>IF(C22=0,0,C77/C22)</f>
        <v>1124.849276596279</v>
      </c>
      <c r="D110" s="744">
        <f>IF(D22=0,0,D77/D22)</f>
        <v>1146.0009008857282</v>
      </c>
      <c r="E110" s="744">
        <f>IF(E22=0,0,E77/E22)</f>
        <v>1150.8840248762078</v>
      </c>
    </row>
    <row r="111" spans="1:5" ht="26.1" customHeight="1" x14ac:dyDescent="0.25">
      <c r="A111" s="742">
        <v>4</v>
      </c>
      <c r="B111" s="743" t="s">
        <v>1007</v>
      </c>
      <c r="C111" s="744">
        <f>IF(C23=0,0,C77/C23)</f>
        <v>5273.0390258080824</v>
      </c>
      <c r="D111" s="744">
        <f>IF(D23=0,0,D77/D23)</f>
        <v>5067.7349006545219</v>
      </c>
      <c r="E111" s="744">
        <f>IF(E23=0,0,E77/E23)</f>
        <v>5175.9903548690099</v>
      </c>
    </row>
    <row r="112" spans="1:5" ht="26.1" customHeight="1" x14ac:dyDescent="0.25">
      <c r="A112" s="742">
        <v>5</v>
      </c>
      <c r="B112" s="743" t="s">
        <v>1008</v>
      </c>
      <c r="C112" s="744">
        <f>IF(C29=0,0,C77/C29)</f>
        <v>897.69850747942291</v>
      </c>
      <c r="D112" s="744">
        <f>IF(D29=0,0,D77/D29)</f>
        <v>904.84928104534094</v>
      </c>
      <c r="E112" s="744">
        <f>IF(E29=0,0,E77/E29)</f>
        <v>885.77004218212255</v>
      </c>
    </row>
    <row r="113" spans="1:7" ht="25.5" customHeight="1" x14ac:dyDescent="0.25">
      <c r="A113" s="742">
        <v>6</v>
      </c>
      <c r="B113" s="743" t="s">
        <v>1009</v>
      </c>
      <c r="C113" s="744">
        <f>IF(C30=0,0,C77/C30)</f>
        <v>4208.2075899735046</v>
      </c>
      <c r="D113" s="744">
        <f>IF(D30=0,0,D77/D30)</f>
        <v>4001.3374141691584</v>
      </c>
      <c r="E113" s="744">
        <f>IF(E30=0,0,E77/E30)</f>
        <v>3983.6656829603044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FILING&amp;R&amp;"Arial,Bold"&amp;12LAWRENCE AND MEMORIAL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A2" sqref="A2:F2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839272512</v>
      </c>
      <c r="D12" s="76">
        <v>846701962</v>
      </c>
      <c r="E12" s="76">
        <f t="shared" ref="E12:E21" si="0">D12-C12</f>
        <v>7429450</v>
      </c>
      <c r="F12" s="77">
        <f t="shared" ref="F12:F21" si="1">IF(C12=0,0,E12/C12)</f>
        <v>8.8522498875788277E-3</v>
      </c>
    </row>
    <row r="13" spans="1:8" ht="23.1" customHeight="1" x14ac:dyDescent="0.2">
      <c r="A13" s="74">
        <v>2</v>
      </c>
      <c r="B13" s="75" t="s">
        <v>72</v>
      </c>
      <c r="C13" s="76">
        <v>483222533</v>
      </c>
      <c r="D13" s="76">
        <v>503815087</v>
      </c>
      <c r="E13" s="76">
        <f t="shared" si="0"/>
        <v>20592554</v>
      </c>
      <c r="F13" s="77">
        <f t="shared" si="1"/>
        <v>4.2615053300918811E-2</v>
      </c>
    </row>
    <row r="14" spans="1:8" ht="23.1" customHeight="1" x14ac:dyDescent="0.2">
      <c r="A14" s="74">
        <v>3</v>
      </c>
      <c r="B14" s="75" t="s">
        <v>73</v>
      </c>
      <c r="C14" s="76">
        <v>5405542</v>
      </c>
      <c r="D14" s="76">
        <v>5374494</v>
      </c>
      <c r="E14" s="76">
        <f t="shared" si="0"/>
        <v>-31048</v>
      </c>
      <c r="F14" s="77">
        <f t="shared" si="1"/>
        <v>-5.7437348558201937E-3</v>
      </c>
    </row>
    <row r="15" spans="1:8" ht="23.1" customHeight="1" x14ac:dyDescent="0.2">
      <c r="A15" s="74">
        <v>4</v>
      </c>
      <c r="B15" s="75" t="s">
        <v>74</v>
      </c>
      <c r="C15" s="76">
        <v>12823282</v>
      </c>
      <c r="D15" s="76">
        <v>12488508</v>
      </c>
      <c r="E15" s="76">
        <f t="shared" si="0"/>
        <v>-334774</v>
      </c>
      <c r="F15" s="77">
        <f t="shared" si="1"/>
        <v>-2.6106733050088114E-2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337821155</v>
      </c>
      <c r="D16" s="79">
        <f>D12-D13-D14-D15</f>
        <v>325023873</v>
      </c>
      <c r="E16" s="79">
        <f t="shared" si="0"/>
        <v>-12797282</v>
      </c>
      <c r="F16" s="80">
        <f t="shared" si="1"/>
        <v>-3.7881825369994959E-2</v>
      </c>
    </row>
    <row r="17" spans="1:7" ht="23.1" customHeight="1" x14ac:dyDescent="0.2">
      <c r="A17" s="74">
        <v>5</v>
      </c>
      <c r="B17" s="75" t="s">
        <v>76</v>
      </c>
      <c r="C17" s="76">
        <v>12798310</v>
      </c>
      <c r="D17" s="76">
        <v>12339856</v>
      </c>
      <c r="E17" s="76">
        <f t="shared" si="0"/>
        <v>-458454</v>
      </c>
      <c r="F17" s="77">
        <f t="shared" si="1"/>
        <v>-3.5821448300595936E-2</v>
      </c>
      <c r="G17" s="65"/>
    </row>
    <row r="18" spans="1:7" ht="31.5" customHeight="1" x14ac:dyDescent="0.25">
      <c r="A18" s="71"/>
      <c r="B18" s="81" t="s">
        <v>77</v>
      </c>
      <c r="C18" s="79">
        <f>C16-C17</f>
        <v>325022845</v>
      </c>
      <c r="D18" s="79">
        <f>D16-D17</f>
        <v>312684017</v>
      </c>
      <c r="E18" s="79">
        <f t="shared" si="0"/>
        <v>-12338828</v>
      </c>
      <c r="F18" s="80">
        <f t="shared" si="1"/>
        <v>-3.7962956111592706E-2</v>
      </c>
    </row>
    <row r="19" spans="1:7" ht="23.1" customHeight="1" x14ac:dyDescent="0.2">
      <c r="A19" s="74">
        <v>6</v>
      </c>
      <c r="B19" s="75" t="s">
        <v>78</v>
      </c>
      <c r="C19" s="76">
        <v>30854159</v>
      </c>
      <c r="D19" s="76">
        <v>32202655</v>
      </c>
      <c r="E19" s="76">
        <f t="shared" si="0"/>
        <v>1348496</v>
      </c>
      <c r="F19" s="77">
        <f t="shared" si="1"/>
        <v>4.3705485539242861E-2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577092</v>
      </c>
      <c r="D20" s="76">
        <v>453686</v>
      </c>
      <c r="E20" s="76">
        <f t="shared" si="0"/>
        <v>-123406</v>
      </c>
      <c r="F20" s="77">
        <f t="shared" si="1"/>
        <v>-0.21384112065320607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356454096</v>
      </c>
      <c r="D21" s="79">
        <f>SUM(D18:D20)</f>
        <v>345340358</v>
      </c>
      <c r="E21" s="79">
        <f t="shared" si="0"/>
        <v>-11113738</v>
      </c>
      <c r="F21" s="80">
        <f t="shared" si="1"/>
        <v>-3.1178595293796258E-2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140640103</v>
      </c>
      <c r="D24" s="76">
        <v>142839009</v>
      </c>
      <c r="E24" s="76">
        <f t="shared" ref="E24:E33" si="2">D24-C24</f>
        <v>2198906</v>
      </c>
      <c r="F24" s="77">
        <f t="shared" ref="F24:F33" si="3">IF(C24=0,0,E24/C24)</f>
        <v>1.5634985705321902E-2</v>
      </c>
    </row>
    <row r="25" spans="1:7" ht="23.1" customHeight="1" x14ac:dyDescent="0.2">
      <c r="A25" s="74">
        <v>2</v>
      </c>
      <c r="B25" s="75" t="s">
        <v>83</v>
      </c>
      <c r="C25" s="76">
        <v>51694855</v>
      </c>
      <c r="D25" s="76">
        <v>53188034</v>
      </c>
      <c r="E25" s="76">
        <f t="shared" si="2"/>
        <v>1493179</v>
      </c>
      <c r="F25" s="77">
        <f t="shared" si="3"/>
        <v>2.8884479896500337E-2</v>
      </c>
    </row>
    <row r="26" spans="1:7" ht="23.1" customHeight="1" x14ac:dyDescent="0.2">
      <c r="A26" s="74">
        <v>3</v>
      </c>
      <c r="B26" s="75" t="s">
        <v>84</v>
      </c>
      <c r="C26" s="76">
        <v>0</v>
      </c>
      <c r="D26" s="76">
        <v>0</v>
      </c>
      <c r="E26" s="76">
        <f t="shared" si="2"/>
        <v>0</v>
      </c>
      <c r="F26" s="77">
        <f t="shared" si="3"/>
        <v>0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56133288</v>
      </c>
      <c r="D27" s="76">
        <v>51763282</v>
      </c>
      <c r="E27" s="76">
        <f t="shared" si="2"/>
        <v>-4370006</v>
      </c>
      <c r="F27" s="77">
        <f t="shared" si="3"/>
        <v>-7.7850526055056671E-2</v>
      </c>
    </row>
    <row r="28" spans="1:7" ht="23.1" customHeight="1" x14ac:dyDescent="0.2">
      <c r="A28" s="74">
        <v>5</v>
      </c>
      <c r="B28" s="75" t="s">
        <v>86</v>
      </c>
      <c r="C28" s="76">
        <v>23641535</v>
      </c>
      <c r="D28" s="76">
        <v>23201919</v>
      </c>
      <c r="E28" s="76">
        <f t="shared" si="2"/>
        <v>-439616</v>
      </c>
      <c r="F28" s="77">
        <f t="shared" si="3"/>
        <v>-1.8595070074764602E-2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3553690</v>
      </c>
      <c r="D30" s="76">
        <v>3520300</v>
      </c>
      <c r="E30" s="76">
        <f t="shared" si="2"/>
        <v>-33390</v>
      </c>
      <c r="F30" s="77">
        <f t="shared" si="3"/>
        <v>-9.3958673941733802E-3</v>
      </c>
    </row>
    <row r="31" spans="1:7" ht="23.1" customHeight="1" x14ac:dyDescent="0.2">
      <c r="A31" s="74">
        <v>8</v>
      </c>
      <c r="B31" s="75" t="s">
        <v>89</v>
      </c>
      <c r="C31" s="76">
        <v>4818820</v>
      </c>
      <c r="D31" s="76">
        <v>4865367</v>
      </c>
      <c r="E31" s="76">
        <f t="shared" si="2"/>
        <v>46547</v>
      </c>
      <c r="F31" s="77">
        <f t="shared" si="3"/>
        <v>9.6594186958633022E-3</v>
      </c>
    </row>
    <row r="32" spans="1:7" ht="23.1" customHeight="1" x14ac:dyDescent="0.2">
      <c r="A32" s="74">
        <v>9</v>
      </c>
      <c r="B32" s="75" t="s">
        <v>90</v>
      </c>
      <c r="C32" s="76">
        <v>69645662</v>
      </c>
      <c r="D32" s="76">
        <v>65453189</v>
      </c>
      <c r="E32" s="76">
        <f t="shared" si="2"/>
        <v>-4192473</v>
      </c>
      <c r="F32" s="77">
        <f t="shared" si="3"/>
        <v>-6.0197187873668283E-2</v>
      </c>
    </row>
    <row r="33" spans="1:6" ht="23.1" customHeight="1" x14ac:dyDescent="0.25">
      <c r="A33" s="71"/>
      <c r="B33" s="78" t="s">
        <v>91</v>
      </c>
      <c r="C33" s="79">
        <f>SUM(C24:C32)</f>
        <v>350127953</v>
      </c>
      <c r="D33" s="79">
        <f>SUM(D24:D32)</f>
        <v>344831100</v>
      </c>
      <c r="E33" s="79">
        <f t="shared" si="2"/>
        <v>-5296853</v>
      </c>
      <c r="F33" s="80">
        <f t="shared" si="3"/>
        <v>-1.5128335097540755E-2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6326143</v>
      </c>
      <c r="D35" s="79">
        <f>+D21-D33</f>
        <v>509258</v>
      </c>
      <c r="E35" s="79">
        <f>D35-C35</f>
        <v>-5816885</v>
      </c>
      <c r="F35" s="80">
        <f>IF(C35=0,0,E35/C35)</f>
        <v>-0.91949944855814991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9936909</v>
      </c>
      <c r="D38" s="76">
        <v>1820798</v>
      </c>
      <c r="E38" s="76">
        <f>D38-C38</f>
        <v>-8116111</v>
      </c>
      <c r="F38" s="77">
        <f>IF(C38=0,0,E38/C38)</f>
        <v>-0.81676414667780495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9936909</v>
      </c>
      <c r="D41" s="79">
        <f>SUM(D38:D40)</f>
        <v>1820798</v>
      </c>
      <c r="E41" s="79">
        <f>D41-C41</f>
        <v>-8116111</v>
      </c>
      <c r="F41" s="80">
        <f>IF(C41=0,0,E41/C41)</f>
        <v>-0.81676414667780495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16263052</v>
      </c>
      <c r="D43" s="79">
        <f>D35+D41</f>
        <v>2330056</v>
      </c>
      <c r="E43" s="79">
        <f>D43-C43</f>
        <v>-13932996</v>
      </c>
      <c r="F43" s="80">
        <f>IF(C43=0,0,E43/C43)</f>
        <v>-0.85672701532283113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16263052</v>
      </c>
      <c r="D50" s="79">
        <f>D43+D48</f>
        <v>2330056</v>
      </c>
      <c r="E50" s="79">
        <f>D50-C50</f>
        <v>-13932996</v>
      </c>
      <c r="F50" s="80">
        <f>IF(C50=0,0,E50/C50)</f>
        <v>-0.85672701532283113</v>
      </c>
    </row>
    <row r="51" spans="1:6" ht="23.1" customHeight="1" x14ac:dyDescent="0.2">
      <c r="A51" s="85"/>
      <c r="B51" s="75" t="s">
        <v>104</v>
      </c>
      <c r="C51" s="76">
        <v>3370000</v>
      </c>
      <c r="D51" s="76">
        <v>3540000</v>
      </c>
      <c r="E51" s="76">
        <f>D51-C51</f>
        <v>170000</v>
      </c>
      <c r="F51" s="77">
        <f>IF(C51=0,0,E51/C51)</f>
        <v>5.0445103857566766E-2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1" orientation="portrait" horizontalDpi="1200" verticalDpi="1200" r:id="rId1"/>
  <headerFooter>
    <oddHeader>&amp;LOFFICE OF HEALTH CARE ACCESS&amp;CTWELVE MONTHS ACTUAL FILING&amp;RLAWRENCE AND MEMORIAL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142133356</v>
      </c>
      <c r="D14" s="113">
        <v>138200724</v>
      </c>
      <c r="E14" s="113">
        <f t="shared" ref="E14:E25" si="0">D14-C14</f>
        <v>-3932632</v>
      </c>
      <c r="F14" s="114">
        <f t="shared" ref="F14:F25" si="1">IF(C14=0,0,E14/C14)</f>
        <v>-2.7668607219828115E-2</v>
      </c>
    </row>
    <row r="15" spans="1:6" x14ac:dyDescent="0.2">
      <c r="A15" s="115">
        <v>2</v>
      </c>
      <c r="B15" s="116" t="s">
        <v>114</v>
      </c>
      <c r="C15" s="113">
        <v>26516182</v>
      </c>
      <c r="D15" s="113">
        <v>24281215</v>
      </c>
      <c r="E15" s="113">
        <f t="shared" si="0"/>
        <v>-2234967</v>
      </c>
      <c r="F15" s="114">
        <f t="shared" si="1"/>
        <v>-8.4286908273596861E-2</v>
      </c>
    </row>
    <row r="16" spans="1:6" x14ac:dyDescent="0.2">
      <c r="A16" s="115">
        <v>3</v>
      </c>
      <c r="B16" s="116" t="s">
        <v>115</v>
      </c>
      <c r="C16" s="113">
        <v>59068288</v>
      </c>
      <c r="D16" s="113">
        <v>55055803</v>
      </c>
      <c r="E16" s="113">
        <f t="shared" si="0"/>
        <v>-4012485</v>
      </c>
      <c r="F16" s="114">
        <f t="shared" si="1"/>
        <v>-6.7929597011513188E-2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11008953</v>
      </c>
      <c r="D18" s="113">
        <v>9964792</v>
      </c>
      <c r="E18" s="113">
        <f t="shared" si="0"/>
        <v>-1044161</v>
      </c>
      <c r="F18" s="114">
        <f t="shared" si="1"/>
        <v>-9.4846530819052463E-2</v>
      </c>
    </row>
    <row r="19" spans="1:6" x14ac:dyDescent="0.2">
      <c r="A19" s="115">
        <v>6</v>
      </c>
      <c r="B19" s="116" t="s">
        <v>118</v>
      </c>
      <c r="C19" s="113">
        <v>7857016</v>
      </c>
      <c r="D19" s="113">
        <v>7824423</v>
      </c>
      <c r="E19" s="113">
        <f t="shared" si="0"/>
        <v>-32593</v>
      </c>
      <c r="F19" s="114">
        <f t="shared" si="1"/>
        <v>-4.1482669756558975E-3</v>
      </c>
    </row>
    <row r="20" spans="1:6" x14ac:dyDescent="0.2">
      <c r="A20" s="115">
        <v>7</v>
      </c>
      <c r="B20" s="116" t="s">
        <v>119</v>
      </c>
      <c r="C20" s="113">
        <v>58048390</v>
      </c>
      <c r="D20" s="113">
        <v>59737797</v>
      </c>
      <c r="E20" s="113">
        <f t="shared" si="0"/>
        <v>1689407</v>
      </c>
      <c r="F20" s="114">
        <f t="shared" si="1"/>
        <v>2.9103425607497468E-2</v>
      </c>
    </row>
    <row r="21" spans="1:6" x14ac:dyDescent="0.2">
      <c r="A21" s="115">
        <v>8</v>
      </c>
      <c r="B21" s="116" t="s">
        <v>120</v>
      </c>
      <c r="C21" s="113">
        <v>3310870</v>
      </c>
      <c r="D21" s="113">
        <v>2074596</v>
      </c>
      <c r="E21" s="113">
        <f t="shared" si="0"/>
        <v>-1236274</v>
      </c>
      <c r="F21" s="114">
        <f t="shared" si="1"/>
        <v>-0.37339853271194579</v>
      </c>
    </row>
    <row r="22" spans="1:6" x14ac:dyDescent="0.2">
      <c r="A22" s="115">
        <v>9</v>
      </c>
      <c r="B22" s="116" t="s">
        <v>121</v>
      </c>
      <c r="C22" s="113">
        <v>1054326</v>
      </c>
      <c r="D22" s="113">
        <v>1261614</v>
      </c>
      <c r="E22" s="113">
        <f t="shared" si="0"/>
        <v>207288</v>
      </c>
      <c r="F22" s="114">
        <f t="shared" si="1"/>
        <v>0.1966071215164949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2140405</v>
      </c>
      <c r="D24" s="113">
        <v>3012299</v>
      </c>
      <c r="E24" s="113">
        <f t="shared" si="0"/>
        <v>871894</v>
      </c>
      <c r="F24" s="114">
        <f t="shared" si="1"/>
        <v>0.40735001086243022</v>
      </c>
    </row>
    <row r="25" spans="1:6" ht="15.75" x14ac:dyDescent="0.25">
      <c r="A25" s="117"/>
      <c r="B25" s="118" t="s">
        <v>124</v>
      </c>
      <c r="C25" s="119">
        <f>SUM(C14:C24)</f>
        <v>311137786</v>
      </c>
      <c r="D25" s="119">
        <f>SUM(D14:D24)</f>
        <v>301413263</v>
      </c>
      <c r="E25" s="119">
        <f t="shared" si="0"/>
        <v>-9724523</v>
      </c>
      <c r="F25" s="120">
        <f t="shared" si="1"/>
        <v>-3.1254715555506331E-2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162870608</v>
      </c>
      <c r="D27" s="113">
        <v>166567145</v>
      </c>
      <c r="E27" s="113">
        <f t="shared" ref="E27:E38" si="2">D27-C27</f>
        <v>3696537</v>
      </c>
      <c r="F27" s="114">
        <f t="shared" ref="F27:F38" si="3">IF(C27=0,0,E27/C27)</f>
        <v>2.2696157676282514E-2</v>
      </c>
    </row>
    <row r="28" spans="1:6" x14ac:dyDescent="0.2">
      <c r="A28" s="115">
        <v>2</v>
      </c>
      <c r="B28" s="116" t="s">
        <v>114</v>
      </c>
      <c r="C28" s="113">
        <v>35209167</v>
      </c>
      <c r="D28" s="113">
        <v>39755660</v>
      </c>
      <c r="E28" s="113">
        <f t="shared" si="2"/>
        <v>4546493</v>
      </c>
      <c r="F28" s="114">
        <f t="shared" si="3"/>
        <v>0.129128104621163</v>
      </c>
    </row>
    <row r="29" spans="1:6" x14ac:dyDescent="0.2">
      <c r="A29" s="115">
        <v>3</v>
      </c>
      <c r="B29" s="116" t="s">
        <v>115</v>
      </c>
      <c r="C29" s="113">
        <v>93379302</v>
      </c>
      <c r="D29" s="113">
        <v>100608488</v>
      </c>
      <c r="E29" s="113">
        <f t="shared" si="2"/>
        <v>7229186</v>
      </c>
      <c r="F29" s="114">
        <f t="shared" si="3"/>
        <v>7.7417434540258179E-2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22841698</v>
      </c>
      <c r="D31" s="113">
        <v>24483630</v>
      </c>
      <c r="E31" s="113">
        <f t="shared" si="2"/>
        <v>1641932</v>
      </c>
      <c r="F31" s="114">
        <f t="shared" si="3"/>
        <v>7.1883097307389315E-2</v>
      </c>
    </row>
    <row r="32" spans="1:6" x14ac:dyDescent="0.2">
      <c r="A32" s="115">
        <v>6</v>
      </c>
      <c r="B32" s="116" t="s">
        <v>118</v>
      </c>
      <c r="C32" s="113">
        <v>18888687</v>
      </c>
      <c r="D32" s="113">
        <v>18389881</v>
      </c>
      <c r="E32" s="113">
        <f t="shared" si="2"/>
        <v>-498806</v>
      </c>
      <c r="F32" s="114">
        <f t="shared" si="3"/>
        <v>-2.640765872185822E-2</v>
      </c>
    </row>
    <row r="33" spans="1:6" x14ac:dyDescent="0.2">
      <c r="A33" s="115">
        <v>7</v>
      </c>
      <c r="B33" s="116" t="s">
        <v>119</v>
      </c>
      <c r="C33" s="113">
        <v>175015092</v>
      </c>
      <c r="D33" s="113">
        <v>173589873</v>
      </c>
      <c r="E33" s="113">
        <f t="shared" si="2"/>
        <v>-1425219</v>
      </c>
      <c r="F33" s="114">
        <f t="shared" si="3"/>
        <v>-8.1434062840706339E-3</v>
      </c>
    </row>
    <row r="34" spans="1:6" x14ac:dyDescent="0.2">
      <c r="A34" s="115">
        <v>8</v>
      </c>
      <c r="B34" s="116" t="s">
        <v>120</v>
      </c>
      <c r="C34" s="113">
        <v>8514808</v>
      </c>
      <c r="D34" s="113">
        <v>8550940</v>
      </c>
      <c r="E34" s="113">
        <f t="shared" si="2"/>
        <v>36132</v>
      </c>
      <c r="F34" s="114">
        <f t="shared" si="3"/>
        <v>4.2434309734288786E-3</v>
      </c>
    </row>
    <row r="35" spans="1:6" x14ac:dyDescent="0.2">
      <c r="A35" s="115">
        <v>9</v>
      </c>
      <c r="B35" s="116" t="s">
        <v>121</v>
      </c>
      <c r="C35" s="113">
        <v>8932325</v>
      </c>
      <c r="D35" s="113">
        <v>10454134</v>
      </c>
      <c r="E35" s="113">
        <f t="shared" si="2"/>
        <v>1521809</v>
      </c>
      <c r="F35" s="114">
        <f t="shared" si="3"/>
        <v>0.1703709840383103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2483037</v>
      </c>
      <c r="D37" s="113">
        <v>2888948</v>
      </c>
      <c r="E37" s="113">
        <f t="shared" si="2"/>
        <v>405911</v>
      </c>
      <c r="F37" s="114">
        <f t="shared" si="3"/>
        <v>0.16347360107803469</v>
      </c>
    </row>
    <row r="38" spans="1:6" ht="15.75" x14ac:dyDescent="0.25">
      <c r="A38" s="117"/>
      <c r="B38" s="118" t="s">
        <v>126</v>
      </c>
      <c r="C38" s="119">
        <f>SUM(C27:C37)</f>
        <v>528134724</v>
      </c>
      <c r="D38" s="119">
        <f>SUM(D27:D37)</f>
        <v>545288699</v>
      </c>
      <c r="E38" s="119">
        <f t="shared" si="2"/>
        <v>17153975</v>
      </c>
      <c r="F38" s="120">
        <f t="shared" si="3"/>
        <v>3.2480301370981242E-2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305003964</v>
      </c>
      <c r="D41" s="119">
        <f t="shared" si="4"/>
        <v>304767869</v>
      </c>
      <c r="E41" s="123">
        <f t="shared" ref="E41:E52" si="5">D41-C41</f>
        <v>-236095</v>
      </c>
      <c r="F41" s="124">
        <f t="shared" ref="F41:F52" si="6">IF(C41=0,0,E41/C41)</f>
        <v>-7.7407190681626681E-4</v>
      </c>
    </row>
    <row r="42" spans="1:6" ht="15.75" x14ac:dyDescent="0.25">
      <c r="A42" s="121">
        <v>2</v>
      </c>
      <c r="B42" s="122" t="s">
        <v>114</v>
      </c>
      <c r="C42" s="119">
        <f t="shared" si="4"/>
        <v>61725349</v>
      </c>
      <c r="D42" s="119">
        <f t="shared" si="4"/>
        <v>64036875</v>
      </c>
      <c r="E42" s="123">
        <f t="shared" si="5"/>
        <v>2311526</v>
      </c>
      <c r="F42" s="124">
        <f t="shared" si="6"/>
        <v>3.7448569144582722E-2</v>
      </c>
    </row>
    <row r="43" spans="1:6" ht="15.75" x14ac:dyDescent="0.25">
      <c r="A43" s="121">
        <v>3</v>
      </c>
      <c r="B43" s="122" t="s">
        <v>115</v>
      </c>
      <c r="C43" s="119">
        <f t="shared" si="4"/>
        <v>152447590</v>
      </c>
      <c r="D43" s="119">
        <f t="shared" si="4"/>
        <v>155664291</v>
      </c>
      <c r="E43" s="123">
        <f t="shared" si="5"/>
        <v>3216701</v>
      </c>
      <c r="F43" s="124">
        <f t="shared" si="6"/>
        <v>2.1100372921605385E-2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33850651</v>
      </c>
      <c r="D45" s="119">
        <f t="shared" si="4"/>
        <v>34448422</v>
      </c>
      <c r="E45" s="123">
        <f t="shared" si="5"/>
        <v>597771</v>
      </c>
      <c r="F45" s="124">
        <f t="shared" si="6"/>
        <v>1.7659069540494215E-2</v>
      </c>
    </row>
    <row r="46" spans="1:6" ht="15.75" x14ac:dyDescent="0.25">
      <c r="A46" s="121">
        <v>6</v>
      </c>
      <c r="B46" s="122" t="s">
        <v>118</v>
      </c>
      <c r="C46" s="119">
        <f t="shared" si="4"/>
        <v>26745703</v>
      </c>
      <c r="D46" s="119">
        <f t="shared" si="4"/>
        <v>26214304</v>
      </c>
      <c r="E46" s="123">
        <f t="shared" si="5"/>
        <v>-531399</v>
      </c>
      <c r="F46" s="124">
        <f t="shared" si="6"/>
        <v>-1.9868574776292103E-2</v>
      </c>
    </row>
    <row r="47" spans="1:6" ht="15.75" x14ac:dyDescent="0.25">
      <c r="A47" s="121">
        <v>7</v>
      </c>
      <c r="B47" s="122" t="s">
        <v>119</v>
      </c>
      <c r="C47" s="119">
        <f t="shared" si="4"/>
        <v>233063482</v>
      </c>
      <c r="D47" s="119">
        <f t="shared" si="4"/>
        <v>233327670</v>
      </c>
      <c r="E47" s="123">
        <f t="shared" si="5"/>
        <v>264188</v>
      </c>
      <c r="F47" s="124">
        <f t="shared" si="6"/>
        <v>1.1335452372585766E-3</v>
      </c>
    </row>
    <row r="48" spans="1:6" ht="15.75" x14ac:dyDescent="0.25">
      <c r="A48" s="121">
        <v>8</v>
      </c>
      <c r="B48" s="122" t="s">
        <v>120</v>
      </c>
      <c r="C48" s="119">
        <f t="shared" si="4"/>
        <v>11825678</v>
      </c>
      <c r="D48" s="119">
        <f t="shared" si="4"/>
        <v>10625536</v>
      </c>
      <c r="E48" s="123">
        <f t="shared" si="5"/>
        <v>-1200142</v>
      </c>
      <c r="F48" s="124">
        <f t="shared" si="6"/>
        <v>-0.10148610506729508</v>
      </c>
    </row>
    <row r="49" spans="1:6" ht="15.75" x14ac:dyDescent="0.25">
      <c r="A49" s="121">
        <v>9</v>
      </c>
      <c r="B49" s="122" t="s">
        <v>121</v>
      </c>
      <c r="C49" s="119">
        <f t="shared" si="4"/>
        <v>9986651</v>
      </c>
      <c r="D49" s="119">
        <f t="shared" si="4"/>
        <v>11715748</v>
      </c>
      <c r="E49" s="123">
        <f t="shared" si="5"/>
        <v>1729097</v>
      </c>
      <c r="F49" s="124">
        <f t="shared" si="6"/>
        <v>0.17314082568821118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4623442</v>
      </c>
      <c r="D51" s="119">
        <f t="shared" si="4"/>
        <v>5901247</v>
      </c>
      <c r="E51" s="123">
        <f t="shared" si="5"/>
        <v>1277805</v>
      </c>
      <c r="F51" s="124">
        <f t="shared" si="6"/>
        <v>0.27637526327787826</v>
      </c>
    </row>
    <row r="52" spans="1:6" ht="18.75" customHeight="1" thickBot="1" x14ac:dyDescent="0.3">
      <c r="A52" s="125"/>
      <c r="B52" s="126" t="s">
        <v>128</v>
      </c>
      <c r="C52" s="127">
        <f>SUM(C41:C51)</f>
        <v>839272510</v>
      </c>
      <c r="D52" s="128">
        <f>SUM(D41:D51)</f>
        <v>846701962</v>
      </c>
      <c r="E52" s="127">
        <f t="shared" si="5"/>
        <v>7429452</v>
      </c>
      <c r="F52" s="129">
        <f t="shared" si="6"/>
        <v>8.8522522916900971E-3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59195122</v>
      </c>
      <c r="D57" s="113">
        <v>59050817</v>
      </c>
      <c r="E57" s="113">
        <f t="shared" ref="E57:E68" si="7">D57-C57</f>
        <v>-144305</v>
      </c>
      <c r="F57" s="114">
        <f t="shared" ref="F57:F68" si="8">IF(C57=0,0,E57/C57)</f>
        <v>-2.4377853296763201E-3</v>
      </c>
    </row>
    <row r="58" spans="1:6" x14ac:dyDescent="0.2">
      <c r="A58" s="115">
        <v>2</v>
      </c>
      <c r="B58" s="116" t="s">
        <v>114</v>
      </c>
      <c r="C58" s="113">
        <v>11158243</v>
      </c>
      <c r="D58" s="113">
        <v>10665590</v>
      </c>
      <c r="E58" s="113">
        <f t="shared" si="7"/>
        <v>-492653</v>
      </c>
      <c r="F58" s="114">
        <f t="shared" si="8"/>
        <v>-4.4151485139730329E-2</v>
      </c>
    </row>
    <row r="59" spans="1:6" x14ac:dyDescent="0.2">
      <c r="A59" s="115">
        <v>3</v>
      </c>
      <c r="B59" s="116" t="s">
        <v>115</v>
      </c>
      <c r="C59" s="113">
        <v>16753204</v>
      </c>
      <c r="D59" s="113">
        <v>17445509</v>
      </c>
      <c r="E59" s="113">
        <f t="shared" si="7"/>
        <v>692305</v>
      </c>
      <c r="F59" s="114">
        <f t="shared" si="8"/>
        <v>4.1323737238560455E-2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4609438</v>
      </c>
      <c r="D61" s="113">
        <v>5177610</v>
      </c>
      <c r="E61" s="113">
        <f t="shared" si="7"/>
        <v>568172</v>
      </c>
      <c r="F61" s="114">
        <f t="shared" si="8"/>
        <v>0.12326274916811984</v>
      </c>
    </row>
    <row r="62" spans="1:6" x14ac:dyDescent="0.2">
      <c r="A62" s="115">
        <v>6</v>
      </c>
      <c r="B62" s="116" t="s">
        <v>118</v>
      </c>
      <c r="C62" s="113">
        <v>2333081</v>
      </c>
      <c r="D62" s="113">
        <v>2868448</v>
      </c>
      <c r="E62" s="113">
        <f t="shared" si="7"/>
        <v>535367</v>
      </c>
      <c r="F62" s="114">
        <f t="shared" si="8"/>
        <v>0.22946781530516944</v>
      </c>
    </row>
    <row r="63" spans="1:6" x14ac:dyDescent="0.2">
      <c r="A63" s="115">
        <v>7</v>
      </c>
      <c r="B63" s="116" t="s">
        <v>119</v>
      </c>
      <c r="C63" s="113">
        <v>43494998</v>
      </c>
      <c r="D63" s="113">
        <v>46252314</v>
      </c>
      <c r="E63" s="113">
        <f t="shared" si="7"/>
        <v>2757316</v>
      </c>
      <c r="F63" s="114">
        <f t="shared" si="8"/>
        <v>6.3393864278370585E-2</v>
      </c>
    </row>
    <row r="64" spans="1:6" x14ac:dyDescent="0.2">
      <c r="A64" s="115">
        <v>8</v>
      </c>
      <c r="B64" s="116" t="s">
        <v>120</v>
      </c>
      <c r="C64" s="113">
        <v>2630438</v>
      </c>
      <c r="D64" s="113">
        <v>1607520</v>
      </c>
      <c r="E64" s="113">
        <f t="shared" si="7"/>
        <v>-1022918</v>
      </c>
      <c r="F64" s="114">
        <f t="shared" si="8"/>
        <v>-0.38887744170362504</v>
      </c>
    </row>
    <row r="65" spans="1:6" x14ac:dyDescent="0.2">
      <c r="A65" s="115">
        <v>9</v>
      </c>
      <c r="B65" s="116" t="s">
        <v>121</v>
      </c>
      <c r="C65" s="113">
        <v>0</v>
      </c>
      <c r="D65" s="113">
        <v>0</v>
      </c>
      <c r="E65" s="113">
        <f t="shared" si="7"/>
        <v>0</v>
      </c>
      <c r="F65" s="114">
        <f t="shared" si="8"/>
        <v>0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825171</v>
      </c>
      <c r="D67" s="113">
        <v>188341</v>
      </c>
      <c r="E67" s="113">
        <f t="shared" si="7"/>
        <v>-636830</v>
      </c>
      <c r="F67" s="114">
        <f t="shared" si="8"/>
        <v>-0.77175518771260743</v>
      </c>
    </row>
    <row r="68" spans="1:6" ht="15.75" x14ac:dyDescent="0.25">
      <c r="A68" s="117"/>
      <c r="B68" s="118" t="s">
        <v>131</v>
      </c>
      <c r="C68" s="119">
        <f>SUM(C57:C67)</f>
        <v>140999695</v>
      </c>
      <c r="D68" s="119">
        <f>SUM(D57:D67)</f>
        <v>143256149</v>
      </c>
      <c r="E68" s="119">
        <f t="shared" si="7"/>
        <v>2256454</v>
      </c>
      <c r="F68" s="120">
        <f t="shared" si="8"/>
        <v>1.6003254475124927E-2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43097148</v>
      </c>
      <c r="D70" s="113">
        <v>38673369</v>
      </c>
      <c r="E70" s="113">
        <f t="shared" ref="E70:E81" si="9">D70-C70</f>
        <v>-4423779</v>
      </c>
      <c r="F70" s="114">
        <f t="shared" ref="F70:F81" si="10">IF(C70=0,0,E70/C70)</f>
        <v>-0.10264667629514602</v>
      </c>
    </row>
    <row r="71" spans="1:6" x14ac:dyDescent="0.2">
      <c r="A71" s="115">
        <v>2</v>
      </c>
      <c r="B71" s="116" t="s">
        <v>114</v>
      </c>
      <c r="C71" s="113">
        <v>8734817</v>
      </c>
      <c r="D71" s="113">
        <v>9186491</v>
      </c>
      <c r="E71" s="113">
        <f t="shared" si="9"/>
        <v>451674</v>
      </c>
      <c r="F71" s="114">
        <f t="shared" si="10"/>
        <v>5.1709612233433171E-2</v>
      </c>
    </row>
    <row r="72" spans="1:6" x14ac:dyDescent="0.2">
      <c r="A72" s="115">
        <v>3</v>
      </c>
      <c r="B72" s="116" t="s">
        <v>115</v>
      </c>
      <c r="C72" s="113">
        <v>23144138</v>
      </c>
      <c r="D72" s="113">
        <v>21600284</v>
      </c>
      <c r="E72" s="113">
        <f t="shared" si="9"/>
        <v>-1543854</v>
      </c>
      <c r="F72" s="114">
        <f t="shared" si="10"/>
        <v>-6.6706048849172958E-2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5268282</v>
      </c>
      <c r="D74" s="113">
        <v>5806504</v>
      </c>
      <c r="E74" s="113">
        <f t="shared" si="9"/>
        <v>538222</v>
      </c>
      <c r="F74" s="114">
        <f t="shared" si="10"/>
        <v>0.10216271642254533</v>
      </c>
    </row>
    <row r="75" spans="1:6" x14ac:dyDescent="0.2">
      <c r="A75" s="115">
        <v>6</v>
      </c>
      <c r="B75" s="116" t="s">
        <v>118</v>
      </c>
      <c r="C75" s="113">
        <v>5360924</v>
      </c>
      <c r="D75" s="113">
        <v>4382110</v>
      </c>
      <c r="E75" s="113">
        <f t="shared" si="9"/>
        <v>-978814</v>
      </c>
      <c r="F75" s="114">
        <f t="shared" si="10"/>
        <v>-0.182583077096411</v>
      </c>
    </row>
    <row r="76" spans="1:6" x14ac:dyDescent="0.2">
      <c r="A76" s="115">
        <v>7</v>
      </c>
      <c r="B76" s="116" t="s">
        <v>119</v>
      </c>
      <c r="C76" s="113">
        <v>104092886</v>
      </c>
      <c r="D76" s="113">
        <v>97956052</v>
      </c>
      <c r="E76" s="113">
        <f t="shared" si="9"/>
        <v>-6136834</v>
      </c>
      <c r="F76" s="114">
        <f t="shared" si="10"/>
        <v>-5.8955364154280439E-2</v>
      </c>
    </row>
    <row r="77" spans="1:6" x14ac:dyDescent="0.2">
      <c r="A77" s="115">
        <v>8</v>
      </c>
      <c r="B77" s="116" t="s">
        <v>120</v>
      </c>
      <c r="C77" s="113">
        <v>6088809</v>
      </c>
      <c r="D77" s="113">
        <v>3812110</v>
      </c>
      <c r="E77" s="113">
        <f t="shared" si="9"/>
        <v>-2276699</v>
      </c>
      <c r="F77" s="114">
        <f t="shared" si="10"/>
        <v>-0.37391532564086016</v>
      </c>
    </row>
    <row r="78" spans="1:6" x14ac:dyDescent="0.2">
      <c r="A78" s="115">
        <v>9</v>
      </c>
      <c r="B78" s="116" t="s">
        <v>121</v>
      </c>
      <c r="C78" s="113">
        <v>0</v>
      </c>
      <c r="D78" s="113">
        <v>0</v>
      </c>
      <c r="E78" s="113">
        <f t="shared" si="9"/>
        <v>0</v>
      </c>
      <c r="F78" s="114">
        <f t="shared" si="10"/>
        <v>0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1037064</v>
      </c>
      <c r="D80" s="113">
        <v>481050</v>
      </c>
      <c r="E80" s="113">
        <f t="shared" si="9"/>
        <v>-556014</v>
      </c>
      <c r="F80" s="114">
        <f t="shared" si="10"/>
        <v>-0.53614241744000368</v>
      </c>
    </row>
    <row r="81" spans="1:6" ht="15.75" x14ac:dyDescent="0.25">
      <c r="A81" s="117"/>
      <c r="B81" s="118" t="s">
        <v>133</v>
      </c>
      <c r="C81" s="119">
        <f>SUM(C70:C80)</f>
        <v>196824068</v>
      </c>
      <c r="D81" s="119">
        <f>SUM(D70:D80)</f>
        <v>181897970</v>
      </c>
      <c r="E81" s="119">
        <f t="shared" si="9"/>
        <v>-14926098</v>
      </c>
      <c r="F81" s="120">
        <f t="shared" si="10"/>
        <v>-7.5834719562853467E-2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102292270</v>
      </c>
      <c r="D84" s="119">
        <f t="shared" si="11"/>
        <v>97724186</v>
      </c>
      <c r="E84" s="119">
        <f t="shared" ref="E84:E95" si="12">D84-C84</f>
        <v>-4568084</v>
      </c>
      <c r="F84" s="120">
        <f t="shared" ref="F84:F95" si="13">IF(C84=0,0,E84/C84)</f>
        <v>-4.4657176930378024E-2</v>
      </c>
    </row>
    <row r="85" spans="1:6" ht="15.75" x14ac:dyDescent="0.25">
      <c r="A85" s="130">
        <v>2</v>
      </c>
      <c r="B85" s="122" t="s">
        <v>114</v>
      </c>
      <c r="C85" s="119">
        <f t="shared" si="11"/>
        <v>19893060</v>
      </c>
      <c r="D85" s="119">
        <f t="shared" si="11"/>
        <v>19852081</v>
      </c>
      <c r="E85" s="119">
        <f t="shared" si="12"/>
        <v>-40979</v>
      </c>
      <c r="F85" s="120">
        <f t="shared" si="13"/>
        <v>-2.0599646308813225E-3</v>
      </c>
    </row>
    <row r="86" spans="1:6" ht="15.75" x14ac:dyDescent="0.25">
      <c r="A86" s="130">
        <v>3</v>
      </c>
      <c r="B86" s="122" t="s">
        <v>115</v>
      </c>
      <c r="C86" s="119">
        <f t="shared" si="11"/>
        <v>39897342</v>
      </c>
      <c r="D86" s="119">
        <f t="shared" si="11"/>
        <v>39045793</v>
      </c>
      <c r="E86" s="119">
        <f t="shared" si="12"/>
        <v>-851549</v>
      </c>
      <c r="F86" s="120">
        <f t="shared" si="13"/>
        <v>-2.1343502030786912E-2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9877720</v>
      </c>
      <c r="D88" s="119">
        <f t="shared" si="11"/>
        <v>10984114</v>
      </c>
      <c r="E88" s="119">
        <f t="shared" si="12"/>
        <v>1106394</v>
      </c>
      <c r="F88" s="120">
        <f t="shared" si="13"/>
        <v>0.11200904662209497</v>
      </c>
    </row>
    <row r="89" spans="1:6" ht="15.75" x14ac:dyDescent="0.25">
      <c r="A89" s="130">
        <v>6</v>
      </c>
      <c r="B89" s="122" t="s">
        <v>118</v>
      </c>
      <c r="C89" s="119">
        <f t="shared" si="11"/>
        <v>7694005</v>
      </c>
      <c r="D89" s="119">
        <f t="shared" si="11"/>
        <v>7250558</v>
      </c>
      <c r="E89" s="119">
        <f t="shared" si="12"/>
        <v>-443447</v>
      </c>
      <c r="F89" s="120">
        <f t="shared" si="13"/>
        <v>-5.7635392750589584E-2</v>
      </c>
    </row>
    <row r="90" spans="1:6" ht="15.75" x14ac:dyDescent="0.25">
      <c r="A90" s="130">
        <v>7</v>
      </c>
      <c r="B90" s="122" t="s">
        <v>119</v>
      </c>
      <c r="C90" s="119">
        <f t="shared" si="11"/>
        <v>147587884</v>
      </c>
      <c r="D90" s="119">
        <f t="shared" si="11"/>
        <v>144208366</v>
      </c>
      <c r="E90" s="119">
        <f t="shared" si="12"/>
        <v>-3379518</v>
      </c>
      <c r="F90" s="120">
        <f t="shared" si="13"/>
        <v>-2.2898343064529605E-2</v>
      </c>
    </row>
    <row r="91" spans="1:6" ht="15.75" x14ac:dyDescent="0.25">
      <c r="A91" s="130">
        <v>8</v>
      </c>
      <c r="B91" s="122" t="s">
        <v>120</v>
      </c>
      <c r="C91" s="119">
        <f t="shared" si="11"/>
        <v>8719247</v>
      </c>
      <c r="D91" s="119">
        <f t="shared" si="11"/>
        <v>5419630</v>
      </c>
      <c r="E91" s="119">
        <f t="shared" si="12"/>
        <v>-3299617</v>
      </c>
      <c r="F91" s="120">
        <f t="shared" si="13"/>
        <v>-0.37842912352408414</v>
      </c>
    </row>
    <row r="92" spans="1:6" ht="15.75" x14ac:dyDescent="0.25">
      <c r="A92" s="130">
        <v>9</v>
      </c>
      <c r="B92" s="122" t="s">
        <v>121</v>
      </c>
      <c r="C92" s="119">
        <f t="shared" si="11"/>
        <v>0</v>
      </c>
      <c r="D92" s="119">
        <f t="shared" si="11"/>
        <v>0</v>
      </c>
      <c r="E92" s="119">
        <f t="shared" si="12"/>
        <v>0</v>
      </c>
      <c r="F92" s="120">
        <f t="shared" si="13"/>
        <v>0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1862235</v>
      </c>
      <c r="D94" s="119">
        <f t="shared" si="11"/>
        <v>669391</v>
      </c>
      <c r="E94" s="119">
        <f t="shared" si="12"/>
        <v>-1192844</v>
      </c>
      <c r="F94" s="120">
        <f t="shared" si="13"/>
        <v>-0.64054429220801889</v>
      </c>
    </row>
    <row r="95" spans="1:6" ht="18.75" customHeight="1" thickBot="1" x14ac:dyDescent="0.3">
      <c r="A95" s="131"/>
      <c r="B95" s="132" t="s">
        <v>134</v>
      </c>
      <c r="C95" s="128">
        <f>SUM(C84:C94)</f>
        <v>337823763</v>
      </c>
      <c r="D95" s="128">
        <f>SUM(D84:D94)</f>
        <v>325154119</v>
      </c>
      <c r="E95" s="128">
        <f t="shared" si="12"/>
        <v>-12669644</v>
      </c>
      <c r="F95" s="129">
        <f t="shared" si="13"/>
        <v>-3.7503708701510145E-2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5595</v>
      </c>
      <c r="D100" s="133">
        <v>5304</v>
      </c>
      <c r="E100" s="133">
        <f t="shared" ref="E100:E111" si="14">D100-C100</f>
        <v>-291</v>
      </c>
      <c r="F100" s="114">
        <f t="shared" ref="F100:F111" si="15">IF(C100=0,0,E100/C100)</f>
        <v>-5.201072386058981E-2</v>
      </c>
    </row>
    <row r="101" spans="1:6" x14ac:dyDescent="0.2">
      <c r="A101" s="115">
        <v>2</v>
      </c>
      <c r="B101" s="116" t="s">
        <v>114</v>
      </c>
      <c r="C101" s="133">
        <v>932</v>
      </c>
      <c r="D101" s="133">
        <v>901</v>
      </c>
      <c r="E101" s="133">
        <f t="shared" si="14"/>
        <v>-31</v>
      </c>
      <c r="F101" s="114">
        <f t="shared" si="15"/>
        <v>-3.3261802575107295E-2</v>
      </c>
    </row>
    <row r="102" spans="1:6" x14ac:dyDescent="0.2">
      <c r="A102" s="115">
        <v>3</v>
      </c>
      <c r="B102" s="116" t="s">
        <v>115</v>
      </c>
      <c r="C102" s="133">
        <v>3087</v>
      </c>
      <c r="D102" s="133">
        <v>2975</v>
      </c>
      <c r="E102" s="133">
        <f t="shared" si="14"/>
        <v>-112</v>
      </c>
      <c r="F102" s="114">
        <f t="shared" si="15"/>
        <v>-3.6281179138321996E-2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812</v>
      </c>
      <c r="D104" s="133">
        <v>739</v>
      </c>
      <c r="E104" s="133">
        <f t="shared" si="14"/>
        <v>-73</v>
      </c>
      <c r="F104" s="114">
        <f t="shared" si="15"/>
        <v>-8.9901477832512317E-2</v>
      </c>
    </row>
    <row r="105" spans="1:6" x14ac:dyDescent="0.2">
      <c r="A105" s="115">
        <v>6</v>
      </c>
      <c r="B105" s="116" t="s">
        <v>118</v>
      </c>
      <c r="C105" s="133">
        <v>427</v>
      </c>
      <c r="D105" s="133">
        <v>407</v>
      </c>
      <c r="E105" s="133">
        <f t="shared" si="14"/>
        <v>-20</v>
      </c>
      <c r="F105" s="114">
        <f t="shared" si="15"/>
        <v>-4.6838407494145202E-2</v>
      </c>
    </row>
    <row r="106" spans="1:6" x14ac:dyDescent="0.2">
      <c r="A106" s="115">
        <v>7</v>
      </c>
      <c r="B106" s="116" t="s">
        <v>119</v>
      </c>
      <c r="C106" s="133">
        <v>2938</v>
      </c>
      <c r="D106" s="133">
        <v>2938</v>
      </c>
      <c r="E106" s="133">
        <f t="shared" si="14"/>
        <v>0</v>
      </c>
      <c r="F106" s="114">
        <f t="shared" si="15"/>
        <v>0</v>
      </c>
    </row>
    <row r="107" spans="1:6" x14ac:dyDescent="0.2">
      <c r="A107" s="115">
        <v>8</v>
      </c>
      <c r="B107" s="116" t="s">
        <v>120</v>
      </c>
      <c r="C107" s="133">
        <v>97</v>
      </c>
      <c r="D107" s="133">
        <v>65</v>
      </c>
      <c r="E107" s="133">
        <f t="shared" si="14"/>
        <v>-32</v>
      </c>
      <c r="F107" s="114">
        <f t="shared" si="15"/>
        <v>-0.32989690721649484</v>
      </c>
    </row>
    <row r="108" spans="1:6" x14ac:dyDescent="0.2">
      <c r="A108" s="115">
        <v>9</v>
      </c>
      <c r="B108" s="116" t="s">
        <v>121</v>
      </c>
      <c r="C108" s="133">
        <v>59</v>
      </c>
      <c r="D108" s="133">
        <v>70</v>
      </c>
      <c r="E108" s="133">
        <f t="shared" si="14"/>
        <v>11</v>
      </c>
      <c r="F108" s="114">
        <f t="shared" si="15"/>
        <v>0.1864406779661017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123</v>
      </c>
      <c r="D110" s="133">
        <v>83</v>
      </c>
      <c r="E110" s="133">
        <f t="shared" si="14"/>
        <v>-40</v>
      </c>
      <c r="F110" s="114">
        <f t="shared" si="15"/>
        <v>-0.32520325203252032</v>
      </c>
    </row>
    <row r="111" spans="1:6" ht="15.75" x14ac:dyDescent="0.25">
      <c r="A111" s="117"/>
      <c r="B111" s="118" t="s">
        <v>138</v>
      </c>
      <c r="C111" s="134">
        <f>SUM(C100:C110)</f>
        <v>14070</v>
      </c>
      <c r="D111" s="134">
        <f>SUM(D100:D110)</f>
        <v>13482</v>
      </c>
      <c r="E111" s="134">
        <f t="shared" si="14"/>
        <v>-588</v>
      </c>
      <c r="F111" s="120">
        <f t="shared" si="15"/>
        <v>-4.1791044776119404E-2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27855</v>
      </c>
      <c r="D113" s="133">
        <v>27475</v>
      </c>
      <c r="E113" s="133">
        <f t="shared" ref="E113:E124" si="16">D113-C113</f>
        <v>-380</v>
      </c>
      <c r="F113" s="114">
        <f t="shared" ref="F113:F124" si="17">IF(C113=0,0,E113/C113)</f>
        <v>-1.3642075031412673E-2</v>
      </c>
    </row>
    <row r="114" spans="1:6" x14ac:dyDescent="0.2">
      <c r="A114" s="115">
        <v>2</v>
      </c>
      <c r="B114" s="116" t="s">
        <v>114</v>
      </c>
      <c r="C114" s="133">
        <v>4710</v>
      </c>
      <c r="D114" s="133">
        <v>4406</v>
      </c>
      <c r="E114" s="133">
        <f t="shared" si="16"/>
        <v>-304</v>
      </c>
      <c r="F114" s="114">
        <f t="shared" si="17"/>
        <v>-6.4543524416135881E-2</v>
      </c>
    </row>
    <row r="115" spans="1:6" x14ac:dyDescent="0.2">
      <c r="A115" s="115">
        <v>3</v>
      </c>
      <c r="B115" s="116" t="s">
        <v>115</v>
      </c>
      <c r="C115" s="133">
        <v>13835</v>
      </c>
      <c r="D115" s="133">
        <v>13229</v>
      </c>
      <c r="E115" s="133">
        <f t="shared" si="16"/>
        <v>-606</v>
      </c>
      <c r="F115" s="114">
        <f t="shared" si="17"/>
        <v>-4.3801951572099748E-2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2528</v>
      </c>
      <c r="D117" s="133">
        <v>2217</v>
      </c>
      <c r="E117" s="133">
        <f t="shared" si="16"/>
        <v>-311</v>
      </c>
      <c r="F117" s="114">
        <f t="shared" si="17"/>
        <v>-0.12302215189873418</v>
      </c>
    </row>
    <row r="118" spans="1:6" x14ac:dyDescent="0.2">
      <c r="A118" s="115">
        <v>6</v>
      </c>
      <c r="B118" s="116" t="s">
        <v>118</v>
      </c>
      <c r="C118" s="133">
        <v>1726</v>
      </c>
      <c r="D118" s="133">
        <v>1761</v>
      </c>
      <c r="E118" s="133">
        <f t="shared" si="16"/>
        <v>35</v>
      </c>
      <c r="F118" s="114">
        <f t="shared" si="17"/>
        <v>2.0278099652375436E-2</v>
      </c>
    </row>
    <row r="119" spans="1:6" x14ac:dyDescent="0.2">
      <c r="A119" s="115">
        <v>7</v>
      </c>
      <c r="B119" s="116" t="s">
        <v>119</v>
      </c>
      <c r="C119" s="133">
        <v>10607</v>
      </c>
      <c r="D119" s="133">
        <v>10711</v>
      </c>
      <c r="E119" s="133">
        <f t="shared" si="16"/>
        <v>104</v>
      </c>
      <c r="F119" s="114">
        <f t="shared" si="17"/>
        <v>9.8048458565098522E-3</v>
      </c>
    </row>
    <row r="120" spans="1:6" x14ac:dyDescent="0.2">
      <c r="A120" s="115">
        <v>8</v>
      </c>
      <c r="B120" s="116" t="s">
        <v>120</v>
      </c>
      <c r="C120" s="133">
        <v>309</v>
      </c>
      <c r="D120" s="133">
        <v>182</v>
      </c>
      <c r="E120" s="133">
        <f t="shared" si="16"/>
        <v>-127</v>
      </c>
      <c r="F120" s="114">
        <f t="shared" si="17"/>
        <v>-0.4110032362459547</v>
      </c>
    </row>
    <row r="121" spans="1:6" x14ac:dyDescent="0.2">
      <c r="A121" s="115">
        <v>9</v>
      </c>
      <c r="B121" s="116" t="s">
        <v>121</v>
      </c>
      <c r="C121" s="133">
        <v>166</v>
      </c>
      <c r="D121" s="133">
        <v>236</v>
      </c>
      <c r="E121" s="133">
        <f t="shared" si="16"/>
        <v>70</v>
      </c>
      <c r="F121" s="114">
        <f t="shared" si="17"/>
        <v>0.42168674698795183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483</v>
      </c>
      <c r="D123" s="133">
        <v>417</v>
      </c>
      <c r="E123" s="133">
        <f t="shared" si="16"/>
        <v>-66</v>
      </c>
      <c r="F123" s="114">
        <f t="shared" si="17"/>
        <v>-0.13664596273291926</v>
      </c>
    </row>
    <row r="124" spans="1:6" ht="15.75" x14ac:dyDescent="0.25">
      <c r="A124" s="117"/>
      <c r="B124" s="118" t="s">
        <v>140</v>
      </c>
      <c r="C124" s="134">
        <f>SUM(C113:C123)</f>
        <v>62219</v>
      </c>
      <c r="D124" s="134">
        <f>SUM(D113:D123)</f>
        <v>60634</v>
      </c>
      <c r="E124" s="134">
        <f t="shared" si="16"/>
        <v>-1585</v>
      </c>
      <c r="F124" s="120">
        <f t="shared" si="17"/>
        <v>-2.5474533502627815E-2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125896</v>
      </c>
      <c r="D126" s="133">
        <v>117885</v>
      </c>
      <c r="E126" s="133">
        <f t="shared" ref="E126:E137" si="18">D126-C126</f>
        <v>-8011</v>
      </c>
      <c r="F126" s="114">
        <f t="shared" ref="F126:F137" si="19">IF(C126=0,0,E126/C126)</f>
        <v>-6.3631886636588933E-2</v>
      </c>
    </row>
    <row r="127" spans="1:6" x14ac:dyDescent="0.2">
      <c r="A127" s="115">
        <v>2</v>
      </c>
      <c r="B127" s="116" t="s">
        <v>114</v>
      </c>
      <c r="C127" s="133">
        <v>26350</v>
      </c>
      <c r="D127" s="133">
        <v>27459</v>
      </c>
      <c r="E127" s="133">
        <f t="shared" si="18"/>
        <v>1109</v>
      </c>
      <c r="F127" s="114">
        <f t="shared" si="19"/>
        <v>4.2087286527514228E-2</v>
      </c>
    </row>
    <row r="128" spans="1:6" x14ac:dyDescent="0.2">
      <c r="A128" s="115">
        <v>3</v>
      </c>
      <c r="B128" s="116" t="s">
        <v>115</v>
      </c>
      <c r="C128" s="133">
        <v>45871</v>
      </c>
      <c r="D128" s="133">
        <v>45685</v>
      </c>
      <c r="E128" s="133">
        <f t="shared" si="18"/>
        <v>-186</v>
      </c>
      <c r="F128" s="114">
        <f t="shared" si="19"/>
        <v>-4.0548494691635241E-3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10972</v>
      </c>
      <c r="D130" s="133">
        <v>10641</v>
      </c>
      <c r="E130" s="133">
        <f t="shared" si="18"/>
        <v>-331</v>
      </c>
      <c r="F130" s="114">
        <f t="shared" si="19"/>
        <v>-3.016769959897922E-2</v>
      </c>
    </row>
    <row r="131" spans="1:6" x14ac:dyDescent="0.2">
      <c r="A131" s="115">
        <v>6</v>
      </c>
      <c r="B131" s="116" t="s">
        <v>118</v>
      </c>
      <c r="C131" s="133">
        <v>60023</v>
      </c>
      <c r="D131" s="133">
        <v>58636</v>
      </c>
      <c r="E131" s="133">
        <f t="shared" si="18"/>
        <v>-1387</v>
      </c>
      <c r="F131" s="114">
        <f t="shared" si="19"/>
        <v>-2.3107808673341886E-2</v>
      </c>
    </row>
    <row r="132" spans="1:6" x14ac:dyDescent="0.2">
      <c r="A132" s="115">
        <v>7</v>
      </c>
      <c r="B132" s="116" t="s">
        <v>119</v>
      </c>
      <c r="C132" s="133">
        <v>71298</v>
      </c>
      <c r="D132" s="133">
        <v>67607</v>
      </c>
      <c r="E132" s="133">
        <f t="shared" si="18"/>
        <v>-3691</v>
      </c>
      <c r="F132" s="114">
        <f t="shared" si="19"/>
        <v>-5.1768633061235941E-2</v>
      </c>
    </row>
    <row r="133" spans="1:6" x14ac:dyDescent="0.2">
      <c r="A133" s="115">
        <v>8</v>
      </c>
      <c r="B133" s="116" t="s">
        <v>120</v>
      </c>
      <c r="C133" s="133">
        <v>4505</v>
      </c>
      <c r="D133" s="133">
        <v>4181</v>
      </c>
      <c r="E133" s="133">
        <f t="shared" si="18"/>
        <v>-324</v>
      </c>
      <c r="F133" s="114">
        <f t="shared" si="19"/>
        <v>-7.192008879023308E-2</v>
      </c>
    </row>
    <row r="134" spans="1:6" x14ac:dyDescent="0.2">
      <c r="A134" s="115">
        <v>9</v>
      </c>
      <c r="B134" s="116" t="s">
        <v>121</v>
      </c>
      <c r="C134" s="133">
        <v>2215</v>
      </c>
      <c r="D134" s="133">
        <v>2379</v>
      </c>
      <c r="E134" s="133">
        <f t="shared" si="18"/>
        <v>164</v>
      </c>
      <c r="F134" s="114">
        <f t="shared" si="19"/>
        <v>7.4040632054176075E-2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1048</v>
      </c>
      <c r="D136" s="133">
        <v>1274</v>
      </c>
      <c r="E136" s="133">
        <f t="shared" si="18"/>
        <v>226</v>
      </c>
      <c r="F136" s="114">
        <f t="shared" si="19"/>
        <v>0.21564885496183206</v>
      </c>
    </row>
    <row r="137" spans="1:6" ht="15.75" x14ac:dyDescent="0.25">
      <c r="A137" s="117"/>
      <c r="B137" s="118" t="s">
        <v>142</v>
      </c>
      <c r="C137" s="134">
        <f>SUM(C126:C136)</f>
        <v>348178</v>
      </c>
      <c r="D137" s="134">
        <f>SUM(D126:D136)</f>
        <v>335747</v>
      </c>
      <c r="E137" s="134">
        <f t="shared" si="18"/>
        <v>-12431</v>
      </c>
      <c r="F137" s="120">
        <f t="shared" si="19"/>
        <v>-3.5703002487233543E-2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20036472</v>
      </c>
      <c r="D142" s="113">
        <v>22119168</v>
      </c>
      <c r="E142" s="113">
        <f t="shared" ref="E142:E153" si="20">D142-C142</f>
        <v>2082696</v>
      </c>
      <c r="F142" s="114">
        <f t="shared" ref="F142:F153" si="21">IF(C142=0,0,E142/C142)</f>
        <v>0.10394524545039666</v>
      </c>
    </row>
    <row r="143" spans="1:6" x14ac:dyDescent="0.2">
      <c r="A143" s="115">
        <v>2</v>
      </c>
      <c r="B143" s="116" t="s">
        <v>114</v>
      </c>
      <c r="C143" s="113">
        <v>3535453</v>
      </c>
      <c r="D143" s="113">
        <v>3804018</v>
      </c>
      <c r="E143" s="113">
        <f t="shared" si="20"/>
        <v>268565</v>
      </c>
      <c r="F143" s="114">
        <f t="shared" si="21"/>
        <v>7.5963391395671223E-2</v>
      </c>
    </row>
    <row r="144" spans="1:6" x14ac:dyDescent="0.2">
      <c r="A144" s="115">
        <v>3</v>
      </c>
      <c r="B144" s="116" t="s">
        <v>115</v>
      </c>
      <c r="C144" s="113">
        <v>35391736</v>
      </c>
      <c r="D144" s="113">
        <v>39280702</v>
      </c>
      <c r="E144" s="113">
        <f t="shared" si="20"/>
        <v>3888966</v>
      </c>
      <c r="F144" s="114">
        <f t="shared" si="21"/>
        <v>0.10988344849769449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6817553</v>
      </c>
      <c r="D146" s="113">
        <v>7558778</v>
      </c>
      <c r="E146" s="113">
        <f t="shared" si="20"/>
        <v>741225</v>
      </c>
      <c r="F146" s="114">
        <f t="shared" si="21"/>
        <v>0.10872302716238509</v>
      </c>
    </row>
    <row r="147" spans="1:6" x14ac:dyDescent="0.2">
      <c r="A147" s="115">
        <v>6</v>
      </c>
      <c r="B147" s="116" t="s">
        <v>118</v>
      </c>
      <c r="C147" s="113">
        <v>2452599</v>
      </c>
      <c r="D147" s="113">
        <v>2730106</v>
      </c>
      <c r="E147" s="113">
        <f t="shared" si="20"/>
        <v>277507</v>
      </c>
      <c r="F147" s="114">
        <f t="shared" si="21"/>
        <v>0.11314813387757232</v>
      </c>
    </row>
    <row r="148" spans="1:6" x14ac:dyDescent="0.2">
      <c r="A148" s="115">
        <v>7</v>
      </c>
      <c r="B148" s="116" t="s">
        <v>119</v>
      </c>
      <c r="C148" s="113">
        <v>26684339</v>
      </c>
      <c r="D148" s="113">
        <v>29041672</v>
      </c>
      <c r="E148" s="113">
        <f t="shared" si="20"/>
        <v>2357333</v>
      </c>
      <c r="F148" s="114">
        <f t="shared" si="21"/>
        <v>8.8341442521772784E-2</v>
      </c>
    </row>
    <row r="149" spans="1:6" x14ac:dyDescent="0.2">
      <c r="A149" s="115">
        <v>8</v>
      </c>
      <c r="B149" s="116" t="s">
        <v>120</v>
      </c>
      <c r="C149" s="113">
        <v>1684827</v>
      </c>
      <c r="D149" s="113">
        <v>1852012</v>
      </c>
      <c r="E149" s="113">
        <f t="shared" si="20"/>
        <v>167185</v>
      </c>
      <c r="F149" s="114">
        <f t="shared" si="21"/>
        <v>9.9229772552315465E-2</v>
      </c>
    </row>
    <row r="150" spans="1:6" x14ac:dyDescent="0.2">
      <c r="A150" s="115">
        <v>9</v>
      </c>
      <c r="B150" s="116" t="s">
        <v>121</v>
      </c>
      <c r="C150" s="113">
        <v>3246970</v>
      </c>
      <c r="D150" s="113">
        <v>3994882</v>
      </c>
      <c r="E150" s="113">
        <f t="shared" si="20"/>
        <v>747912</v>
      </c>
      <c r="F150" s="114">
        <f t="shared" si="21"/>
        <v>0.23034151840023159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1184517</v>
      </c>
      <c r="D152" s="113">
        <v>1271919</v>
      </c>
      <c r="E152" s="113">
        <f t="shared" si="20"/>
        <v>87402</v>
      </c>
      <c r="F152" s="114">
        <f t="shared" si="21"/>
        <v>7.3787037248093532E-2</v>
      </c>
    </row>
    <row r="153" spans="1:6" ht="33.75" customHeight="1" x14ac:dyDescent="0.25">
      <c r="A153" s="117"/>
      <c r="B153" s="118" t="s">
        <v>146</v>
      </c>
      <c r="C153" s="119">
        <f>SUM(C142:C152)</f>
        <v>101034466</v>
      </c>
      <c r="D153" s="119">
        <f>SUM(D142:D152)</f>
        <v>111653257</v>
      </c>
      <c r="E153" s="119">
        <f t="shared" si="20"/>
        <v>10618791</v>
      </c>
      <c r="F153" s="120">
        <f t="shared" si="21"/>
        <v>0.10510067920782597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4005943</v>
      </c>
      <c r="D155" s="113">
        <v>4112316</v>
      </c>
      <c r="E155" s="113">
        <f t="shared" ref="E155:E166" si="22">D155-C155</f>
        <v>106373</v>
      </c>
      <c r="F155" s="114">
        <f t="shared" ref="F155:F166" si="23">IF(C155=0,0,E155/C155)</f>
        <v>2.6553797695074544E-2</v>
      </c>
    </row>
    <row r="156" spans="1:6" x14ac:dyDescent="0.2">
      <c r="A156" s="115">
        <v>2</v>
      </c>
      <c r="B156" s="116" t="s">
        <v>114</v>
      </c>
      <c r="C156" s="113">
        <v>695379</v>
      </c>
      <c r="D156" s="113">
        <v>672958</v>
      </c>
      <c r="E156" s="113">
        <f t="shared" si="22"/>
        <v>-22421</v>
      </c>
      <c r="F156" s="114">
        <f t="shared" si="23"/>
        <v>-3.2242848863713168E-2</v>
      </c>
    </row>
    <row r="157" spans="1:6" x14ac:dyDescent="0.2">
      <c r="A157" s="115">
        <v>3</v>
      </c>
      <c r="B157" s="116" t="s">
        <v>115</v>
      </c>
      <c r="C157" s="113">
        <v>7004849</v>
      </c>
      <c r="D157" s="113">
        <v>7429069</v>
      </c>
      <c r="E157" s="113">
        <f t="shared" si="22"/>
        <v>424220</v>
      </c>
      <c r="F157" s="114">
        <f t="shared" si="23"/>
        <v>6.0560905738296429E-2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1701437</v>
      </c>
      <c r="D159" s="113">
        <v>1697853</v>
      </c>
      <c r="E159" s="113">
        <f t="shared" si="22"/>
        <v>-3584</v>
      </c>
      <c r="F159" s="114">
        <f t="shared" si="23"/>
        <v>-2.1064547203334593E-3</v>
      </c>
    </row>
    <row r="160" spans="1:6" x14ac:dyDescent="0.2">
      <c r="A160" s="115">
        <v>6</v>
      </c>
      <c r="B160" s="116" t="s">
        <v>118</v>
      </c>
      <c r="C160" s="113">
        <v>1589547</v>
      </c>
      <c r="D160" s="113">
        <v>1678541</v>
      </c>
      <c r="E160" s="113">
        <f t="shared" si="22"/>
        <v>88994</v>
      </c>
      <c r="F160" s="114">
        <f t="shared" si="23"/>
        <v>5.5987020201352967E-2</v>
      </c>
    </row>
    <row r="161" spans="1:6" x14ac:dyDescent="0.2">
      <c r="A161" s="115">
        <v>7</v>
      </c>
      <c r="B161" s="116" t="s">
        <v>119</v>
      </c>
      <c r="C161" s="113">
        <v>14957591</v>
      </c>
      <c r="D161" s="113">
        <v>16595801</v>
      </c>
      <c r="E161" s="113">
        <f t="shared" si="22"/>
        <v>1638210</v>
      </c>
      <c r="F161" s="114">
        <f t="shared" si="23"/>
        <v>0.10952365257212876</v>
      </c>
    </row>
    <row r="162" spans="1:6" x14ac:dyDescent="0.2">
      <c r="A162" s="115">
        <v>8</v>
      </c>
      <c r="B162" s="116" t="s">
        <v>120</v>
      </c>
      <c r="C162" s="113">
        <v>1142281</v>
      </c>
      <c r="D162" s="113">
        <v>1066435</v>
      </c>
      <c r="E162" s="113">
        <f t="shared" si="22"/>
        <v>-75846</v>
      </c>
      <c r="F162" s="114">
        <f t="shared" si="23"/>
        <v>-6.6398723256361619E-2</v>
      </c>
    </row>
    <row r="163" spans="1:6" x14ac:dyDescent="0.2">
      <c r="A163" s="115">
        <v>9</v>
      </c>
      <c r="B163" s="116" t="s">
        <v>121</v>
      </c>
      <c r="C163" s="113">
        <v>0</v>
      </c>
      <c r="D163" s="113">
        <v>0</v>
      </c>
      <c r="E163" s="113">
        <f t="shared" si="22"/>
        <v>0</v>
      </c>
      <c r="F163" s="114">
        <f t="shared" si="23"/>
        <v>0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225624</v>
      </c>
      <c r="D165" s="113">
        <v>299023</v>
      </c>
      <c r="E165" s="113">
        <f t="shared" si="22"/>
        <v>73399</v>
      </c>
      <c r="F165" s="114">
        <f t="shared" si="23"/>
        <v>0.32531556926568095</v>
      </c>
    </row>
    <row r="166" spans="1:6" ht="33.75" customHeight="1" x14ac:dyDescent="0.25">
      <c r="A166" s="117"/>
      <c r="B166" s="118" t="s">
        <v>148</v>
      </c>
      <c r="C166" s="119">
        <f>SUM(C155:C165)</f>
        <v>31322651</v>
      </c>
      <c r="D166" s="119">
        <f>SUM(D155:D165)</f>
        <v>33551996</v>
      </c>
      <c r="E166" s="119">
        <f t="shared" si="22"/>
        <v>2229345</v>
      </c>
      <c r="F166" s="120">
        <f t="shared" si="23"/>
        <v>7.1173573399007636E-2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12257</v>
      </c>
      <c r="D168" s="133">
        <v>11887</v>
      </c>
      <c r="E168" s="133">
        <f t="shared" ref="E168:E179" si="24">D168-C168</f>
        <v>-370</v>
      </c>
      <c r="F168" s="114">
        <f t="shared" ref="F168:F179" si="25">IF(C168=0,0,E168/C168)</f>
        <v>-3.0186832014359143E-2</v>
      </c>
    </row>
    <row r="169" spans="1:6" x14ac:dyDescent="0.2">
      <c r="A169" s="115">
        <v>2</v>
      </c>
      <c r="B169" s="116" t="s">
        <v>114</v>
      </c>
      <c r="C169" s="133">
        <v>2025</v>
      </c>
      <c r="D169" s="133">
        <v>2022</v>
      </c>
      <c r="E169" s="133">
        <f t="shared" si="24"/>
        <v>-3</v>
      </c>
      <c r="F169" s="114">
        <f t="shared" si="25"/>
        <v>-1.4814814814814814E-3</v>
      </c>
    </row>
    <row r="170" spans="1:6" x14ac:dyDescent="0.2">
      <c r="A170" s="115">
        <v>3</v>
      </c>
      <c r="B170" s="116" t="s">
        <v>115</v>
      </c>
      <c r="C170" s="133">
        <v>29360</v>
      </c>
      <c r="D170" s="133">
        <v>27791</v>
      </c>
      <c r="E170" s="133">
        <f t="shared" si="24"/>
        <v>-1569</v>
      </c>
      <c r="F170" s="114">
        <f t="shared" si="25"/>
        <v>-5.3440054495912805E-2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5611</v>
      </c>
      <c r="D172" s="133">
        <v>5587</v>
      </c>
      <c r="E172" s="133">
        <f t="shared" si="24"/>
        <v>-24</v>
      </c>
      <c r="F172" s="114">
        <f t="shared" si="25"/>
        <v>-4.2773124220281591E-3</v>
      </c>
    </row>
    <row r="173" spans="1:6" x14ac:dyDescent="0.2">
      <c r="A173" s="115">
        <v>6</v>
      </c>
      <c r="B173" s="116" t="s">
        <v>118</v>
      </c>
      <c r="C173" s="133">
        <v>1729</v>
      </c>
      <c r="D173" s="133">
        <v>1763</v>
      </c>
      <c r="E173" s="133">
        <f t="shared" si="24"/>
        <v>34</v>
      </c>
      <c r="F173" s="114">
        <f t="shared" si="25"/>
        <v>1.9664545980335454E-2</v>
      </c>
    </row>
    <row r="174" spans="1:6" x14ac:dyDescent="0.2">
      <c r="A174" s="115">
        <v>7</v>
      </c>
      <c r="B174" s="116" t="s">
        <v>119</v>
      </c>
      <c r="C174" s="133">
        <v>19622</v>
      </c>
      <c r="D174" s="133">
        <v>18631</v>
      </c>
      <c r="E174" s="133">
        <f t="shared" si="24"/>
        <v>-991</v>
      </c>
      <c r="F174" s="114">
        <f t="shared" si="25"/>
        <v>-5.0504535725206398E-2</v>
      </c>
    </row>
    <row r="175" spans="1:6" x14ac:dyDescent="0.2">
      <c r="A175" s="115">
        <v>8</v>
      </c>
      <c r="B175" s="116" t="s">
        <v>120</v>
      </c>
      <c r="C175" s="133">
        <v>1647</v>
      </c>
      <c r="D175" s="133">
        <v>1605</v>
      </c>
      <c r="E175" s="133">
        <f t="shared" si="24"/>
        <v>-42</v>
      </c>
      <c r="F175" s="114">
        <f t="shared" si="25"/>
        <v>-2.5500910746812388E-2</v>
      </c>
    </row>
    <row r="176" spans="1:6" x14ac:dyDescent="0.2">
      <c r="A176" s="115">
        <v>9</v>
      </c>
      <c r="B176" s="116" t="s">
        <v>121</v>
      </c>
      <c r="C176" s="133">
        <v>2595</v>
      </c>
      <c r="D176" s="133">
        <v>2783</v>
      </c>
      <c r="E176" s="133">
        <f t="shared" si="24"/>
        <v>188</v>
      </c>
      <c r="F176" s="114">
        <f t="shared" si="25"/>
        <v>7.2447013487475911E-2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795</v>
      </c>
      <c r="D178" s="133">
        <v>936</v>
      </c>
      <c r="E178" s="133">
        <f t="shared" si="24"/>
        <v>141</v>
      </c>
      <c r="F178" s="114">
        <f t="shared" si="25"/>
        <v>0.17735849056603772</v>
      </c>
    </row>
    <row r="179" spans="1:6" ht="33.75" customHeight="1" x14ac:dyDescent="0.25">
      <c r="A179" s="117"/>
      <c r="B179" s="118" t="s">
        <v>150</v>
      </c>
      <c r="C179" s="134">
        <f>SUM(C168:C178)</f>
        <v>75641</v>
      </c>
      <c r="D179" s="134">
        <f>SUM(D168:D178)</f>
        <v>73005</v>
      </c>
      <c r="E179" s="134">
        <f t="shared" si="24"/>
        <v>-2636</v>
      </c>
      <c r="F179" s="120">
        <f t="shared" si="25"/>
        <v>-3.4848825372483176E-2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FILING&amp;RLAWRENCE AND MEMORIAL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40670258</v>
      </c>
      <c r="D15" s="157">
        <v>42101513</v>
      </c>
      <c r="E15" s="157">
        <f>+D15-C15</f>
        <v>1431255</v>
      </c>
      <c r="F15" s="161">
        <f>IF(C15=0,0,E15/C15)</f>
        <v>3.5191687252143812E-2</v>
      </c>
    </row>
    <row r="16" spans="1:6" ht="15" customHeight="1" x14ac:dyDescent="0.2">
      <c r="A16" s="147">
        <v>2</v>
      </c>
      <c r="B16" s="160" t="s">
        <v>157</v>
      </c>
      <c r="C16" s="157">
        <v>389032</v>
      </c>
      <c r="D16" s="157">
        <v>600900</v>
      </c>
      <c r="E16" s="157">
        <f>+D16-C16</f>
        <v>211868</v>
      </c>
      <c r="F16" s="161">
        <f>IF(C16=0,0,E16/C16)</f>
        <v>0.54460301466203298</v>
      </c>
    </row>
    <row r="17" spans="1:6" ht="15" customHeight="1" x14ac:dyDescent="0.2">
      <c r="A17" s="147">
        <v>3</v>
      </c>
      <c r="B17" s="160" t="s">
        <v>158</v>
      </c>
      <c r="C17" s="157">
        <v>99580813</v>
      </c>
      <c r="D17" s="157">
        <v>100136596</v>
      </c>
      <c r="E17" s="157">
        <f>+D17-C17</f>
        <v>555783</v>
      </c>
      <c r="F17" s="161">
        <f>IF(C17=0,0,E17/C17)</f>
        <v>5.5812257728805647E-3</v>
      </c>
    </row>
    <row r="18" spans="1:6" ht="15.75" customHeight="1" x14ac:dyDescent="0.25">
      <c r="A18" s="147"/>
      <c r="B18" s="162" t="s">
        <v>159</v>
      </c>
      <c r="C18" s="158">
        <f>SUM(C15:C17)</f>
        <v>140640103</v>
      </c>
      <c r="D18" s="158">
        <f>SUM(D15:D17)</f>
        <v>142839009</v>
      </c>
      <c r="E18" s="158">
        <f>+D18-C18</f>
        <v>2198906</v>
      </c>
      <c r="F18" s="159">
        <f>IF(C18=0,0,E18/C18)</f>
        <v>1.5634985705321902E-2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14949101</v>
      </c>
      <c r="D21" s="157">
        <v>15677067</v>
      </c>
      <c r="E21" s="157">
        <f>+D21-C21</f>
        <v>727966</v>
      </c>
      <c r="F21" s="161">
        <f>IF(C21=0,0,E21/C21)</f>
        <v>4.8696306219350581E-2</v>
      </c>
    </row>
    <row r="22" spans="1:6" ht="15" customHeight="1" x14ac:dyDescent="0.2">
      <c r="A22" s="147">
        <v>2</v>
      </c>
      <c r="B22" s="160" t="s">
        <v>162</v>
      </c>
      <c r="C22" s="157">
        <v>142996</v>
      </c>
      <c r="D22" s="157">
        <v>223753</v>
      </c>
      <c r="E22" s="157">
        <f>+D22-C22</f>
        <v>80757</v>
      </c>
      <c r="F22" s="161">
        <f>IF(C22=0,0,E22/C22)</f>
        <v>0.56475006293882346</v>
      </c>
    </row>
    <row r="23" spans="1:6" ht="15" customHeight="1" x14ac:dyDescent="0.2">
      <c r="A23" s="147">
        <v>3</v>
      </c>
      <c r="B23" s="160" t="s">
        <v>163</v>
      </c>
      <c r="C23" s="157">
        <v>36602758</v>
      </c>
      <c r="D23" s="157">
        <v>37287214</v>
      </c>
      <c r="E23" s="157">
        <f>+D23-C23</f>
        <v>684456</v>
      </c>
      <c r="F23" s="161">
        <f>IF(C23=0,0,E23/C23)</f>
        <v>1.8699574496544767E-2</v>
      </c>
    </row>
    <row r="24" spans="1:6" ht="15.75" customHeight="1" x14ac:dyDescent="0.25">
      <c r="A24" s="147"/>
      <c r="B24" s="162" t="s">
        <v>164</v>
      </c>
      <c r="C24" s="158">
        <f>SUM(C21:C23)</f>
        <v>51694855</v>
      </c>
      <c r="D24" s="158">
        <f>SUM(D21:D23)</f>
        <v>53188034</v>
      </c>
      <c r="E24" s="158">
        <f>+D24-C24</f>
        <v>1493179</v>
      </c>
      <c r="F24" s="159">
        <f>IF(C24=0,0,E24/C24)</f>
        <v>2.8884479896500337E-2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182310</v>
      </c>
      <c r="D27" s="157">
        <v>262898</v>
      </c>
      <c r="E27" s="157">
        <f>+D27-C27</f>
        <v>80588</v>
      </c>
      <c r="F27" s="161">
        <f>IF(C27=0,0,E27/C27)</f>
        <v>0.44203828643519283</v>
      </c>
    </row>
    <row r="28" spans="1:6" ht="15" customHeight="1" x14ac:dyDescent="0.2">
      <c r="A28" s="147">
        <v>2</v>
      </c>
      <c r="B28" s="160" t="s">
        <v>167</v>
      </c>
      <c r="C28" s="157">
        <v>0</v>
      </c>
      <c r="D28" s="157">
        <v>0</v>
      </c>
      <c r="E28" s="157">
        <f>+D28-C28</f>
        <v>0</v>
      </c>
      <c r="F28" s="161">
        <f>IF(C28=0,0,E28/C28)</f>
        <v>0</v>
      </c>
    </row>
    <row r="29" spans="1:6" ht="15" customHeight="1" x14ac:dyDescent="0.2">
      <c r="A29" s="147">
        <v>3</v>
      </c>
      <c r="B29" s="160" t="s">
        <v>168</v>
      </c>
      <c r="C29" s="157">
        <v>1062834</v>
      </c>
      <c r="D29" s="157">
        <v>1846987</v>
      </c>
      <c r="E29" s="157">
        <f>+D29-C29</f>
        <v>784153</v>
      </c>
      <c r="F29" s="161">
        <f>IF(C29=0,0,E29/C29)</f>
        <v>0.73779442509366466</v>
      </c>
    </row>
    <row r="30" spans="1:6" ht="15.75" customHeight="1" x14ac:dyDescent="0.25">
      <c r="A30" s="147"/>
      <c r="B30" s="162" t="s">
        <v>169</v>
      </c>
      <c r="C30" s="158">
        <f>SUM(C27:C29)</f>
        <v>1245144</v>
      </c>
      <c r="D30" s="158">
        <f>SUM(D27:D29)</f>
        <v>2109885</v>
      </c>
      <c r="E30" s="158">
        <f>+D30-C30</f>
        <v>864741</v>
      </c>
      <c r="F30" s="159">
        <f>IF(C30=0,0,E30/C30)</f>
        <v>0.69449075769549551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30584247</v>
      </c>
      <c r="D33" s="157">
        <v>27076356</v>
      </c>
      <c r="E33" s="157">
        <f>+D33-C33</f>
        <v>-3507891</v>
      </c>
      <c r="F33" s="161">
        <f>IF(C33=0,0,E33/C33)</f>
        <v>-0.1146960067383709</v>
      </c>
    </row>
    <row r="34" spans="1:6" ht="15" customHeight="1" x14ac:dyDescent="0.2">
      <c r="A34" s="147">
        <v>2</v>
      </c>
      <c r="B34" s="160" t="s">
        <v>173</v>
      </c>
      <c r="C34" s="157">
        <v>25549041</v>
      </c>
      <c r="D34" s="157">
        <v>24686926</v>
      </c>
      <c r="E34" s="157">
        <f>+D34-C34</f>
        <v>-862115</v>
      </c>
      <c r="F34" s="161">
        <f>IF(C34=0,0,E34/C34)</f>
        <v>-3.374353659693137E-2</v>
      </c>
    </row>
    <row r="35" spans="1:6" ht="15.75" customHeight="1" x14ac:dyDescent="0.25">
      <c r="A35" s="147"/>
      <c r="B35" s="162" t="s">
        <v>174</v>
      </c>
      <c r="C35" s="158">
        <f>SUM(C33:C34)</f>
        <v>56133288</v>
      </c>
      <c r="D35" s="158">
        <f>SUM(D33:D34)</f>
        <v>51763282</v>
      </c>
      <c r="E35" s="158">
        <f>+D35-C35</f>
        <v>-4370006</v>
      </c>
      <c r="F35" s="159">
        <f>IF(C35=0,0,E35/C35)</f>
        <v>-7.7850526055056671E-2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4870793</v>
      </c>
      <c r="D38" s="157">
        <v>4795024</v>
      </c>
      <c r="E38" s="157">
        <f>+D38-C38</f>
        <v>-75769</v>
      </c>
      <c r="F38" s="161">
        <f>IF(C38=0,0,E38/C38)</f>
        <v>-1.5555783216408499E-2</v>
      </c>
    </row>
    <row r="39" spans="1:6" ht="15" customHeight="1" x14ac:dyDescent="0.2">
      <c r="A39" s="147">
        <v>2</v>
      </c>
      <c r="B39" s="160" t="s">
        <v>178</v>
      </c>
      <c r="C39" s="157">
        <v>17811015</v>
      </c>
      <c r="D39" s="157">
        <v>17504218</v>
      </c>
      <c r="E39" s="157">
        <f>+D39-C39</f>
        <v>-306797</v>
      </c>
      <c r="F39" s="161">
        <f>IF(C39=0,0,E39/C39)</f>
        <v>-1.7225127259732249E-2</v>
      </c>
    </row>
    <row r="40" spans="1:6" ht="15" customHeight="1" x14ac:dyDescent="0.2">
      <c r="A40" s="147">
        <v>3</v>
      </c>
      <c r="B40" s="160" t="s">
        <v>179</v>
      </c>
      <c r="C40" s="157">
        <v>959727</v>
      </c>
      <c r="D40" s="157">
        <v>902677</v>
      </c>
      <c r="E40" s="157">
        <f>+D40-C40</f>
        <v>-57050</v>
      </c>
      <c r="F40" s="161">
        <f>IF(C40=0,0,E40/C40)</f>
        <v>-5.9443987717340455E-2</v>
      </c>
    </row>
    <row r="41" spans="1:6" ht="15.75" customHeight="1" x14ac:dyDescent="0.25">
      <c r="A41" s="147"/>
      <c r="B41" s="162" t="s">
        <v>180</v>
      </c>
      <c r="C41" s="158">
        <f>SUM(C38:C40)</f>
        <v>23641535</v>
      </c>
      <c r="D41" s="158">
        <f>SUM(D38:D40)</f>
        <v>23201919</v>
      </c>
      <c r="E41" s="158">
        <f>+D41-C41</f>
        <v>-439616</v>
      </c>
      <c r="F41" s="159">
        <f>IF(C41=0,0,E41/C41)</f>
        <v>-1.8595070074764602E-2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3553690</v>
      </c>
      <c r="D47" s="157">
        <v>3520300</v>
      </c>
      <c r="E47" s="157">
        <f>+D47-C47</f>
        <v>-33390</v>
      </c>
      <c r="F47" s="161">
        <f>IF(C47=0,0,E47/C47)</f>
        <v>-9.3958673941733802E-3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4818820</v>
      </c>
      <c r="D50" s="157">
        <v>4865367</v>
      </c>
      <c r="E50" s="157">
        <f>+D50-C50</f>
        <v>46547</v>
      </c>
      <c r="F50" s="161">
        <f>IF(C50=0,0,E50/C50)</f>
        <v>9.6594186958633022E-3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179870</v>
      </c>
      <c r="D53" s="157">
        <v>232640</v>
      </c>
      <c r="E53" s="157">
        <f t="shared" ref="E53:E59" si="0">+D53-C53</f>
        <v>52770</v>
      </c>
      <c r="F53" s="161">
        <f t="shared" ref="F53:F59" si="1">IF(C53=0,0,E53/C53)</f>
        <v>0.29337855117584921</v>
      </c>
    </row>
    <row r="54" spans="1:6" ht="15" customHeight="1" x14ac:dyDescent="0.2">
      <c r="A54" s="147">
        <v>2</v>
      </c>
      <c r="B54" s="160" t="s">
        <v>189</v>
      </c>
      <c r="C54" s="157">
        <v>1083143</v>
      </c>
      <c r="D54" s="157">
        <v>729722</v>
      </c>
      <c r="E54" s="157">
        <f t="shared" si="0"/>
        <v>-353421</v>
      </c>
      <c r="F54" s="161">
        <f t="shared" si="1"/>
        <v>-0.32629209624213978</v>
      </c>
    </row>
    <row r="55" spans="1:6" ht="15" customHeight="1" x14ac:dyDescent="0.2">
      <c r="A55" s="147">
        <v>3</v>
      </c>
      <c r="B55" s="160" t="s">
        <v>190</v>
      </c>
      <c r="C55" s="157">
        <v>17093</v>
      </c>
      <c r="D55" s="157">
        <v>17818</v>
      </c>
      <c r="E55" s="157">
        <f t="shared" si="0"/>
        <v>725</v>
      </c>
      <c r="F55" s="161">
        <f t="shared" si="1"/>
        <v>4.2415023693909787E-2</v>
      </c>
    </row>
    <row r="56" spans="1:6" ht="15" customHeight="1" x14ac:dyDescent="0.2">
      <c r="A56" s="147">
        <v>4</v>
      </c>
      <c r="B56" s="160" t="s">
        <v>191</v>
      </c>
      <c r="C56" s="157">
        <v>3177410</v>
      </c>
      <c r="D56" s="157">
        <v>2855681</v>
      </c>
      <c r="E56" s="157">
        <f t="shared" si="0"/>
        <v>-321729</v>
      </c>
      <c r="F56" s="161">
        <f t="shared" si="1"/>
        <v>-0.10125511029423336</v>
      </c>
    </row>
    <row r="57" spans="1:6" ht="15" customHeight="1" x14ac:dyDescent="0.2">
      <c r="A57" s="147">
        <v>5</v>
      </c>
      <c r="B57" s="160" t="s">
        <v>192</v>
      </c>
      <c r="C57" s="157">
        <v>903759</v>
      </c>
      <c r="D57" s="157">
        <v>906796</v>
      </c>
      <c r="E57" s="157">
        <f t="shared" si="0"/>
        <v>3037</v>
      </c>
      <c r="F57" s="161">
        <f t="shared" si="1"/>
        <v>3.3604091356213327E-3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5361275</v>
      </c>
      <c r="D59" s="158">
        <f>SUM(D53:D58)</f>
        <v>4742657</v>
      </c>
      <c r="E59" s="158">
        <f t="shared" si="0"/>
        <v>-618618</v>
      </c>
      <c r="F59" s="159">
        <f t="shared" si="1"/>
        <v>-0.11538635865535717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744087</v>
      </c>
      <c r="D62" s="157">
        <v>791323</v>
      </c>
      <c r="E62" s="157">
        <f t="shared" ref="E62:E90" si="2">+D62-C62</f>
        <v>47236</v>
      </c>
      <c r="F62" s="161">
        <f t="shared" ref="F62:F90" si="3">IF(C62=0,0,E62/C62)</f>
        <v>6.3481824034017531E-2</v>
      </c>
    </row>
    <row r="63" spans="1:6" ht="15" customHeight="1" x14ac:dyDescent="0.2">
      <c r="A63" s="147">
        <v>2</v>
      </c>
      <c r="B63" s="160" t="s">
        <v>198</v>
      </c>
      <c r="C63" s="157">
        <v>938011</v>
      </c>
      <c r="D63" s="157">
        <v>1085131</v>
      </c>
      <c r="E63" s="157">
        <f t="shared" si="2"/>
        <v>147120</v>
      </c>
      <c r="F63" s="161">
        <f t="shared" si="3"/>
        <v>0.1568425103756779</v>
      </c>
    </row>
    <row r="64" spans="1:6" ht="15" customHeight="1" x14ac:dyDescent="0.2">
      <c r="A64" s="147">
        <v>3</v>
      </c>
      <c r="B64" s="160" t="s">
        <v>199</v>
      </c>
      <c r="C64" s="157">
        <v>6596975</v>
      </c>
      <c r="D64" s="157">
        <v>2318907</v>
      </c>
      <c r="E64" s="157">
        <f t="shared" si="2"/>
        <v>-4278068</v>
      </c>
      <c r="F64" s="161">
        <f t="shared" si="3"/>
        <v>-0.64848934549547332</v>
      </c>
    </row>
    <row r="65" spans="1:6" ht="15" customHeight="1" x14ac:dyDescent="0.2">
      <c r="A65" s="147">
        <v>4</v>
      </c>
      <c r="B65" s="160" t="s">
        <v>200</v>
      </c>
      <c r="C65" s="157">
        <v>385002</v>
      </c>
      <c r="D65" s="157">
        <v>378185</v>
      </c>
      <c r="E65" s="157">
        <f t="shared" si="2"/>
        <v>-6817</v>
      </c>
      <c r="F65" s="161">
        <f t="shared" si="3"/>
        <v>-1.7706401525186884E-2</v>
      </c>
    </row>
    <row r="66" spans="1:6" ht="15" customHeight="1" x14ac:dyDescent="0.2">
      <c r="A66" s="147">
        <v>5</v>
      </c>
      <c r="B66" s="160" t="s">
        <v>201</v>
      </c>
      <c r="C66" s="157">
        <v>1945609</v>
      </c>
      <c r="D66" s="157">
        <v>1415529</v>
      </c>
      <c r="E66" s="157">
        <f t="shared" si="2"/>
        <v>-530080</v>
      </c>
      <c r="F66" s="161">
        <f t="shared" si="3"/>
        <v>-0.2724493975922192</v>
      </c>
    </row>
    <row r="67" spans="1:6" ht="15" customHeight="1" x14ac:dyDescent="0.2">
      <c r="A67" s="147">
        <v>6</v>
      </c>
      <c r="B67" s="160" t="s">
        <v>202</v>
      </c>
      <c r="C67" s="157">
        <v>2702266</v>
      </c>
      <c r="D67" s="157">
        <v>1939428</v>
      </c>
      <c r="E67" s="157">
        <f t="shared" si="2"/>
        <v>-762838</v>
      </c>
      <c r="F67" s="161">
        <f t="shared" si="3"/>
        <v>-0.28229567333489747</v>
      </c>
    </row>
    <row r="68" spans="1:6" ht="15" customHeight="1" x14ac:dyDescent="0.2">
      <c r="A68" s="147">
        <v>7</v>
      </c>
      <c r="B68" s="160" t="s">
        <v>203</v>
      </c>
      <c r="C68" s="157">
        <v>11575820</v>
      </c>
      <c r="D68" s="157">
        <v>12252278</v>
      </c>
      <c r="E68" s="157">
        <f t="shared" si="2"/>
        <v>676458</v>
      </c>
      <c r="F68" s="161">
        <f t="shared" si="3"/>
        <v>5.8437156071880866E-2</v>
      </c>
    </row>
    <row r="69" spans="1:6" ht="15" customHeight="1" x14ac:dyDescent="0.2">
      <c r="A69" s="147">
        <v>8</v>
      </c>
      <c r="B69" s="160" t="s">
        <v>204</v>
      </c>
      <c r="C69" s="157">
        <v>1040315</v>
      </c>
      <c r="D69" s="157">
        <v>1111573</v>
      </c>
      <c r="E69" s="157">
        <f t="shared" si="2"/>
        <v>71258</v>
      </c>
      <c r="F69" s="161">
        <f t="shared" si="3"/>
        <v>6.8496561137732323E-2</v>
      </c>
    </row>
    <row r="70" spans="1:6" ht="15" customHeight="1" x14ac:dyDescent="0.2">
      <c r="A70" s="147">
        <v>9</v>
      </c>
      <c r="B70" s="160" t="s">
        <v>205</v>
      </c>
      <c r="C70" s="157">
        <v>343325</v>
      </c>
      <c r="D70" s="157">
        <v>312714</v>
      </c>
      <c r="E70" s="157">
        <f t="shared" si="2"/>
        <v>-30611</v>
      </c>
      <c r="F70" s="161">
        <f t="shared" si="3"/>
        <v>-8.9160416514963953E-2</v>
      </c>
    </row>
    <row r="71" spans="1:6" ht="15" customHeight="1" x14ac:dyDescent="0.2">
      <c r="A71" s="147">
        <v>10</v>
      </c>
      <c r="B71" s="160" t="s">
        <v>206</v>
      </c>
      <c r="C71" s="157">
        <v>13000</v>
      </c>
      <c r="D71" s="157">
        <v>0</v>
      </c>
      <c r="E71" s="157">
        <f t="shared" si="2"/>
        <v>-13000</v>
      </c>
      <c r="F71" s="161">
        <f t="shared" si="3"/>
        <v>-1</v>
      </c>
    </row>
    <row r="72" spans="1:6" ht="15" customHeight="1" x14ac:dyDescent="0.2">
      <c r="A72" s="147">
        <v>11</v>
      </c>
      <c r="B72" s="160" t="s">
        <v>207</v>
      </c>
      <c r="C72" s="157">
        <v>179170</v>
      </c>
      <c r="D72" s="157">
        <v>93704</v>
      </c>
      <c r="E72" s="157">
        <f t="shared" si="2"/>
        <v>-85466</v>
      </c>
      <c r="F72" s="161">
        <f t="shared" si="3"/>
        <v>-0.47701066026678574</v>
      </c>
    </row>
    <row r="73" spans="1:6" ht="15" customHeight="1" x14ac:dyDescent="0.2">
      <c r="A73" s="147">
        <v>12</v>
      </c>
      <c r="B73" s="160" t="s">
        <v>208</v>
      </c>
      <c r="C73" s="157">
        <v>1779347</v>
      </c>
      <c r="D73" s="157">
        <v>1679465</v>
      </c>
      <c r="E73" s="157">
        <f t="shared" si="2"/>
        <v>-99882</v>
      </c>
      <c r="F73" s="161">
        <f t="shared" si="3"/>
        <v>-5.6134076152656004E-2</v>
      </c>
    </row>
    <row r="74" spans="1:6" ht="15" customHeight="1" x14ac:dyDescent="0.2">
      <c r="A74" s="147">
        <v>13</v>
      </c>
      <c r="B74" s="160" t="s">
        <v>209</v>
      </c>
      <c r="C74" s="157">
        <v>640050</v>
      </c>
      <c r="D74" s="157">
        <v>586409</v>
      </c>
      <c r="E74" s="157">
        <f t="shared" si="2"/>
        <v>-53641</v>
      </c>
      <c r="F74" s="161">
        <f t="shared" si="3"/>
        <v>-8.3807515037887664E-2</v>
      </c>
    </row>
    <row r="75" spans="1:6" ht="15" customHeight="1" x14ac:dyDescent="0.2">
      <c r="A75" s="147">
        <v>14</v>
      </c>
      <c r="B75" s="160" t="s">
        <v>210</v>
      </c>
      <c r="C75" s="157">
        <v>236255</v>
      </c>
      <c r="D75" s="157">
        <v>219189</v>
      </c>
      <c r="E75" s="157">
        <f t="shared" si="2"/>
        <v>-17066</v>
      </c>
      <c r="F75" s="161">
        <f t="shared" si="3"/>
        <v>-7.2235508243211788E-2</v>
      </c>
    </row>
    <row r="76" spans="1:6" ht="15" customHeight="1" x14ac:dyDescent="0.2">
      <c r="A76" s="147">
        <v>15</v>
      </c>
      <c r="B76" s="160" t="s">
        <v>211</v>
      </c>
      <c r="C76" s="157">
        <v>1322291</v>
      </c>
      <c r="D76" s="157">
        <v>1311432</v>
      </c>
      <c r="E76" s="157">
        <f t="shared" si="2"/>
        <v>-10859</v>
      </c>
      <c r="F76" s="161">
        <f t="shared" si="3"/>
        <v>-8.212261899990244E-3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632110</v>
      </c>
      <c r="D78" s="157">
        <v>296453</v>
      </c>
      <c r="E78" s="157">
        <f t="shared" si="2"/>
        <v>-335657</v>
      </c>
      <c r="F78" s="161">
        <f t="shared" si="3"/>
        <v>-0.53101042540064225</v>
      </c>
    </row>
    <row r="79" spans="1:6" ht="15" customHeight="1" x14ac:dyDescent="0.2">
      <c r="A79" s="147">
        <v>18</v>
      </c>
      <c r="B79" s="160" t="s">
        <v>214</v>
      </c>
      <c r="C79" s="157">
        <v>79882</v>
      </c>
      <c r="D79" s="157">
        <v>79311</v>
      </c>
      <c r="E79" s="157">
        <f t="shared" si="2"/>
        <v>-571</v>
      </c>
      <c r="F79" s="161">
        <f t="shared" si="3"/>
        <v>-7.1480433639618439E-3</v>
      </c>
    </row>
    <row r="80" spans="1:6" ht="15" customHeight="1" x14ac:dyDescent="0.2">
      <c r="A80" s="147">
        <v>19</v>
      </c>
      <c r="B80" s="160" t="s">
        <v>215</v>
      </c>
      <c r="C80" s="157">
        <v>1982677</v>
      </c>
      <c r="D80" s="157">
        <v>1975534</v>
      </c>
      <c r="E80" s="157">
        <f t="shared" si="2"/>
        <v>-7143</v>
      </c>
      <c r="F80" s="161">
        <f t="shared" si="3"/>
        <v>-3.6027048278665661E-3</v>
      </c>
    </row>
    <row r="81" spans="1:6" ht="15" customHeight="1" x14ac:dyDescent="0.2">
      <c r="A81" s="147">
        <v>20</v>
      </c>
      <c r="B81" s="160" t="s">
        <v>216</v>
      </c>
      <c r="C81" s="157">
        <v>976698</v>
      </c>
      <c r="D81" s="157">
        <v>975852</v>
      </c>
      <c r="E81" s="157">
        <f t="shared" si="2"/>
        <v>-846</v>
      </c>
      <c r="F81" s="161">
        <f t="shared" si="3"/>
        <v>-8.6618381526326464E-4</v>
      </c>
    </row>
    <row r="82" spans="1:6" ht="15" customHeight="1" x14ac:dyDescent="0.2">
      <c r="A82" s="147">
        <v>21</v>
      </c>
      <c r="B82" s="160" t="s">
        <v>217</v>
      </c>
      <c r="C82" s="157">
        <v>487671</v>
      </c>
      <c r="D82" s="157">
        <v>441713</v>
      </c>
      <c r="E82" s="157">
        <f t="shared" si="2"/>
        <v>-45958</v>
      </c>
      <c r="F82" s="161">
        <f t="shared" si="3"/>
        <v>-9.4239764103258142E-2</v>
      </c>
    </row>
    <row r="83" spans="1:6" ht="15" customHeight="1" x14ac:dyDescent="0.2">
      <c r="A83" s="147">
        <v>22</v>
      </c>
      <c r="B83" s="160" t="s">
        <v>218</v>
      </c>
      <c r="C83" s="157">
        <v>363597</v>
      </c>
      <c r="D83" s="157">
        <v>340502</v>
      </c>
      <c r="E83" s="157">
        <f t="shared" si="2"/>
        <v>-23095</v>
      </c>
      <c r="F83" s="161">
        <f t="shared" si="3"/>
        <v>-6.3518125837121867E-2</v>
      </c>
    </row>
    <row r="84" spans="1:6" ht="15" customHeight="1" x14ac:dyDescent="0.2">
      <c r="A84" s="147">
        <v>23</v>
      </c>
      <c r="B84" s="160" t="s">
        <v>219</v>
      </c>
      <c r="C84" s="157">
        <v>40977</v>
      </c>
      <c r="D84" s="157">
        <v>38007</v>
      </c>
      <c r="E84" s="157">
        <f t="shared" si="2"/>
        <v>-2970</v>
      </c>
      <c r="F84" s="161">
        <f t="shared" si="3"/>
        <v>-7.2479683725016467E-2</v>
      </c>
    </row>
    <row r="85" spans="1:6" ht="15" customHeight="1" x14ac:dyDescent="0.2">
      <c r="A85" s="147">
        <v>24</v>
      </c>
      <c r="B85" s="160" t="s">
        <v>220</v>
      </c>
      <c r="C85" s="157">
        <v>8776142</v>
      </c>
      <c r="D85" s="157">
        <v>10719387</v>
      </c>
      <c r="E85" s="157">
        <f t="shared" si="2"/>
        <v>1943245</v>
      </c>
      <c r="F85" s="161">
        <f t="shared" si="3"/>
        <v>0.22142360504194211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4768761</v>
      </c>
      <c r="D87" s="157">
        <v>4659043</v>
      </c>
      <c r="E87" s="157">
        <f t="shared" si="2"/>
        <v>-109718</v>
      </c>
      <c r="F87" s="161">
        <f t="shared" si="3"/>
        <v>-2.300765335062923E-2</v>
      </c>
    </row>
    <row r="88" spans="1:6" ht="15" customHeight="1" x14ac:dyDescent="0.2">
      <c r="A88" s="147">
        <v>27</v>
      </c>
      <c r="B88" s="160" t="s">
        <v>223</v>
      </c>
      <c r="C88" s="157">
        <v>12719370</v>
      </c>
      <c r="D88" s="157">
        <v>12522903</v>
      </c>
      <c r="E88" s="157">
        <f t="shared" si="2"/>
        <v>-196467</v>
      </c>
      <c r="F88" s="161">
        <f t="shared" si="3"/>
        <v>-1.5446283896136365E-2</v>
      </c>
    </row>
    <row r="89" spans="1:6" ht="15" customHeight="1" x14ac:dyDescent="0.2">
      <c r="A89" s="147">
        <v>28</v>
      </c>
      <c r="B89" s="160" t="s">
        <v>224</v>
      </c>
      <c r="C89" s="157">
        <v>1168984</v>
      </c>
      <c r="D89" s="157">
        <v>34367</v>
      </c>
      <c r="E89" s="157">
        <f t="shared" si="2"/>
        <v>-1134617</v>
      </c>
      <c r="F89" s="161">
        <f t="shared" si="3"/>
        <v>-0.97060096630920523</v>
      </c>
    </row>
    <row r="90" spans="1:6" ht="15.75" customHeight="1" x14ac:dyDescent="0.25">
      <c r="A90" s="147"/>
      <c r="B90" s="162" t="s">
        <v>225</v>
      </c>
      <c r="C90" s="158">
        <f>SUM(C62:C89)</f>
        <v>62438392</v>
      </c>
      <c r="D90" s="158">
        <f>SUM(D62:D89)</f>
        <v>57578339</v>
      </c>
      <c r="E90" s="158">
        <f t="shared" si="2"/>
        <v>-4860053</v>
      </c>
      <c r="F90" s="159">
        <f t="shared" si="3"/>
        <v>-7.783757467681103E-2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600851</v>
      </c>
      <c r="D93" s="157">
        <v>1022308</v>
      </c>
      <c r="E93" s="157">
        <f>+D93-C93</f>
        <v>421457</v>
      </c>
      <c r="F93" s="161">
        <f>IF(C93=0,0,E93/C93)</f>
        <v>0.70143346686616148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350127953</v>
      </c>
      <c r="D95" s="158">
        <f>+D93+D90+D59+D50+D47+D44+D41+D35+D30+D24+D18</f>
        <v>344831100</v>
      </c>
      <c r="E95" s="158">
        <f>+D95-C95</f>
        <v>-5296853</v>
      </c>
      <c r="F95" s="159">
        <f>IF(C95=0,0,E95/C95)</f>
        <v>-1.5128335097540755E-2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21854054</v>
      </c>
      <c r="D103" s="157">
        <v>19507412</v>
      </c>
      <c r="E103" s="157">
        <f t="shared" ref="E103:E121" si="4">D103-C103</f>
        <v>-2346642</v>
      </c>
      <c r="F103" s="161">
        <f t="shared" ref="F103:F121" si="5">IF(C103=0,0,E103/C103)</f>
        <v>-0.10737788055250527</v>
      </c>
    </row>
    <row r="104" spans="1:6" ht="15" customHeight="1" x14ac:dyDescent="0.2">
      <c r="A104" s="147">
        <v>2</v>
      </c>
      <c r="B104" s="169" t="s">
        <v>234</v>
      </c>
      <c r="C104" s="157">
        <v>2072390</v>
      </c>
      <c r="D104" s="157">
        <v>1835415</v>
      </c>
      <c r="E104" s="157">
        <f t="shared" si="4"/>
        <v>-236975</v>
      </c>
      <c r="F104" s="161">
        <f t="shared" si="5"/>
        <v>-0.11434865059182876</v>
      </c>
    </row>
    <row r="105" spans="1:6" ht="15" customHeight="1" x14ac:dyDescent="0.2">
      <c r="A105" s="147">
        <v>3</v>
      </c>
      <c r="B105" s="169" t="s">
        <v>235</v>
      </c>
      <c r="C105" s="157">
        <v>5452007</v>
      </c>
      <c r="D105" s="157">
        <v>5390293</v>
      </c>
      <c r="E105" s="157">
        <f t="shared" si="4"/>
        <v>-61714</v>
      </c>
      <c r="F105" s="161">
        <f t="shared" si="5"/>
        <v>-1.1319501240552332E-2</v>
      </c>
    </row>
    <row r="106" spans="1:6" ht="15" customHeight="1" x14ac:dyDescent="0.2">
      <c r="A106" s="147">
        <v>4</v>
      </c>
      <c r="B106" s="169" t="s">
        <v>236</v>
      </c>
      <c r="C106" s="157">
        <v>6592924</v>
      </c>
      <c r="D106" s="157">
        <v>5712315</v>
      </c>
      <c r="E106" s="157">
        <f t="shared" si="4"/>
        <v>-880609</v>
      </c>
      <c r="F106" s="161">
        <f t="shared" si="5"/>
        <v>-0.13356880801295448</v>
      </c>
    </row>
    <row r="107" spans="1:6" ht="15" customHeight="1" x14ac:dyDescent="0.2">
      <c r="A107" s="147">
        <v>5</v>
      </c>
      <c r="B107" s="169" t="s">
        <v>237</v>
      </c>
      <c r="C107" s="157">
        <v>10695890</v>
      </c>
      <c r="D107" s="157">
        <v>11701172</v>
      </c>
      <c r="E107" s="157">
        <f t="shared" si="4"/>
        <v>1005282</v>
      </c>
      <c r="F107" s="161">
        <f t="shared" si="5"/>
        <v>9.3987690598912293E-2</v>
      </c>
    </row>
    <row r="108" spans="1:6" ht="15" customHeight="1" x14ac:dyDescent="0.2">
      <c r="A108" s="147">
        <v>6</v>
      </c>
      <c r="B108" s="169" t="s">
        <v>238</v>
      </c>
      <c r="C108" s="157">
        <v>364288</v>
      </c>
      <c r="D108" s="157">
        <v>372207</v>
      </c>
      <c r="E108" s="157">
        <f t="shared" si="4"/>
        <v>7919</v>
      </c>
      <c r="F108" s="161">
        <f t="shared" si="5"/>
        <v>2.1738294975404075E-2</v>
      </c>
    </row>
    <row r="109" spans="1:6" ht="15" customHeight="1" x14ac:dyDescent="0.2">
      <c r="A109" s="147">
        <v>7</v>
      </c>
      <c r="B109" s="169" t="s">
        <v>239</v>
      </c>
      <c r="C109" s="157">
        <v>53660271</v>
      </c>
      <c r="D109" s="157">
        <v>55138738</v>
      </c>
      <c r="E109" s="157">
        <f t="shared" si="4"/>
        <v>1478467</v>
      </c>
      <c r="F109" s="161">
        <f t="shared" si="5"/>
        <v>2.7552358056484656E-2</v>
      </c>
    </row>
    <row r="110" spans="1:6" ht="15" customHeight="1" x14ac:dyDescent="0.2">
      <c r="A110" s="147">
        <v>8</v>
      </c>
      <c r="B110" s="169" t="s">
        <v>240</v>
      </c>
      <c r="C110" s="157">
        <v>1740465</v>
      </c>
      <c r="D110" s="157">
        <v>1738016</v>
      </c>
      <c r="E110" s="157">
        <f t="shared" si="4"/>
        <v>-2449</v>
      </c>
      <c r="F110" s="161">
        <f t="shared" si="5"/>
        <v>-1.4070952302976504E-3</v>
      </c>
    </row>
    <row r="111" spans="1:6" ht="15" customHeight="1" x14ac:dyDescent="0.2">
      <c r="A111" s="147">
        <v>9</v>
      </c>
      <c r="B111" s="169" t="s">
        <v>241</v>
      </c>
      <c r="C111" s="157">
        <v>2537020</v>
      </c>
      <c r="D111" s="157">
        <v>1485342</v>
      </c>
      <c r="E111" s="157">
        <f t="shared" si="4"/>
        <v>-1051678</v>
      </c>
      <c r="F111" s="161">
        <f t="shared" si="5"/>
        <v>-0.41453279832244128</v>
      </c>
    </row>
    <row r="112" spans="1:6" ht="15" customHeight="1" x14ac:dyDescent="0.2">
      <c r="A112" s="147">
        <v>10</v>
      </c>
      <c r="B112" s="169" t="s">
        <v>242</v>
      </c>
      <c r="C112" s="157">
        <v>4613598</v>
      </c>
      <c r="D112" s="157">
        <v>4660587</v>
      </c>
      <c r="E112" s="157">
        <f t="shared" si="4"/>
        <v>46989</v>
      </c>
      <c r="F112" s="161">
        <f t="shared" si="5"/>
        <v>1.0184892571914588E-2</v>
      </c>
    </row>
    <row r="113" spans="1:6" ht="15" customHeight="1" x14ac:dyDescent="0.2">
      <c r="A113" s="147">
        <v>11</v>
      </c>
      <c r="B113" s="169" t="s">
        <v>243</v>
      </c>
      <c r="C113" s="157">
        <v>4202487</v>
      </c>
      <c r="D113" s="157">
        <v>4108803</v>
      </c>
      <c r="E113" s="157">
        <f t="shared" si="4"/>
        <v>-93684</v>
      </c>
      <c r="F113" s="161">
        <f t="shared" si="5"/>
        <v>-2.2292513932821209E-2</v>
      </c>
    </row>
    <row r="114" spans="1:6" ht="15" customHeight="1" x14ac:dyDescent="0.2">
      <c r="A114" s="147">
        <v>12</v>
      </c>
      <c r="B114" s="169" t="s">
        <v>244</v>
      </c>
      <c r="C114" s="157">
        <v>0</v>
      </c>
      <c r="D114" s="157">
        <v>0</v>
      </c>
      <c r="E114" s="157">
        <f t="shared" si="4"/>
        <v>0</v>
      </c>
      <c r="F114" s="161">
        <f t="shared" si="5"/>
        <v>0</v>
      </c>
    </row>
    <row r="115" spans="1:6" ht="15" customHeight="1" x14ac:dyDescent="0.2">
      <c r="A115" s="147">
        <v>13</v>
      </c>
      <c r="B115" s="169" t="s">
        <v>245</v>
      </c>
      <c r="C115" s="157">
        <v>4018508</v>
      </c>
      <c r="D115" s="157">
        <v>4515484</v>
      </c>
      <c r="E115" s="157">
        <f t="shared" si="4"/>
        <v>496976</v>
      </c>
      <c r="F115" s="161">
        <f t="shared" si="5"/>
        <v>0.12367177071689293</v>
      </c>
    </row>
    <row r="116" spans="1:6" ht="15" customHeight="1" x14ac:dyDescent="0.2">
      <c r="A116" s="147">
        <v>14</v>
      </c>
      <c r="B116" s="169" t="s">
        <v>246</v>
      </c>
      <c r="C116" s="157">
        <v>1540180</v>
      </c>
      <c r="D116" s="157">
        <v>1591639</v>
      </c>
      <c r="E116" s="157">
        <f t="shared" si="4"/>
        <v>51459</v>
      </c>
      <c r="F116" s="161">
        <f t="shared" si="5"/>
        <v>3.3411029879624458E-2</v>
      </c>
    </row>
    <row r="117" spans="1:6" ht="15" customHeight="1" x14ac:dyDescent="0.2">
      <c r="A117" s="147">
        <v>15</v>
      </c>
      <c r="B117" s="169" t="s">
        <v>203</v>
      </c>
      <c r="C117" s="157">
        <v>6089115</v>
      </c>
      <c r="D117" s="157">
        <v>4737571</v>
      </c>
      <c r="E117" s="157">
        <f t="shared" si="4"/>
        <v>-1351544</v>
      </c>
      <c r="F117" s="161">
        <f t="shared" si="5"/>
        <v>-0.22196066259218294</v>
      </c>
    </row>
    <row r="118" spans="1:6" ht="15" customHeight="1" x14ac:dyDescent="0.2">
      <c r="A118" s="147">
        <v>16</v>
      </c>
      <c r="B118" s="169" t="s">
        <v>247</v>
      </c>
      <c r="C118" s="157">
        <v>2028759</v>
      </c>
      <c r="D118" s="157">
        <v>1673457</v>
      </c>
      <c r="E118" s="157">
        <f t="shared" si="4"/>
        <v>-355302</v>
      </c>
      <c r="F118" s="161">
        <f t="shared" si="5"/>
        <v>-0.17513267963321419</v>
      </c>
    </row>
    <row r="119" spans="1:6" ht="15" customHeight="1" x14ac:dyDescent="0.2">
      <c r="A119" s="147">
        <v>17</v>
      </c>
      <c r="B119" s="169" t="s">
        <v>248</v>
      </c>
      <c r="C119" s="157">
        <v>29691993</v>
      </c>
      <c r="D119" s="157">
        <v>29638279</v>
      </c>
      <c r="E119" s="157">
        <f t="shared" si="4"/>
        <v>-53714</v>
      </c>
      <c r="F119" s="161">
        <f t="shared" si="5"/>
        <v>-1.809039898399545E-3</v>
      </c>
    </row>
    <row r="120" spans="1:6" ht="15" customHeight="1" x14ac:dyDescent="0.2">
      <c r="A120" s="147">
        <v>18</v>
      </c>
      <c r="B120" s="169" t="s">
        <v>249</v>
      </c>
      <c r="C120" s="157">
        <v>7478875</v>
      </c>
      <c r="D120" s="157">
        <v>7119473</v>
      </c>
      <c r="E120" s="157">
        <f t="shared" si="4"/>
        <v>-359402</v>
      </c>
      <c r="F120" s="161">
        <f t="shared" si="5"/>
        <v>-4.8055623339071721E-2</v>
      </c>
    </row>
    <row r="121" spans="1:6" ht="15.75" customHeight="1" x14ac:dyDescent="0.25">
      <c r="A121" s="147"/>
      <c r="B121" s="165" t="s">
        <v>250</v>
      </c>
      <c r="C121" s="158">
        <f>SUM(C103:C120)</f>
        <v>164632824</v>
      </c>
      <c r="D121" s="158">
        <f>SUM(D103:D120)</f>
        <v>160926203</v>
      </c>
      <c r="E121" s="158">
        <f t="shared" si="4"/>
        <v>-3706621</v>
      </c>
      <c r="F121" s="159">
        <f t="shared" si="5"/>
        <v>-2.251447135475244E-2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387046</v>
      </c>
      <c r="D124" s="157">
        <v>420247</v>
      </c>
      <c r="E124" s="157">
        <f t="shared" ref="E124:E130" si="6">D124-C124</f>
        <v>33201</v>
      </c>
      <c r="F124" s="161">
        <f t="shared" ref="F124:F130" si="7">IF(C124=0,0,E124/C124)</f>
        <v>8.5780501542452314E-2</v>
      </c>
    </row>
    <row r="125" spans="1:6" ht="15" customHeight="1" x14ac:dyDescent="0.2">
      <c r="A125" s="147">
        <v>2</v>
      </c>
      <c r="B125" s="169" t="s">
        <v>253</v>
      </c>
      <c r="C125" s="157">
        <v>122349</v>
      </c>
      <c r="D125" s="157">
        <v>124308</v>
      </c>
      <c r="E125" s="157">
        <f t="shared" si="6"/>
        <v>1959</v>
      </c>
      <c r="F125" s="161">
        <f t="shared" si="7"/>
        <v>1.6011573449721699E-2</v>
      </c>
    </row>
    <row r="126" spans="1:6" ht="15" customHeight="1" x14ac:dyDescent="0.2">
      <c r="A126" s="147">
        <v>3</v>
      </c>
      <c r="B126" s="169" t="s">
        <v>254</v>
      </c>
      <c r="C126" s="157">
        <v>2389086</v>
      </c>
      <c r="D126" s="157">
        <v>2514763</v>
      </c>
      <c r="E126" s="157">
        <f t="shared" si="6"/>
        <v>125677</v>
      </c>
      <c r="F126" s="161">
        <f t="shared" si="7"/>
        <v>5.2604636250013603E-2</v>
      </c>
    </row>
    <row r="127" spans="1:6" ht="15" customHeight="1" x14ac:dyDescent="0.2">
      <c r="A127" s="147">
        <v>4</v>
      </c>
      <c r="B127" s="169" t="s">
        <v>255</v>
      </c>
      <c r="C127" s="157">
        <v>4750469</v>
      </c>
      <c r="D127" s="157">
        <v>5280547</v>
      </c>
      <c r="E127" s="157">
        <f t="shared" si="6"/>
        <v>530078</v>
      </c>
      <c r="F127" s="161">
        <f t="shared" si="7"/>
        <v>0.11158435093461298</v>
      </c>
    </row>
    <row r="128" spans="1:6" ht="15" customHeight="1" x14ac:dyDescent="0.2">
      <c r="A128" s="147">
        <v>5</v>
      </c>
      <c r="B128" s="169" t="s">
        <v>256</v>
      </c>
      <c r="C128" s="157">
        <v>2727088</v>
      </c>
      <c r="D128" s="157">
        <v>2747442</v>
      </c>
      <c r="E128" s="157">
        <f t="shared" si="6"/>
        <v>20354</v>
      </c>
      <c r="F128" s="161">
        <f t="shared" si="7"/>
        <v>7.4636388704728265E-3</v>
      </c>
    </row>
    <row r="129" spans="1:6" ht="15" customHeight="1" x14ac:dyDescent="0.2">
      <c r="A129" s="147">
        <v>6</v>
      </c>
      <c r="B129" s="169" t="s">
        <v>257</v>
      </c>
      <c r="C129" s="157">
        <v>5370515</v>
      </c>
      <c r="D129" s="157">
        <v>6850062</v>
      </c>
      <c r="E129" s="157">
        <f t="shared" si="6"/>
        <v>1479547</v>
      </c>
      <c r="F129" s="161">
        <f t="shared" si="7"/>
        <v>0.27549443582226285</v>
      </c>
    </row>
    <row r="130" spans="1:6" ht="15.75" customHeight="1" x14ac:dyDescent="0.25">
      <c r="A130" s="147"/>
      <c r="B130" s="165" t="s">
        <v>258</v>
      </c>
      <c r="C130" s="158">
        <f>SUM(C124:C129)</f>
        <v>15746553</v>
      </c>
      <c r="D130" s="158">
        <f>SUM(D124:D129)</f>
        <v>17937369</v>
      </c>
      <c r="E130" s="158">
        <f t="shared" si="6"/>
        <v>2190816</v>
      </c>
      <c r="F130" s="159">
        <f t="shared" si="7"/>
        <v>0.13912987813904415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24566779</v>
      </c>
      <c r="D133" s="157">
        <v>21252242</v>
      </c>
      <c r="E133" s="157">
        <f t="shared" ref="E133:E167" si="8">D133-C133</f>
        <v>-3314537</v>
      </c>
      <c r="F133" s="161">
        <f t="shared" ref="F133:F167" si="9">IF(C133=0,0,E133/C133)</f>
        <v>-0.13491947804797691</v>
      </c>
    </row>
    <row r="134" spans="1:6" ht="15" customHeight="1" x14ac:dyDescent="0.2">
      <c r="A134" s="147">
        <v>2</v>
      </c>
      <c r="B134" s="169" t="s">
        <v>261</v>
      </c>
      <c r="C134" s="157">
        <v>994955</v>
      </c>
      <c r="D134" s="157">
        <v>991676</v>
      </c>
      <c r="E134" s="157">
        <f t="shared" si="8"/>
        <v>-3279</v>
      </c>
      <c r="F134" s="161">
        <f t="shared" si="9"/>
        <v>-3.2956264353664238E-3</v>
      </c>
    </row>
    <row r="135" spans="1:6" ht="15" customHeight="1" x14ac:dyDescent="0.2">
      <c r="A135" s="147">
        <v>3</v>
      </c>
      <c r="B135" s="169" t="s">
        <v>262</v>
      </c>
      <c r="C135" s="157">
        <v>496839</v>
      </c>
      <c r="D135" s="157">
        <v>493006</v>
      </c>
      <c r="E135" s="157">
        <f t="shared" si="8"/>
        <v>-3833</v>
      </c>
      <c r="F135" s="161">
        <f t="shared" si="9"/>
        <v>-7.7147727936011466E-3</v>
      </c>
    </row>
    <row r="136" spans="1:6" ht="15" customHeight="1" x14ac:dyDescent="0.2">
      <c r="A136" s="147">
        <v>4</v>
      </c>
      <c r="B136" s="169" t="s">
        <v>263</v>
      </c>
      <c r="C136" s="157">
        <v>118500</v>
      </c>
      <c r="D136" s="157">
        <v>122075</v>
      </c>
      <c r="E136" s="157">
        <f t="shared" si="8"/>
        <v>3575</v>
      </c>
      <c r="F136" s="161">
        <f t="shared" si="9"/>
        <v>3.0168776371308017E-2</v>
      </c>
    </row>
    <row r="137" spans="1:6" ht="15" customHeight="1" x14ac:dyDescent="0.2">
      <c r="A137" s="147">
        <v>5</v>
      </c>
      <c r="B137" s="169" t="s">
        <v>264</v>
      </c>
      <c r="C137" s="157">
        <v>3565288</v>
      </c>
      <c r="D137" s="157">
        <v>3494882</v>
      </c>
      <c r="E137" s="157">
        <f t="shared" si="8"/>
        <v>-70406</v>
      </c>
      <c r="F137" s="161">
        <f t="shared" si="9"/>
        <v>-1.9747633290774825E-2</v>
      </c>
    </row>
    <row r="138" spans="1:6" ht="15" customHeight="1" x14ac:dyDescent="0.2">
      <c r="A138" s="147">
        <v>6</v>
      </c>
      <c r="B138" s="169" t="s">
        <v>265</v>
      </c>
      <c r="C138" s="157">
        <v>2935254</v>
      </c>
      <c r="D138" s="157">
        <v>2948958</v>
      </c>
      <c r="E138" s="157">
        <f t="shared" si="8"/>
        <v>13704</v>
      </c>
      <c r="F138" s="161">
        <f t="shared" si="9"/>
        <v>4.6687612043114493E-3</v>
      </c>
    </row>
    <row r="139" spans="1:6" ht="15" customHeight="1" x14ac:dyDescent="0.2">
      <c r="A139" s="147">
        <v>7</v>
      </c>
      <c r="B139" s="169" t="s">
        <v>266</v>
      </c>
      <c r="C139" s="157">
        <v>2994087</v>
      </c>
      <c r="D139" s="157">
        <v>3171628</v>
      </c>
      <c r="E139" s="157">
        <f t="shared" si="8"/>
        <v>177541</v>
      </c>
      <c r="F139" s="161">
        <f t="shared" si="9"/>
        <v>5.9297208130558665E-2</v>
      </c>
    </row>
    <row r="140" spans="1:6" ht="15" customHeight="1" x14ac:dyDescent="0.2">
      <c r="A140" s="147">
        <v>8</v>
      </c>
      <c r="B140" s="169" t="s">
        <v>267</v>
      </c>
      <c r="C140" s="157">
        <v>1516757</v>
      </c>
      <c r="D140" s="157">
        <v>1724505</v>
      </c>
      <c r="E140" s="157">
        <f t="shared" si="8"/>
        <v>207748</v>
      </c>
      <c r="F140" s="161">
        <f t="shared" si="9"/>
        <v>0.13696854538993392</v>
      </c>
    </row>
    <row r="141" spans="1:6" ht="15" customHeight="1" x14ac:dyDescent="0.2">
      <c r="A141" s="147">
        <v>9</v>
      </c>
      <c r="B141" s="169" t="s">
        <v>268</v>
      </c>
      <c r="C141" s="157">
        <v>2037069</v>
      </c>
      <c r="D141" s="157">
        <v>2180894</v>
      </c>
      <c r="E141" s="157">
        <f t="shared" si="8"/>
        <v>143825</v>
      </c>
      <c r="F141" s="161">
        <f t="shared" si="9"/>
        <v>7.060389216074664E-2</v>
      </c>
    </row>
    <row r="142" spans="1:6" ht="15" customHeight="1" x14ac:dyDescent="0.2">
      <c r="A142" s="147">
        <v>10</v>
      </c>
      <c r="B142" s="169" t="s">
        <v>269</v>
      </c>
      <c r="C142" s="157">
        <v>15223990</v>
      </c>
      <c r="D142" s="157">
        <v>14517400</v>
      </c>
      <c r="E142" s="157">
        <f t="shared" si="8"/>
        <v>-706590</v>
      </c>
      <c r="F142" s="161">
        <f t="shared" si="9"/>
        <v>-4.6412931169818164E-2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1496892</v>
      </c>
      <c r="D144" s="157">
        <v>1525030</v>
      </c>
      <c r="E144" s="157">
        <f t="shared" si="8"/>
        <v>28138</v>
      </c>
      <c r="F144" s="161">
        <f t="shared" si="9"/>
        <v>1.8797615325621353E-2</v>
      </c>
    </row>
    <row r="145" spans="1:6" ht="15" customHeight="1" x14ac:dyDescent="0.2">
      <c r="A145" s="147">
        <v>13</v>
      </c>
      <c r="B145" s="169" t="s">
        <v>272</v>
      </c>
      <c r="C145" s="157">
        <v>4158</v>
      </c>
      <c r="D145" s="157">
        <v>70</v>
      </c>
      <c r="E145" s="157">
        <f t="shared" si="8"/>
        <v>-4088</v>
      </c>
      <c r="F145" s="161">
        <f t="shared" si="9"/>
        <v>-0.98316498316498313</v>
      </c>
    </row>
    <row r="146" spans="1:6" ht="15" customHeight="1" x14ac:dyDescent="0.2">
      <c r="A146" s="147">
        <v>14</v>
      </c>
      <c r="B146" s="169" t="s">
        <v>273</v>
      </c>
      <c r="C146" s="157">
        <v>278878</v>
      </c>
      <c r="D146" s="157">
        <v>285771</v>
      </c>
      <c r="E146" s="157">
        <f t="shared" si="8"/>
        <v>6893</v>
      </c>
      <c r="F146" s="161">
        <f t="shared" si="9"/>
        <v>2.4716901297341491E-2</v>
      </c>
    </row>
    <row r="147" spans="1:6" ht="15" customHeight="1" x14ac:dyDescent="0.2">
      <c r="A147" s="147">
        <v>15</v>
      </c>
      <c r="B147" s="169" t="s">
        <v>274</v>
      </c>
      <c r="C147" s="157">
        <v>1801640</v>
      </c>
      <c r="D147" s="157">
        <v>1874416</v>
      </c>
      <c r="E147" s="157">
        <f t="shared" si="8"/>
        <v>72776</v>
      </c>
      <c r="F147" s="161">
        <f t="shared" si="9"/>
        <v>4.0394307408805313E-2</v>
      </c>
    </row>
    <row r="148" spans="1:6" ht="15" customHeight="1" x14ac:dyDescent="0.2">
      <c r="A148" s="147">
        <v>16</v>
      </c>
      <c r="B148" s="169" t="s">
        <v>275</v>
      </c>
      <c r="C148" s="157">
        <v>744589</v>
      </c>
      <c r="D148" s="157">
        <v>762989</v>
      </c>
      <c r="E148" s="157">
        <f t="shared" si="8"/>
        <v>18400</v>
      </c>
      <c r="F148" s="161">
        <f t="shared" si="9"/>
        <v>2.4711619430316592E-2</v>
      </c>
    </row>
    <row r="149" spans="1:6" ht="15" customHeight="1" x14ac:dyDescent="0.2">
      <c r="A149" s="147">
        <v>17</v>
      </c>
      <c r="B149" s="169" t="s">
        <v>276</v>
      </c>
      <c r="C149" s="157">
        <v>755221</v>
      </c>
      <c r="D149" s="157">
        <v>760926</v>
      </c>
      <c r="E149" s="157">
        <f t="shared" si="8"/>
        <v>5705</v>
      </c>
      <c r="F149" s="161">
        <f t="shared" si="9"/>
        <v>7.5540801963928442E-3</v>
      </c>
    </row>
    <row r="150" spans="1:6" ht="15" customHeight="1" x14ac:dyDescent="0.2">
      <c r="A150" s="147">
        <v>18</v>
      </c>
      <c r="B150" s="169" t="s">
        <v>277</v>
      </c>
      <c r="C150" s="157">
        <v>2713543</v>
      </c>
      <c r="D150" s="157">
        <v>2694154</v>
      </c>
      <c r="E150" s="157">
        <f t="shared" si="8"/>
        <v>-19389</v>
      </c>
      <c r="F150" s="161">
        <f t="shared" si="9"/>
        <v>-7.1452709612488171E-3</v>
      </c>
    </row>
    <row r="151" spans="1:6" ht="15" customHeight="1" x14ac:dyDescent="0.2">
      <c r="A151" s="147">
        <v>19</v>
      </c>
      <c r="B151" s="169" t="s">
        <v>278</v>
      </c>
      <c r="C151" s="157">
        <v>727</v>
      </c>
      <c r="D151" s="157">
        <v>0</v>
      </c>
      <c r="E151" s="157">
        <f t="shared" si="8"/>
        <v>-727</v>
      </c>
      <c r="F151" s="161">
        <f t="shared" si="9"/>
        <v>-1</v>
      </c>
    </row>
    <row r="152" spans="1:6" ht="15" customHeight="1" x14ac:dyDescent="0.2">
      <c r="A152" s="147">
        <v>20</v>
      </c>
      <c r="B152" s="169" t="s">
        <v>279</v>
      </c>
      <c r="C152" s="157">
        <v>2154621</v>
      </c>
      <c r="D152" s="157">
        <v>1461873</v>
      </c>
      <c r="E152" s="157">
        <f t="shared" si="8"/>
        <v>-692748</v>
      </c>
      <c r="F152" s="161">
        <f t="shared" si="9"/>
        <v>-0.32151733413904349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1736261</v>
      </c>
      <c r="D154" s="157">
        <v>1826473</v>
      </c>
      <c r="E154" s="157">
        <f t="shared" si="8"/>
        <v>90212</v>
      </c>
      <c r="F154" s="161">
        <f t="shared" si="9"/>
        <v>5.1957626186385573E-2</v>
      </c>
    </row>
    <row r="155" spans="1:6" ht="15" customHeight="1" x14ac:dyDescent="0.2">
      <c r="A155" s="147">
        <v>23</v>
      </c>
      <c r="B155" s="169" t="s">
        <v>282</v>
      </c>
      <c r="C155" s="157">
        <v>468917</v>
      </c>
      <c r="D155" s="157">
        <v>587081</v>
      </c>
      <c r="E155" s="157">
        <f t="shared" si="8"/>
        <v>118164</v>
      </c>
      <c r="F155" s="161">
        <f t="shared" si="9"/>
        <v>0.2519934231431149</v>
      </c>
    </row>
    <row r="156" spans="1:6" ht="15" customHeight="1" x14ac:dyDescent="0.2">
      <c r="A156" s="147">
        <v>24</v>
      </c>
      <c r="B156" s="169" t="s">
        <v>283</v>
      </c>
      <c r="C156" s="157">
        <v>10593872</v>
      </c>
      <c r="D156" s="157">
        <v>10981590</v>
      </c>
      <c r="E156" s="157">
        <f t="shared" si="8"/>
        <v>387718</v>
      </c>
      <c r="F156" s="161">
        <f t="shared" si="9"/>
        <v>3.6598327787989132E-2</v>
      </c>
    </row>
    <row r="157" spans="1:6" ht="15" customHeight="1" x14ac:dyDescent="0.2">
      <c r="A157" s="147">
        <v>25</v>
      </c>
      <c r="B157" s="169" t="s">
        <v>284</v>
      </c>
      <c r="C157" s="157">
        <v>1619012</v>
      </c>
      <c r="D157" s="157">
        <v>1604322</v>
      </c>
      <c r="E157" s="157">
        <f t="shared" si="8"/>
        <v>-14690</v>
      </c>
      <c r="F157" s="161">
        <f t="shared" si="9"/>
        <v>-9.0734349096856601E-3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982511</v>
      </c>
      <c r="D160" s="157">
        <v>904643</v>
      </c>
      <c r="E160" s="157">
        <f t="shared" si="8"/>
        <v>-77868</v>
      </c>
      <c r="F160" s="161">
        <f t="shared" si="9"/>
        <v>-7.9254074509089459E-2</v>
      </c>
    </row>
    <row r="161" spans="1:6" ht="15" customHeight="1" x14ac:dyDescent="0.2">
      <c r="A161" s="147">
        <v>29</v>
      </c>
      <c r="B161" s="169" t="s">
        <v>288</v>
      </c>
      <c r="C161" s="157">
        <v>1106596</v>
      </c>
      <c r="D161" s="157">
        <v>795878</v>
      </c>
      <c r="E161" s="157">
        <f t="shared" si="8"/>
        <v>-310718</v>
      </c>
      <c r="F161" s="161">
        <f t="shared" si="9"/>
        <v>-0.28078720689393422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4075654</v>
      </c>
      <c r="D163" s="157">
        <v>4615958</v>
      </c>
      <c r="E163" s="157">
        <f t="shared" si="8"/>
        <v>540304</v>
      </c>
      <c r="F163" s="161">
        <f t="shared" si="9"/>
        <v>0.13256866259991648</v>
      </c>
    </row>
    <row r="164" spans="1:6" ht="15" customHeight="1" x14ac:dyDescent="0.2">
      <c r="A164" s="147">
        <v>32</v>
      </c>
      <c r="B164" s="169" t="s">
        <v>291</v>
      </c>
      <c r="C164" s="157">
        <v>3828129</v>
      </c>
      <c r="D164" s="157">
        <v>3886438</v>
      </c>
      <c r="E164" s="157">
        <f t="shared" si="8"/>
        <v>58309</v>
      </c>
      <c r="F164" s="161">
        <f t="shared" si="9"/>
        <v>1.5231722859914074E-2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7600420</v>
      </c>
      <c r="D166" s="157">
        <v>7320165</v>
      </c>
      <c r="E166" s="157">
        <f t="shared" si="8"/>
        <v>-280255</v>
      </c>
      <c r="F166" s="161">
        <f t="shared" si="9"/>
        <v>-3.6873620142044782E-2</v>
      </c>
    </row>
    <row r="167" spans="1:6" ht="15.75" customHeight="1" x14ac:dyDescent="0.25">
      <c r="A167" s="147"/>
      <c r="B167" s="165" t="s">
        <v>294</v>
      </c>
      <c r="C167" s="158">
        <f>SUM(C133:C166)</f>
        <v>96411159</v>
      </c>
      <c r="D167" s="158">
        <f>SUM(D133:D166)</f>
        <v>92785043</v>
      </c>
      <c r="E167" s="158">
        <f t="shared" si="8"/>
        <v>-3626116</v>
      </c>
      <c r="F167" s="159">
        <f t="shared" si="9"/>
        <v>-3.7610957461884677E-2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20272594</v>
      </c>
      <c r="D170" s="157">
        <v>20709022</v>
      </c>
      <c r="E170" s="157">
        <f t="shared" ref="E170:E183" si="10">D170-C170</f>
        <v>436428</v>
      </c>
      <c r="F170" s="161">
        <f t="shared" ref="F170:F183" si="11">IF(C170=0,0,E170/C170)</f>
        <v>2.1527980089770457E-2</v>
      </c>
    </row>
    <row r="171" spans="1:6" ht="15" customHeight="1" x14ac:dyDescent="0.2">
      <c r="A171" s="147">
        <v>2</v>
      </c>
      <c r="B171" s="169" t="s">
        <v>297</v>
      </c>
      <c r="C171" s="157">
        <v>2873975</v>
      </c>
      <c r="D171" s="157">
        <v>3177006</v>
      </c>
      <c r="E171" s="157">
        <f t="shared" si="10"/>
        <v>303031</v>
      </c>
      <c r="F171" s="161">
        <f t="shared" si="11"/>
        <v>0.10543967849407181</v>
      </c>
    </row>
    <row r="172" spans="1:6" ht="15" customHeight="1" x14ac:dyDescent="0.2">
      <c r="A172" s="147">
        <v>3</v>
      </c>
      <c r="B172" s="169" t="s">
        <v>298</v>
      </c>
      <c r="C172" s="157">
        <v>3260733</v>
      </c>
      <c r="D172" s="157">
        <v>3030022</v>
      </c>
      <c r="E172" s="157">
        <f t="shared" si="10"/>
        <v>-230711</v>
      </c>
      <c r="F172" s="161">
        <f t="shared" si="11"/>
        <v>-7.0754336524947004E-2</v>
      </c>
    </row>
    <row r="173" spans="1:6" ht="15" customHeight="1" x14ac:dyDescent="0.2">
      <c r="A173" s="147">
        <v>4</v>
      </c>
      <c r="B173" s="169" t="s">
        <v>299</v>
      </c>
      <c r="C173" s="157">
        <v>2346724</v>
      </c>
      <c r="D173" s="157">
        <v>2439777</v>
      </c>
      <c r="E173" s="157">
        <f t="shared" si="10"/>
        <v>93053</v>
      </c>
      <c r="F173" s="161">
        <f t="shared" si="11"/>
        <v>3.9652298267712778E-2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110789</v>
      </c>
      <c r="E174" s="157">
        <f t="shared" si="10"/>
        <v>110789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5986189</v>
      </c>
      <c r="D175" s="157">
        <v>6110500</v>
      </c>
      <c r="E175" s="157">
        <f t="shared" si="10"/>
        <v>124311</v>
      </c>
      <c r="F175" s="161">
        <f t="shared" si="11"/>
        <v>2.0766300562845577E-2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3397794</v>
      </c>
      <c r="D177" s="157">
        <v>3494668</v>
      </c>
      <c r="E177" s="157">
        <f t="shared" si="10"/>
        <v>96874</v>
      </c>
      <c r="F177" s="161">
        <f t="shared" si="11"/>
        <v>2.8510851452442379E-2</v>
      </c>
    </row>
    <row r="178" spans="1:6" ht="15" customHeight="1" x14ac:dyDescent="0.2">
      <c r="A178" s="147">
        <v>9</v>
      </c>
      <c r="B178" s="169" t="s">
        <v>304</v>
      </c>
      <c r="C178" s="157">
        <v>2628328</v>
      </c>
      <c r="D178" s="157">
        <v>2423335</v>
      </c>
      <c r="E178" s="157">
        <f t="shared" si="10"/>
        <v>-204993</v>
      </c>
      <c r="F178" s="161">
        <f t="shared" si="11"/>
        <v>-7.799369028523076E-2</v>
      </c>
    </row>
    <row r="179" spans="1:6" ht="15" customHeight="1" x14ac:dyDescent="0.2">
      <c r="A179" s="147">
        <v>10</v>
      </c>
      <c r="B179" s="169" t="s">
        <v>305</v>
      </c>
      <c r="C179" s="157">
        <v>2000875</v>
      </c>
      <c r="D179" s="157">
        <v>2146199</v>
      </c>
      <c r="E179" s="157">
        <f t="shared" si="10"/>
        <v>145324</v>
      </c>
      <c r="F179" s="161">
        <f t="shared" si="11"/>
        <v>7.263022427687886E-2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1211298</v>
      </c>
      <c r="D182" s="157">
        <v>1140430</v>
      </c>
      <c r="E182" s="157">
        <f t="shared" si="10"/>
        <v>-70868</v>
      </c>
      <c r="F182" s="161">
        <f t="shared" si="11"/>
        <v>-5.850583423732228E-2</v>
      </c>
    </row>
    <row r="183" spans="1:6" ht="15.75" customHeight="1" x14ac:dyDescent="0.25">
      <c r="A183" s="147"/>
      <c r="B183" s="165" t="s">
        <v>309</v>
      </c>
      <c r="C183" s="158">
        <f>SUM(C170:C182)</f>
        <v>43978510</v>
      </c>
      <c r="D183" s="158">
        <f>SUM(D170:D182)</f>
        <v>44781748</v>
      </c>
      <c r="E183" s="158">
        <f t="shared" si="10"/>
        <v>803238</v>
      </c>
      <c r="F183" s="159">
        <f t="shared" si="11"/>
        <v>1.8264329555503358E-2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29358907</v>
      </c>
      <c r="D186" s="157">
        <v>28400737</v>
      </c>
      <c r="E186" s="157">
        <f>D186-C186</f>
        <v>-958170</v>
      </c>
      <c r="F186" s="161">
        <f>IF(C186=0,0,E186/C186)</f>
        <v>-3.2636432957126094E-2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350127953</v>
      </c>
      <c r="D188" s="158">
        <f>+D186+D183+D167+D130+D121</f>
        <v>344831100</v>
      </c>
      <c r="E188" s="158">
        <f>D188-C188</f>
        <v>-5296853</v>
      </c>
      <c r="F188" s="159">
        <f>IF(C188=0,0,E188/C188)</f>
        <v>-1.5128335097540755E-2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FILING&amp;RLAWRENCE AND MEMORIAL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318785233</v>
      </c>
      <c r="D11" s="183">
        <v>325022845</v>
      </c>
      <c r="E11" s="76">
        <v>312684017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30278971</v>
      </c>
      <c r="D12" s="185">
        <v>31431251</v>
      </c>
      <c r="E12" s="185">
        <v>32656341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349064204</v>
      </c>
      <c r="D13" s="76">
        <f>+D11+D12</f>
        <v>356454096</v>
      </c>
      <c r="E13" s="76">
        <f>+E11+E12</f>
        <v>345340358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348525480</v>
      </c>
      <c r="D14" s="185">
        <v>350127953</v>
      </c>
      <c r="E14" s="185">
        <v>344831100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538724</v>
      </c>
      <c r="D15" s="76">
        <f>+D13-D14</f>
        <v>6326143</v>
      </c>
      <c r="E15" s="76">
        <f>+E13-E14</f>
        <v>509258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8788601</v>
      </c>
      <c r="D16" s="185">
        <v>9936909</v>
      </c>
      <c r="E16" s="185">
        <v>1820798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9327325</v>
      </c>
      <c r="D17" s="76">
        <f>D15+D16</f>
        <v>16263052</v>
      </c>
      <c r="E17" s="76">
        <f>E15+E16</f>
        <v>2330056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1.5054346157772887E-3</v>
      </c>
      <c r="D20" s="189">
        <f>IF(+D27=0,0,+D24/+D27)</f>
        <v>1.726609800368871E-2</v>
      </c>
      <c r="E20" s="189">
        <f>IF(+E27=0,0,+E24/+E27)</f>
        <v>1.4669210284574579E-3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2.4559262571659874E-2</v>
      </c>
      <c r="D21" s="189">
        <f>IF(D27=0,0,+D26/D27)</f>
        <v>2.7121050638238241E-2</v>
      </c>
      <c r="E21" s="189">
        <f>IF(E27=0,0,+E26/E27)</f>
        <v>5.2448206503840538E-3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2.6064697187437164E-2</v>
      </c>
      <c r="D22" s="189">
        <f>IF(D27=0,0,+D28/D27)</f>
        <v>4.438714864192695E-2</v>
      </c>
      <c r="E22" s="189">
        <f>IF(E27=0,0,+E28/E27)</f>
        <v>6.7117416788415119E-3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538724</v>
      </c>
      <c r="D24" s="76">
        <f>+D15</f>
        <v>6326143</v>
      </c>
      <c r="E24" s="76">
        <f>+E15</f>
        <v>509258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349064204</v>
      </c>
      <c r="D25" s="76">
        <f>+D13</f>
        <v>356454096</v>
      </c>
      <c r="E25" s="76">
        <f>+E13</f>
        <v>345340358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8788601</v>
      </c>
      <c r="D26" s="76">
        <f>+D16</f>
        <v>9936909</v>
      </c>
      <c r="E26" s="76">
        <f>+E16</f>
        <v>1820798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357852805</v>
      </c>
      <c r="D27" s="76">
        <f>+D25+D26</f>
        <v>366391005</v>
      </c>
      <c r="E27" s="76">
        <f>+E25+E26</f>
        <v>347161156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9327325</v>
      </c>
      <c r="D28" s="76">
        <f>+D17</f>
        <v>16263052</v>
      </c>
      <c r="E28" s="76">
        <f>+E17</f>
        <v>2330056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138729444</v>
      </c>
      <c r="D31" s="76">
        <v>103558083</v>
      </c>
      <c r="E31" s="76">
        <v>86150497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168209447</v>
      </c>
      <c r="D32" s="76">
        <v>128481722</v>
      </c>
      <c r="E32" s="76">
        <v>112601826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-30955053</v>
      </c>
      <c r="D33" s="76">
        <f>+D32-C32</f>
        <v>-39727725</v>
      </c>
      <c r="E33" s="76">
        <f>+E32-D32</f>
        <v>-15879896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0.84450000000000003</v>
      </c>
      <c r="D34" s="193">
        <f>IF(C32=0,0,+D33/C32)</f>
        <v>-0.23618010586527877</v>
      </c>
      <c r="E34" s="193">
        <f>IF(D32=0,0,+E33/D32)</f>
        <v>-0.12359653772386395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0.42620378483921323</v>
      </c>
      <c r="D38" s="195">
        <f>IF((D40+D41)=0,0,+D39/(D40+D41))</f>
        <v>0.40238733677981314</v>
      </c>
      <c r="E38" s="195">
        <f>IF((E40+E41)=0,0,+E39/(E40+E41))</f>
        <v>0.39234189163441385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348525480</v>
      </c>
      <c r="D39" s="76">
        <v>350127953</v>
      </c>
      <c r="E39" s="196">
        <v>344831100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788136573</v>
      </c>
      <c r="D40" s="76">
        <v>839272510</v>
      </c>
      <c r="E40" s="196">
        <v>846701962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29607174</v>
      </c>
      <c r="D41" s="76">
        <v>30854159</v>
      </c>
      <c r="E41" s="196">
        <v>32202655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1.4378206564479499</v>
      </c>
      <c r="D43" s="197">
        <f>IF(D38=0,0,IF((D46-D47)=0,0,((+D44-D45)/(D46-D47)/D38)))</f>
        <v>1.5004345040792995</v>
      </c>
      <c r="E43" s="197">
        <f>IF(E38=0,0,IF((E46-E47)=0,0,((+E44-E45)/(E46-E47)/E38)))</f>
        <v>1.480013837438916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162923359</v>
      </c>
      <c r="D44" s="76">
        <v>164001136</v>
      </c>
      <c r="E44" s="196">
        <v>156878554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0</v>
      </c>
      <c r="D45" s="76">
        <v>0</v>
      </c>
      <c r="E45" s="196">
        <v>0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277266300</v>
      </c>
      <c r="D46" s="76">
        <v>281621514</v>
      </c>
      <c r="E46" s="196">
        <v>281883258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11401198</v>
      </c>
      <c r="D47" s="76">
        <v>9986651</v>
      </c>
      <c r="E47" s="76">
        <v>11715748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0.80388640085453378</v>
      </c>
      <c r="D49" s="198">
        <f>IF(D38=0,0,IF(D51=0,0,(D50/D51)/D38))</f>
        <v>0.82799771124059662</v>
      </c>
      <c r="E49" s="198">
        <f>IF(E38=0,0,IF(E51=0,0,(E50/E51)/E38))</f>
        <v>0.81256570180260235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116101572</v>
      </c>
      <c r="D50" s="199">
        <v>122185330</v>
      </c>
      <c r="E50" s="199">
        <v>117576267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338864533</v>
      </c>
      <c r="D51" s="199">
        <v>366729313</v>
      </c>
      <c r="E51" s="199">
        <v>368804744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0.60228883054911153</v>
      </c>
      <c r="D53" s="198">
        <f>IF(D38=0,0,IF(D55=0,0,(D54/D55)/D38))</f>
        <v>0.65039784780611298</v>
      </c>
      <c r="E53" s="198">
        <f>IF(E38=0,0,IF(E55=0,0,(E54/E55)/E38))</f>
        <v>0.63932335223392789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34584718</v>
      </c>
      <c r="D54" s="199">
        <v>39897342</v>
      </c>
      <c r="E54" s="199">
        <v>39045793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134729323</v>
      </c>
      <c r="D55" s="199">
        <v>152447590</v>
      </c>
      <c r="E55" s="199">
        <v>155664291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7521802.9426503954</v>
      </c>
      <c r="D57" s="88">
        <f>+D60*D38</f>
        <v>6054581.8233453119</v>
      </c>
      <c r="E57" s="88">
        <f>+E60*E38</f>
        <v>6241609.0402295617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2681674</v>
      </c>
      <c r="D58" s="199">
        <v>2248341</v>
      </c>
      <c r="E58" s="199">
        <v>3555323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14966698</v>
      </c>
      <c r="D59" s="199">
        <v>12798310</v>
      </c>
      <c r="E59" s="199">
        <v>12353274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17648372</v>
      </c>
      <c r="D60" s="76">
        <v>15046651</v>
      </c>
      <c r="E60" s="201">
        <v>15908597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2.15817877724475E-2</v>
      </c>
      <c r="D62" s="202">
        <f>IF(D63=0,0,+D57/D63)</f>
        <v>1.7292483423468081E-2</v>
      </c>
      <c r="E62" s="202">
        <f>IF(E63=0,0,+E57/E63)</f>
        <v>1.8100481772756465E-2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348525480</v>
      </c>
      <c r="D63" s="199">
        <v>350127953</v>
      </c>
      <c r="E63" s="199">
        <v>344831100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3.4132915898438809</v>
      </c>
      <c r="D67" s="203">
        <f>IF(D69=0,0,D68/D69)</f>
        <v>2.8012284813684039</v>
      </c>
      <c r="E67" s="203">
        <f>IF(E69=0,0,E68/E69)</f>
        <v>2.430462372339754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188452894</v>
      </c>
      <c r="D68" s="204">
        <v>175461033</v>
      </c>
      <c r="E68" s="204">
        <v>146595190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55211484</v>
      </c>
      <c r="D69" s="204">
        <v>62637173</v>
      </c>
      <c r="E69" s="204">
        <v>60315762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151.61333189808579</v>
      </c>
      <c r="D71" s="203">
        <f>IF((D77/365)=0,0,+D74/(D77/365))</f>
        <v>134.95448378805148</v>
      </c>
      <c r="E71" s="203">
        <f>IF((E77/365)=0,0,+E74/(E77/365))</f>
        <v>108.93545739868672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6917676</v>
      </c>
      <c r="D72" s="183">
        <v>13348901</v>
      </c>
      <c r="E72" s="183">
        <v>3965054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128450331</v>
      </c>
      <c r="D73" s="206">
        <v>107365636</v>
      </c>
      <c r="E73" s="206">
        <v>92026239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135368007</v>
      </c>
      <c r="D74" s="204">
        <f>+D72+D73</f>
        <v>120714537</v>
      </c>
      <c r="E74" s="204">
        <f>+E72+E73</f>
        <v>95991293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348525480</v>
      </c>
      <c r="D75" s="204">
        <f>+D14</f>
        <v>350127953</v>
      </c>
      <c r="E75" s="204">
        <f>+E14</f>
        <v>344831100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22635125</v>
      </c>
      <c r="D76" s="204">
        <v>23641535</v>
      </c>
      <c r="E76" s="204">
        <v>23201919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325890355</v>
      </c>
      <c r="D77" s="204">
        <f>+D75-D76</f>
        <v>326486418</v>
      </c>
      <c r="E77" s="204">
        <f>+E75-E76</f>
        <v>321629181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35.636048831659657</v>
      </c>
      <c r="D79" s="203">
        <f>IF((D84/365)=0,0,+D83/(D84/365))</f>
        <v>35.05391156427789</v>
      </c>
      <c r="E79" s="203">
        <f>IF((E84/365)=0,0,+E83/(E84/365))</f>
        <v>31.81304406102727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36289187</v>
      </c>
      <c r="D80" s="212">
        <v>37925784</v>
      </c>
      <c r="E80" s="212">
        <v>35197755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5165225</v>
      </c>
      <c r="D82" s="212">
        <v>6711203</v>
      </c>
      <c r="E82" s="212">
        <v>7944521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31123962</v>
      </c>
      <c r="D83" s="212">
        <f>+D80+D81-D82</f>
        <v>31214581</v>
      </c>
      <c r="E83" s="212">
        <f>+E80+E81-E82</f>
        <v>27253234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318785233</v>
      </c>
      <c r="D84" s="204">
        <f>+D11</f>
        <v>325022845</v>
      </c>
      <c r="E84" s="204">
        <f>+E11</f>
        <v>312684017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61.837336855213159</v>
      </c>
      <c r="D86" s="203">
        <f>IF((D90/365)=0,0,+D87/(D90/365))</f>
        <v>70.026092616814466</v>
      </c>
      <c r="E86" s="203">
        <f>IF((E90/365)=0,0,+E87/(E90/365))</f>
        <v>68.449178216823555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55211484</v>
      </c>
      <c r="D87" s="76">
        <f>+D69</f>
        <v>62637173</v>
      </c>
      <c r="E87" s="76">
        <f>+E69</f>
        <v>60315762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348525480</v>
      </c>
      <c r="D88" s="76">
        <f t="shared" si="0"/>
        <v>350127953</v>
      </c>
      <c r="E88" s="76">
        <f t="shared" si="0"/>
        <v>344831100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22635125</v>
      </c>
      <c r="D89" s="201">
        <f t="shared" si="0"/>
        <v>23641535</v>
      </c>
      <c r="E89" s="201">
        <f t="shared" si="0"/>
        <v>23201919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325890355</v>
      </c>
      <c r="D90" s="76">
        <f>+D88-D89</f>
        <v>326486418</v>
      </c>
      <c r="E90" s="76">
        <f>+E88-E89</f>
        <v>321629181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42.49577617097691</v>
      </c>
      <c r="D94" s="214">
        <f>IF(D96=0,0,(D95/D96)*100)</f>
        <v>34.655636374286367</v>
      </c>
      <c r="E94" s="214">
        <f>IF(E96=0,0,(E95/E96)*100)</f>
        <v>32.160085970569938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168209447</v>
      </c>
      <c r="D95" s="76">
        <f>+D32</f>
        <v>128481722</v>
      </c>
      <c r="E95" s="76">
        <f>+E32</f>
        <v>112601826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395826273</v>
      </c>
      <c r="D96" s="76">
        <v>370738314</v>
      </c>
      <c r="E96" s="76">
        <v>350129120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19.513180295547809</v>
      </c>
      <c r="D98" s="214">
        <f>IF(D104=0,0,(D101/D104)*100)</f>
        <v>24.100477291625495</v>
      </c>
      <c r="E98" s="214">
        <f>IF(E104=0,0,(E101/E104)*100)</f>
        <v>16.442118912853658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9327325</v>
      </c>
      <c r="D99" s="76">
        <f>+D28</f>
        <v>16263052</v>
      </c>
      <c r="E99" s="76">
        <f>+E28</f>
        <v>2330056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22635125</v>
      </c>
      <c r="D100" s="201">
        <f>+D76</f>
        <v>23641535</v>
      </c>
      <c r="E100" s="201">
        <f>+E76</f>
        <v>23201919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31962450</v>
      </c>
      <c r="D101" s="76">
        <f>+D99+D100</f>
        <v>39904587</v>
      </c>
      <c r="E101" s="76">
        <f>+E99+E100</f>
        <v>25531975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55211484</v>
      </c>
      <c r="D102" s="204">
        <f>+D69</f>
        <v>62637173</v>
      </c>
      <c r="E102" s="204">
        <f>+E69</f>
        <v>60315762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108587802</v>
      </c>
      <c r="D103" s="216">
        <v>102938747</v>
      </c>
      <c r="E103" s="216">
        <v>94968208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163799286</v>
      </c>
      <c r="D104" s="204">
        <f>+D102+D103</f>
        <v>165575920</v>
      </c>
      <c r="E104" s="204">
        <f>+E102+E103</f>
        <v>155283970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39.230087145844429</v>
      </c>
      <c r="D106" s="214">
        <f>IF(D109=0,0,(D107/D109)*100)</f>
        <v>44.481262804804011</v>
      </c>
      <c r="E106" s="214">
        <f>IF(E109=0,0,(E107/E109)*100)</f>
        <v>45.75236905342512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108587802</v>
      </c>
      <c r="D107" s="204">
        <f>+D103</f>
        <v>102938747</v>
      </c>
      <c r="E107" s="204">
        <f>+E103</f>
        <v>94968208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168209447</v>
      </c>
      <c r="D108" s="204">
        <f>+D32</f>
        <v>128481722</v>
      </c>
      <c r="E108" s="204">
        <f>+E32</f>
        <v>112601826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276797249</v>
      </c>
      <c r="D109" s="204">
        <f>+D107+D108</f>
        <v>231420469</v>
      </c>
      <c r="E109" s="204">
        <f>+E107+E108</f>
        <v>207570034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5.2579058130789056</v>
      </c>
      <c r="D111" s="214">
        <f>IF((+D113+D115)=0,0,((+D112+D113+D114)/(+D113+D115)))</f>
        <v>6.2767508366203568</v>
      </c>
      <c r="E111" s="214">
        <f>IF((+E113+E115)=0,0,((+E112+E113+E114)/(+E113+E115)))</f>
        <v>4.1148782629633303</v>
      </c>
    </row>
    <row r="112" spans="1:6" ht="24" customHeight="1" x14ac:dyDescent="0.2">
      <c r="A112" s="85">
        <v>16</v>
      </c>
      <c r="B112" s="75" t="s">
        <v>373</v>
      </c>
      <c r="C112" s="218">
        <f>+C17</f>
        <v>9327325</v>
      </c>
      <c r="D112" s="76">
        <f>+D17</f>
        <v>16263052</v>
      </c>
      <c r="E112" s="76">
        <f>+E17</f>
        <v>2330056</v>
      </c>
    </row>
    <row r="113" spans="1:8" ht="24" customHeight="1" x14ac:dyDescent="0.2">
      <c r="A113" s="85">
        <v>17</v>
      </c>
      <c r="B113" s="75" t="s">
        <v>88</v>
      </c>
      <c r="C113" s="218">
        <v>3542721</v>
      </c>
      <c r="D113" s="76">
        <v>3553690</v>
      </c>
      <c r="E113" s="76">
        <v>3520300</v>
      </c>
    </row>
    <row r="114" spans="1:8" ht="24" customHeight="1" x14ac:dyDescent="0.2">
      <c r="A114" s="85">
        <v>18</v>
      </c>
      <c r="B114" s="75" t="s">
        <v>374</v>
      </c>
      <c r="C114" s="218">
        <v>22635125</v>
      </c>
      <c r="D114" s="76">
        <v>23641535</v>
      </c>
      <c r="E114" s="76">
        <v>23201919</v>
      </c>
    </row>
    <row r="115" spans="1:8" ht="24" customHeight="1" x14ac:dyDescent="0.2">
      <c r="A115" s="85">
        <v>19</v>
      </c>
      <c r="B115" s="75" t="s">
        <v>104</v>
      </c>
      <c r="C115" s="218">
        <v>3210000</v>
      </c>
      <c r="D115" s="76">
        <v>3370000</v>
      </c>
      <c r="E115" s="76">
        <v>3540000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11.734643877601735</v>
      </c>
      <c r="D119" s="214">
        <f>IF(+D121=0,0,(+D120)/(+D121))</f>
        <v>12.006722490735056</v>
      </c>
      <c r="E119" s="214">
        <f>IF(+E121=0,0,(+E120)/(+E121))</f>
        <v>13.233591755923293</v>
      </c>
    </row>
    <row r="120" spans="1:8" ht="24" customHeight="1" x14ac:dyDescent="0.2">
      <c r="A120" s="85">
        <v>21</v>
      </c>
      <c r="B120" s="75" t="s">
        <v>378</v>
      </c>
      <c r="C120" s="218">
        <v>265615131</v>
      </c>
      <c r="D120" s="218">
        <v>283857350</v>
      </c>
      <c r="E120" s="218">
        <v>307044724</v>
      </c>
    </row>
    <row r="121" spans="1:8" ht="24" customHeight="1" x14ac:dyDescent="0.2">
      <c r="A121" s="85">
        <v>22</v>
      </c>
      <c r="B121" s="75" t="s">
        <v>374</v>
      </c>
      <c r="C121" s="218">
        <v>22635125</v>
      </c>
      <c r="D121" s="218">
        <v>23641535</v>
      </c>
      <c r="E121" s="218">
        <v>23201919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66332</v>
      </c>
      <c r="D124" s="218">
        <v>62219</v>
      </c>
      <c r="E124" s="218">
        <v>60634</v>
      </c>
    </row>
    <row r="125" spans="1:8" ht="24" customHeight="1" x14ac:dyDescent="0.2">
      <c r="A125" s="85">
        <v>2</v>
      </c>
      <c r="B125" s="75" t="s">
        <v>381</v>
      </c>
      <c r="C125" s="218">
        <v>14150</v>
      </c>
      <c r="D125" s="218">
        <v>14070</v>
      </c>
      <c r="E125" s="218">
        <v>13482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4.687773851590106</v>
      </c>
      <c r="D126" s="219">
        <f>IF(D125=0,0,D124/D125)</f>
        <v>4.4221037668798866</v>
      </c>
      <c r="E126" s="219">
        <f>IF(E125=0,0,E124/E125)</f>
        <v>4.4974039460020769</v>
      </c>
    </row>
    <row r="127" spans="1:8" ht="24" customHeight="1" x14ac:dyDescent="0.2">
      <c r="A127" s="85">
        <v>4</v>
      </c>
      <c r="B127" s="75" t="s">
        <v>383</v>
      </c>
      <c r="C127" s="218">
        <v>256</v>
      </c>
      <c r="D127" s="218">
        <v>248</v>
      </c>
      <c r="E127" s="218">
        <v>249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248</v>
      </c>
      <c r="E128" s="218">
        <v>249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256</v>
      </c>
      <c r="D129" s="218">
        <v>308</v>
      </c>
      <c r="E129" s="218">
        <v>308</v>
      </c>
    </row>
    <row r="130" spans="1:7" ht="24" customHeight="1" x14ac:dyDescent="0.2">
      <c r="A130" s="85">
        <v>7</v>
      </c>
      <c r="B130" s="75" t="s">
        <v>386</v>
      </c>
      <c r="C130" s="193">
        <v>0.70979999999999999</v>
      </c>
      <c r="D130" s="193">
        <v>0.68730000000000002</v>
      </c>
      <c r="E130" s="193">
        <v>0.66710000000000003</v>
      </c>
    </row>
    <row r="131" spans="1:7" ht="24" customHeight="1" x14ac:dyDescent="0.2">
      <c r="A131" s="85">
        <v>8</v>
      </c>
      <c r="B131" s="75" t="s">
        <v>387</v>
      </c>
      <c r="C131" s="193">
        <v>0.70979999999999999</v>
      </c>
      <c r="D131" s="193">
        <v>0.68730000000000002</v>
      </c>
      <c r="E131" s="193">
        <v>0.66710000000000003</v>
      </c>
    </row>
    <row r="132" spans="1:7" ht="24" customHeight="1" x14ac:dyDescent="0.2">
      <c r="A132" s="85">
        <v>9</v>
      </c>
      <c r="B132" s="75" t="s">
        <v>388</v>
      </c>
      <c r="C132" s="219">
        <v>1849.1</v>
      </c>
      <c r="D132" s="219">
        <v>1825.7</v>
      </c>
      <c r="E132" s="219">
        <v>1825.7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0.33733379608054304</v>
      </c>
      <c r="D135" s="227">
        <f>IF(D149=0,0,D143/D149)</f>
        <v>0.32365514152250741</v>
      </c>
      <c r="E135" s="227">
        <f>IF(E149=0,0,E143/E149)</f>
        <v>0.3190821825448894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0.42995661489242931</v>
      </c>
      <c r="D136" s="227">
        <f>IF(D149=0,0,D144/D149)</f>
        <v>0.43696094966818344</v>
      </c>
      <c r="E136" s="227">
        <f>IF(E149=0,0,E144/E149)</f>
        <v>0.43557799621586324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0.17094667043195316</v>
      </c>
      <c r="D137" s="227">
        <f>IF(D149=0,0,D145/D149)</f>
        <v>0.18164253944168862</v>
      </c>
      <c r="E137" s="227">
        <f>IF(E149=0,0,E145/E149)</f>
        <v>0.18384779767405335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4.5803279833329094E-3</v>
      </c>
      <c r="D138" s="227">
        <f>IF(D149=0,0,D146/D149)</f>
        <v>5.5088686271876101E-3</v>
      </c>
      <c r="E138" s="227">
        <f>IF(E149=0,0,E146/E149)</f>
        <v>6.9696862235450923E-3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1.4466018188449174E-2</v>
      </c>
      <c r="D139" s="227">
        <f>IF(D149=0,0,D147/D149)</f>
        <v>1.1899175632477227E-2</v>
      </c>
      <c r="E139" s="227">
        <f>IF(E149=0,0,E147/E149)</f>
        <v>1.3836920812520805E-2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4.271657242329243E-2</v>
      </c>
      <c r="D140" s="227">
        <f>IF(D149=0,0,D148/D149)</f>
        <v>4.0333325107955696E-2</v>
      </c>
      <c r="E140" s="227">
        <f>IF(E149=0,0,E148/E149)</f>
        <v>4.0685416529128111E-2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265865102</v>
      </c>
      <c r="D143" s="229">
        <f>+D46-D147</f>
        <v>271634863</v>
      </c>
      <c r="E143" s="229">
        <f>+E46-E147</f>
        <v>270167510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338864533</v>
      </c>
      <c r="D144" s="229">
        <f>+D51</f>
        <v>366729313</v>
      </c>
      <c r="E144" s="229">
        <f>+E51</f>
        <v>368804744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134729323</v>
      </c>
      <c r="D145" s="229">
        <f>+D55</f>
        <v>152447590</v>
      </c>
      <c r="E145" s="229">
        <f>+E55</f>
        <v>155664291</v>
      </c>
    </row>
    <row r="146" spans="1:7" ht="20.100000000000001" customHeight="1" x14ac:dyDescent="0.2">
      <c r="A146" s="226">
        <v>11</v>
      </c>
      <c r="B146" s="224" t="s">
        <v>400</v>
      </c>
      <c r="C146" s="228">
        <v>3609924</v>
      </c>
      <c r="D146" s="229">
        <v>4623442</v>
      </c>
      <c r="E146" s="229">
        <v>5901247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11401198</v>
      </c>
      <c r="D147" s="229">
        <f>+D47</f>
        <v>9986651</v>
      </c>
      <c r="E147" s="229">
        <f>+E47</f>
        <v>11715748</v>
      </c>
    </row>
    <row r="148" spans="1:7" ht="20.100000000000001" customHeight="1" x14ac:dyDescent="0.2">
      <c r="A148" s="226">
        <v>13</v>
      </c>
      <c r="B148" s="224" t="s">
        <v>402</v>
      </c>
      <c r="C148" s="230">
        <v>33666493</v>
      </c>
      <c r="D148" s="229">
        <v>33850651</v>
      </c>
      <c r="E148" s="229">
        <v>34448422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788136573</v>
      </c>
      <c r="D149" s="229">
        <f>SUM(D143:D148)</f>
        <v>839272510</v>
      </c>
      <c r="E149" s="229">
        <f>SUM(E143:E148)</f>
        <v>846701962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0.50097063673365072</v>
      </c>
      <c r="D152" s="227">
        <f>IF(D166=0,0,D160/D166)</f>
        <v>0.48546358914800081</v>
      </c>
      <c r="E152" s="227">
        <f>IF(E166=0,0,E160/E166)</f>
        <v>0.48247444775565029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0.35699901357065561</v>
      </c>
      <c r="D153" s="227">
        <f>IF(D166=0,0,D161/D166)</f>
        <v>0.36168364616104182</v>
      </c>
      <c r="E153" s="227">
        <f>IF(E166=0,0,E161/E166)</f>
        <v>0.36160165327630373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0.10634403994649871</v>
      </c>
      <c r="D154" s="227">
        <f>IF(D166=0,0,D162/D166)</f>
        <v>0.11810105293895816</v>
      </c>
      <c r="E154" s="227">
        <f>IF(E166=0,0,E162/E166)</f>
        <v>0.12008395624845214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3.1470159286990191E-3</v>
      </c>
      <c r="D155" s="227">
        <f>IF(D166=0,0,D163/D166)</f>
        <v>5.5124423130425027E-3</v>
      </c>
      <c r="E155" s="227">
        <f>IF(E166=0,0,E163/E166)</f>
        <v>2.0586883600265879E-3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0</v>
      </c>
      <c r="D156" s="227">
        <f>IF(D166=0,0,D164/D166)</f>
        <v>0</v>
      </c>
      <c r="E156" s="227">
        <f>IF(E166=0,0,E164/E166)</f>
        <v>0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3.2539293820495932E-2</v>
      </c>
      <c r="D157" s="227">
        <f>IF(D166=0,0,D165/D166)</f>
        <v>2.9239269438956755E-2</v>
      </c>
      <c r="E157" s="227">
        <f>IF(E166=0,0,E165/E166)</f>
        <v>3.3781254359567255E-2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1.0000000000000002</v>
      </c>
      <c r="D158" s="227">
        <f>SUM(D152:D157)</f>
        <v>0.99999999999999989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162923359</v>
      </c>
      <c r="D160" s="229">
        <f>+D44-D164</f>
        <v>164001136</v>
      </c>
      <c r="E160" s="229">
        <f>+E44-E164</f>
        <v>156878554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116101572</v>
      </c>
      <c r="D161" s="229">
        <f>+D50</f>
        <v>122185330</v>
      </c>
      <c r="E161" s="229">
        <f>+E50</f>
        <v>117576267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34584718</v>
      </c>
      <c r="D162" s="229">
        <f>+D54</f>
        <v>39897342</v>
      </c>
      <c r="E162" s="229">
        <f>+E54</f>
        <v>39045793</v>
      </c>
    </row>
    <row r="163" spans="1:6" ht="20.100000000000001" customHeight="1" x14ac:dyDescent="0.2">
      <c r="A163" s="226">
        <v>11</v>
      </c>
      <c r="B163" s="224" t="s">
        <v>415</v>
      </c>
      <c r="C163" s="228">
        <v>1023458</v>
      </c>
      <c r="D163" s="229">
        <v>1862234</v>
      </c>
      <c r="E163" s="229">
        <v>669391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0</v>
      </c>
      <c r="D164" s="229">
        <f>+D45</f>
        <v>0</v>
      </c>
      <c r="E164" s="229">
        <f>+E45</f>
        <v>0</v>
      </c>
    </row>
    <row r="165" spans="1:6" ht="20.100000000000001" customHeight="1" x14ac:dyDescent="0.2">
      <c r="A165" s="226">
        <v>13</v>
      </c>
      <c r="B165" s="224" t="s">
        <v>417</v>
      </c>
      <c r="C165" s="230">
        <v>10582279</v>
      </c>
      <c r="D165" s="229">
        <v>9877720</v>
      </c>
      <c r="E165" s="229">
        <v>10984114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325215386</v>
      </c>
      <c r="D166" s="229">
        <f>SUM(D160:D165)</f>
        <v>337823762</v>
      </c>
      <c r="E166" s="229">
        <f>SUM(E160:E165)</f>
        <v>325154119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3795</v>
      </c>
      <c r="D169" s="218">
        <v>3521</v>
      </c>
      <c r="E169" s="218">
        <v>3480</v>
      </c>
    </row>
    <row r="170" spans="1:6" ht="20.100000000000001" customHeight="1" x14ac:dyDescent="0.2">
      <c r="A170" s="226">
        <v>2</v>
      </c>
      <c r="B170" s="224" t="s">
        <v>420</v>
      </c>
      <c r="C170" s="218">
        <v>6362</v>
      </c>
      <c r="D170" s="218">
        <v>6527</v>
      </c>
      <c r="E170" s="218">
        <v>6205</v>
      </c>
    </row>
    <row r="171" spans="1:6" ht="20.100000000000001" customHeight="1" x14ac:dyDescent="0.2">
      <c r="A171" s="226">
        <v>3</v>
      </c>
      <c r="B171" s="224" t="s">
        <v>421</v>
      </c>
      <c r="C171" s="218">
        <v>3138</v>
      </c>
      <c r="D171" s="218">
        <v>3210</v>
      </c>
      <c r="E171" s="218">
        <v>3058</v>
      </c>
    </row>
    <row r="172" spans="1:6" ht="20.100000000000001" customHeight="1" x14ac:dyDescent="0.2">
      <c r="A172" s="226">
        <v>4</v>
      </c>
      <c r="B172" s="224" t="s">
        <v>422</v>
      </c>
      <c r="C172" s="218">
        <v>3032</v>
      </c>
      <c r="D172" s="218">
        <v>3087</v>
      </c>
      <c r="E172" s="218">
        <v>2975</v>
      </c>
    </row>
    <row r="173" spans="1:6" ht="20.100000000000001" customHeight="1" x14ac:dyDescent="0.2">
      <c r="A173" s="226">
        <v>5</v>
      </c>
      <c r="B173" s="224" t="s">
        <v>423</v>
      </c>
      <c r="C173" s="218">
        <v>106</v>
      </c>
      <c r="D173" s="218">
        <v>123</v>
      </c>
      <c r="E173" s="218">
        <v>83</v>
      </c>
    </row>
    <row r="174" spans="1:6" ht="20.100000000000001" customHeight="1" x14ac:dyDescent="0.2">
      <c r="A174" s="226">
        <v>6</v>
      </c>
      <c r="B174" s="224" t="s">
        <v>424</v>
      </c>
      <c r="C174" s="218">
        <v>855</v>
      </c>
      <c r="D174" s="218">
        <v>812</v>
      </c>
      <c r="E174" s="218">
        <v>739</v>
      </c>
    </row>
    <row r="175" spans="1:6" ht="20.100000000000001" customHeight="1" x14ac:dyDescent="0.2">
      <c r="A175" s="226">
        <v>7</v>
      </c>
      <c r="B175" s="224" t="s">
        <v>425</v>
      </c>
      <c r="C175" s="218">
        <v>89</v>
      </c>
      <c r="D175" s="218">
        <v>59</v>
      </c>
      <c r="E175" s="218">
        <v>70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14150</v>
      </c>
      <c r="D176" s="218">
        <f>+D169+D170+D171+D174</f>
        <v>14070</v>
      </c>
      <c r="E176" s="218">
        <f>+E169+E170+E171+E174</f>
        <v>13482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1.1585000000000001</v>
      </c>
      <c r="D179" s="231">
        <v>1.1632</v>
      </c>
      <c r="E179" s="231">
        <v>1.2228000000000001</v>
      </c>
    </row>
    <row r="180" spans="1:6" ht="20.100000000000001" customHeight="1" x14ac:dyDescent="0.2">
      <c r="A180" s="226">
        <v>2</v>
      </c>
      <c r="B180" s="224" t="s">
        <v>420</v>
      </c>
      <c r="C180" s="231">
        <v>1.4456</v>
      </c>
      <c r="D180" s="231">
        <v>1.4419999999999999</v>
      </c>
      <c r="E180" s="231">
        <v>1.4489000000000001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1.048522</v>
      </c>
      <c r="D181" s="231">
        <v>1.1052649999999999</v>
      </c>
      <c r="E181" s="231">
        <v>1.1571039999999999</v>
      </c>
    </row>
    <row r="182" spans="1:6" ht="20.100000000000001" customHeight="1" x14ac:dyDescent="0.2">
      <c r="A182" s="226">
        <v>4</v>
      </c>
      <c r="B182" s="224" t="s">
        <v>422</v>
      </c>
      <c r="C182" s="231">
        <v>1.0516000000000001</v>
      </c>
      <c r="D182" s="231">
        <v>1.1125</v>
      </c>
      <c r="E182" s="231">
        <v>1.1573</v>
      </c>
    </row>
    <row r="183" spans="1:6" ht="20.100000000000001" customHeight="1" x14ac:dyDescent="0.2">
      <c r="A183" s="226">
        <v>5</v>
      </c>
      <c r="B183" s="224" t="s">
        <v>423</v>
      </c>
      <c r="C183" s="231">
        <v>0.96050000000000002</v>
      </c>
      <c r="D183" s="231">
        <v>0.92369999999999997</v>
      </c>
      <c r="E183" s="231">
        <v>1.1500999999999999</v>
      </c>
    </row>
    <row r="184" spans="1:6" ht="20.100000000000001" customHeight="1" x14ac:dyDescent="0.2">
      <c r="A184" s="226">
        <v>6</v>
      </c>
      <c r="B184" s="224" t="s">
        <v>424</v>
      </c>
      <c r="C184" s="231">
        <v>0.99039999999999995</v>
      </c>
      <c r="D184" s="231">
        <v>0.94130000000000003</v>
      </c>
      <c r="E184" s="231">
        <v>0.9919</v>
      </c>
    </row>
    <row r="185" spans="1:6" ht="20.100000000000001" customHeight="1" x14ac:dyDescent="0.2">
      <c r="A185" s="226">
        <v>7</v>
      </c>
      <c r="B185" s="224" t="s">
        <v>425</v>
      </c>
      <c r="C185" s="231">
        <v>1.0591999999999999</v>
      </c>
      <c r="D185" s="231">
        <v>1.0829</v>
      </c>
      <c r="E185" s="231">
        <v>1.0834999999999999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1.253036</v>
      </c>
      <c r="D186" s="231">
        <v>1.26651</v>
      </c>
      <c r="E186" s="231">
        <v>1.2993030000000001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6903</v>
      </c>
      <c r="D189" s="218">
        <v>6573</v>
      </c>
      <c r="E189" s="218">
        <v>6539</v>
      </c>
    </row>
    <row r="190" spans="1:6" ht="20.100000000000001" customHeight="1" x14ac:dyDescent="0.2">
      <c r="A190" s="226">
        <v>2</v>
      </c>
      <c r="B190" s="224" t="s">
        <v>433</v>
      </c>
      <c r="C190" s="218">
        <v>75467</v>
      </c>
      <c r="D190" s="218">
        <v>75641</v>
      </c>
      <c r="E190" s="218">
        <v>73005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82370</v>
      </c>
      <c r="D191" s="218">
        <f>+D190+D189</f>
        <v>82214</v>
      </c>
      <c r="E191" s="218">
        <f>+E190+E189</f>
        <v>79544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4" fitToHeight="0" orientation="portrait" horizontalDpi="1200" verticalDpi="1200" r:id="rId1"/>
  <headerFooter>
    <oddHeader>&amp;LOFFICE OF HEALTH CARE ACCESS&amp;CTWELVE MONTHS ACTUAL FILING&amp;RLAWRENCE AND MEMORIAL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640251</v>
      </c>
      <c r="D14" s="258">
        <v>961608</v>
      </c>
      <c r="E14" s="258">
        <f t="shared" ref="E14:E24" si="0">D14-C14</f>
        <v>321357</v>
      </c>
      <c r="F14" s="259">
        <f t="shared" ref="F14:F24" si="1">IF(C14=0,0,E14/C14)</f>
        <v>0.50192346439130908</v>
      </c>
    </row>
    <row r="15" spans="1:7" ht="20.25" customHeight="1" x14ac:dyDescent="0.3">
      <c r="A15" s="256">
        <v>2</v>
      </c>
      <c r="B15" s="257" t="s">
        <v>442</v>
      </c>
      <c r="C15" s="258">
        <v>292061</v>
      </c>
      <c r="D15" s="258">
        <v>410284</v>
      </c>
      <c r="E15" s="258">
        <f t="shared" si="0"/>
        <v>118223</v>
      </c>
      <c r="F15" s="259">
        <f t="shared" si="1"/>
        <v>0.40478872564293078</v>
      </c>
    </row>
    <row r="16" spans="1:7" ht="20.25" customHeight="1" x14ac:dyDescent="0.3">
      <c r="A16" s="256">
        <v>3</v>
      </c>
      <c r="B16" s="257" t="s">
        <v>443</v>
      </c>
      <c r="C16" s="258">
        <v>395797</v>
      </c>
      <c r="D16" s="258">
        <v>859338</v>
      </c>
      <c r="E16" s="258">
        <f t="shared" si="0"/>
        <v>463541</v>
      </c>
      <c r="F16" s="259">
        <f t="shared" si="1"/>
        <v>1.1711584473859074</v>
      </c>
    </row>
    <row r="17" spans="1:6" ht="20.25" customHeight="1" x14ac:dyDescent="0.3">
      <c r="A17" s="256">
        <v>4</v>
      </c>
      <c r="B17" s="257" t="s">
        <v>444</v>
      </c>
      <c r="C17" s="258">
        <v>115306</v>
      </c>
      <c r="D17" s="258">
        <v>222266</v>
      </c>
      <c r="E17" s="258">
        <f t="shared" si="0"/>
        <v>106960</v>
      </c>
      <c r="F17" s="259">
        <f t="shared" si="1"/>
        <v>0.9276186841968328</v>
      </c>
    </row>
    <row r="18" spans="1:6" ht="20.25" customHeight="1" x14ac:dyDescent="0.3">
      <c r="A18" s="256">
        <v>5</v>
      </c>
      <c r="B18" s="257" t="s">
        <v>381</v>
      </c>
      <c r="C18" s="260">
        <v>24</v>
      </c>
      <c r="D18" s="260">
        <v>37</v>
      </c>
      <c r="E18" s="260">
        <f t="shared" si="0"/>
        <v>13</v>
      </c>
      <c r="F18" s="259">
        <f t="shared" si="1"/>
        <v>0.54166666666666663</v>
      </c>
    </row>
    <row r="19" spans="1:6" ht="20.25" customHeight="1" x14ac:dyDescent="0.3">
      <c r="A19" s="256">
        <v>6</v>
      </c>
      <c r="B19" s="257" t="s">
        <v>380</v>
      </c>
      <c r="C19" s="260">
        <v>150</v>
      </c>
      <c r="D19" s="260">
        <v>183</v>
      </c>
      <c r="E19" s="260">
        <f t="shared" si="0"/>
        <v>33</v>
      </c>
      <c r="F19" s="259">
        <f t="shared" si="1"/>
        <v>0.22</v>
      </c>
    </row>
    <row r="20" spans="1:6" ht="20.25" customHeight="1" x14ac:dyDescent="0.3">
      <c r="A20" s="256">
        <v>7</v>
      </c>
      <c r="B20" s="257" t="s">
        <v>445</v>
      </c>
      <c r="C20" s="260">
        <v>148</v>
      </c>
      <c r="D20" s="260">
        <v>496</v>
      </c>
      <c r="E20" s="260">
        <f t="shared" si="0"/>
        <v>348</v>
      </c>
      <c r="F20" s="259">
        <f t="shared" si="1"/>
        <v>2.3513513513513513</v>
      </c>
    </row>
    <row r="21" spans="1:6" ht="20.25" customHeight="1" x14ac:dyDescent="0.3">
      <c r="A21" s="256">
        <v>8</v>
      </c>
      <c r="B21" s="257" t="s">
        <v>446</v>
      </c>
      <c r="C21" s="260">
        <v>31</v>
      </c>
      <c r="D21" s="260">
        <v>106</v>
      </c>
      <c r="E21" s="260">
        <f t="shared" si="0"/>
        <v>75</v>
      </c>
      <c r="F21" s="259">
        <f t="shared" si="1"/>
        <v>2.4193548387096775</v>
      </c>
    </row>
    <row r="22" spans="1:6" ht="20.25" customHeight="1" x14ac:dyDescent="0.3">
      <c r="A22" s="256">
        <v>9</v>
      </c>
      <c r="B22" s="257" t="s">
        <v>447</v>
      </c>
      <c r="C22" s="260">
        <v>14</v>
      </c>
      <c r="D22" s="260">
        <v>15</v>
      </c>
      <c r="E22" s="260">
        <f t="shared" si="0"/>
        <v>1</v>
      </c>
      <c r="F22" s="259">
        <f t="shared" si="1"/>
        <v>7.1428571428571425E-2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1036048</v>
      </c>
      <c r="D23" s="263">
        <f>+D14+D16</f>
        <v>1820946</v>
      </c>
      <c r="E23" s="263">
        <f t="shared" si="0"/>
        <v>784898</v>
      </c>
      <c r="F23" s="264">
        <f t="shared" si="1"/>
        <v>0.75758845150031662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407367</v>
      </c>
      <c r="D24" s="263">
        <f>+D15+D17</f>
        <v>632550</v>
      </c>
      <c r="E24" s="263">
        <f t="shared" si="0"/>
        <v>225183</v>
      </c>
      <c r="F24" s="264">
        <f t="shared" si="1"/>
        <v>0.55277673449248466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2614</v>
      </c>
      <c r="E29" s="258">
        <f t="shared" si="2"/>
        <v>2614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2575</v>
      </c>
      <c r="E30" s="258">
        <f t="shared" si="2"/>
        <v>2575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2</v>
      </c>
      <c r="E34" s="260">
        <f t="shared" si="2"/>
        <v>2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2614</v>
      </c>
      <c r="E36" s="263">
        <f t="shared" si="2"/>
        <v>2614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2575</v>
      </c>
      <c r="E37" s="263">
        <f t="shared" si="2"/>
        <v>2575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10623599</v>
      </c>
      <c r="D40" s="258">
        <v>9765752</v>
      </c>
      <c r="E40" s="258">
        <f t="shared" ref="E40:E50" si="4">D40-C40</f>
        <v>-857847</v>
      </c>
      <c r="F40" s="259">
        <f t="shared" ref="F40:F50" si="5">IF(C40=0,0,E40/C40)</f>
        <v>-8.0749188669489505E-2</v>
      </c>
    </row>
    <row r="41" spans="1:6" ht="20.25" customHeight="1" x14ac:dyDescent="0.3">
      <c r="A41" s="256">
        <v>2</v>
      </c>
      <c r="B41" s="257" t="s">
        <v>442</v>
      </c>
      <c r="C41" s="258">
        <v>4607454</v>
      </c>
      <c r="D41" s="258">
        <v>4091403</v>
      </c>
      <c r="E41" s="258">
        <f t="shared" si="4"/>
        <v>-516051</v>
      </c>
      <c r="F41" s="259">
        <f t="shared" si="5"/>
        <v>-0.11200350562371322</v>
      </c>
    </row>
    <row r="42" spans="1:6" ht="20.25" customHeight="1" x14ac:dyDescent="0.3">
      <c r="A42" s="256">
        <v>3</v>
      </c>
      <c r="B42" s="257" t="s">
        <v>443</v>
      </c>
      <c r="C42" s="258">
        <v>13607072</v>
      </c>
      <c r="D42" s="258">
        <v>14353977</v>
      </c>
      <c r="E42" s="258">
        <f t="shared" si="4"/>
        <v>746905</v>
      </c>
      <c r="F42" s="259">
        <f t="shared" si="5"/>
        <v>5.4890942004275425E-2</v>
      </c>
    </row>
    <row r="43" spans="1:6" ht="20.25" customHeight="1" x14ac:dyDescent="0.3">
      <c r="A43" s="256">
        <v>4</v>
      </c>
      <c r="B43" s="257" t="s">
        <v>444</v>
      </c>
      <c r="C43" s="258">
        <v>3113888</v>
      </c>
      <c r="D43" s="258">
        <v>3368994</v>
      </c>
      <c r="E43" s="258">
        <f t="shared" si="4"/>
        <v>255106</v>
      </c>
      <c r="F43" s="259">
        <f t="shared" si="5"/>
        <v>8.192523302058391E-2</v>
      </c>
    </row>
    <row r="44" spans="1:6" ht="20.25" customHeight="1" x14ac:dyDescent="0.3">
      <c r="A44" s="256">
        <v>5</v>
      </c>
      <c r="B44" s="257" t="s">
        <v>381</v>
      </c>
      <c r="C44" s="260">
        <v>371</v>
      </c>
      <c r="D44" s="260">
        <v>332</v>
      </c>
      <c r="E44" s="260">
        <f t="shared" si="4"/>
        <v>-39</v>
      </c>
      <c r="F44" s="259">
        <f t="shared" si="5"/>
        <v>-0.10512129380053908</v>
      </c>
    </row>
    <row r="45" spans="1:6" ht="20.25" customHeight="1" x14ac:dyDescent="0.3">
      <c r="A45" s="256">
        <v>6</v>
      </c>
      <c r="B45" s="257" t="s">
        <v>380</v>
      </c>
      <c r="C45" s="260">
        <v>1791</v>
      </c>
      <c r="D45" s="260">
        <v>1732</v>
      </c>
      <c r="E45" s="260">
        <f t="shared" si="4"/>
        <v>-59</v>
      </c>
      <c r="F45" s="259">
        <f t="shared" si="5"/>
        <v>-3.2942490228922393E-2</v>
      </c>
    </row>
    <row r="46" spans="1:6" ht="20.25" customHeight="1" x14ac:dyDescent="0.3">
      <c r="A46" s="256">
        <v>7</v>
      </c>
      <c r="B46" s="257" t="s">
        <v>445</v>
      </c>
      <c r="C46" s="260">
        <v>9782</v>
      </c>
      <c r="D46" s="260">
        <v>9709</v>
      </c>
      <c r="E46" s="260">
        <f t="shared" si="4"/>
        <v>-73</v>
      </c>
      <c r="F46" s="259">
        <f t="shared" si="5"/>
        <v>-7.462686567164179E-3</v>
      </c>
    </row>
    <row r="47" spans="1:6" ht="20.25" customHeight="1" x14ac:dyDescent="0.3">
      <c r="A47" s="256">
        <v>8</v>
      </c>
      <c r="B47" s="257" t="s">
        <v>446</v>
      </c>
      <c r="C47" s="260">
        <v>769</v>
      </c>
      <c r="D47" s="260">
        <v>668</v>
      </c>
      <c r="E47" s="260">
        <f t="shared" si="4"/>
        <v>-101</v>
      </c>
      <c r="F47" s="259">
        <f t="shared" si="5"/>
        <v>-0.13133940182054615</v>
      </c>
    </row>
    <row r="48" spans="1:6" ht="20.25" customHeight="1" x14ac:dyDescent="0.3">
      <c r="A48" s="256">
        <v>9</v>
      </c>
      <c r="B48" s="257" t="s">
        <v>447</v>
      </c>
      <c r="C48" s="260">
        <v>176</v>
      </c>
      <c r="D48" s="260">
        <v>219</v>
      </c>
      <c r="E48" s="260">
        <f t="shared" si="4"/>
        <v>43</v>
      </c>
      <c r="F48" s="259">
        <f t="shared" si="5"/>
        <v>0.24431818181818182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24230671</v>
      </c>
      <c r="D49" s="263">
        <f>+D40+D42</f>
        <v>24119729</v>
      </c>
      <c r="E49" s="263">
        <f t="shared" si="4"/>
        <v>-110942</v>
      </c>
      <c r="F49" s="264">
        <f t="shared" si="5"/>
        <v>-4.5785772915657181E-3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7721342</v>
      </c>
      <c r="D50" s="263">
        <f>+D41+D43</f>
        <v>7460397</v>
      </c>
      <c r="E50" s="263">
        <f t="shared" si="4"/>
        <v>-260945</v>
      </c>
      <c r="F50" s="264">
        <f t="shared" si="5"/>
        <v>-3.3795291025834631E-2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0</v>
      </c>
      <c r="D66" s="258">
        <v>0</v>
      </c>
      <c r="E66" s="258">
        <f t="shared" ref="E66:E76" si="8">D66-C66</f>
        <v>0</v>
      </c>
      <c r="F66" s="259">
        <f t="shared" ref="F66:F76" si="9">IF(C66=0,0,E66/C66)</f>
        <v>0</v>
      </c>
    </row>
    <row r="67" spans="1:6" ht="20.25" customHeight="1" x14ac:dyDescent="0.3">
      <c r="A67" s="256">
        <v>2</v>
      </c>
      <c r="B67" s="257" t="s">
        <v>442</v>
      </c>
      <c r="C67" s="258">
        <v>0</v>
      </c>
      <c r="D67" s="258">
        <v>0</v>
      </c>
      <c r="E67" s="258">
        <f t="shared" si="8"/>
        <v>0</v>
      </c>
      <c r="F67" s="259">
        <f t="shared" si="9"/>
        <v>0</v>
      </c>
    </row>
    <row r="68" spans="1:6" ht="20.25" customHeight="1" x14ac:dyDescent="0.3">
      <c r="A68" s="256">
        <v>3</v>
      </c>
      <c r="B68" s="257" t="s">
        <v>443</v>
      </c>
      <c r="C68" s="258">
        <v>0</v>
      </c>
      <c r="D68" s="258">
        <v>0</v>
      </c>
      <c r="E68" s="258">
        <f t="shared" si="8"/>
        <v>0</v>
      </c>
      <c r="F68" s="259">
        <f t="shared" si="9"/>
        <v>0</v>
      </c>
    </row>
    <row r="69" spans="1:6" ht="20.25" customHeight="1" x14ac:dyDescent="0.3">
      <c r="A69" s="256">
        <v>4</v>
      </c>
      <c r="B69" s="257" t="s">
        <v>444</v>
      </c>
      <c r="C69" s="258">
        <v>0</v>
      </c>
      <c r="D69" s="258">
        <v>0</v>
      </c>
      <c r="E69" s="258">
        <f t="shared" si="8"/>
        <v>0</v>
      </c>
      <c r="F69" s="259">
        <f t="shared" si="9"/>
        <v>0</v>
      </c>
    </row>
    <row r="70" spans="1:6" ht="20.25" customHeight="1" x14ac:dyDescent="0.3">
      <c r="A70" s="256">
        <v>5</v>
      </c>
      <c r="B70" s="257" t="s">
        <v>381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0</v>
      </c>
      <c r="D71" s="260">
        <v>0</v>
      </c>
      <c r="E71" s="260">
        <f t="shared" si="8"/>
        <v>0</v>
      </c>
      <c r="F71" s="259">
        <f t="shared" si="9"/>
        <v>0</v>
      </c>
    </row>
    <row r="72" spans="1:6" ht="20.25" customHeight="1" x14ac:dyDescent="0.3">
      <c r="A72" s="256">
        <v>7</v>
      </c>
      <c r="B72" s="257" t="s">
        <v>445</v>
      </c>
      <c r="C72" s="260">
        <v>0</v>
      </c>
      <c r="D72" s="260">
        <v>0</v>
      </c>
      <c r="E72" s="260">
        <f t="shared" si="8"/>
        <v>0</v>
      </c>
      <c r="F72" s="259">
        <f t="shared" si="9"/>
        <v>0</v>
      </c>
    </row>
    <row r="73" spans="1:6" ht="20.25" customHeight="1" x14ac:dyDescent="0.3">
      <c r="A73" s="256">
        <v>8</v>
      </c>
      <c r="B73" s="257" t="s">
        <v>446</v>
      </c>
      <c r="C73" s="260">
        <v>0</v>
      </c>
      <c r="D73" s="260">
        <v>0</v>
      </c>
      <c r="E73" s="260">
        <f t="shared" si="8"/>
        <v>0</v>
      </c>
      <c r="F73" s="259">
        <f t="shared" si="9"/>
        <v>0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0</v>
      </c>
      <c r="D75" s="263">
        <f>+D66+D68</f>
        <v>0</v>
      </c>
      <c r="E75" s="263">
        <f t="shared" si="8"/>
        <v>0</v>
      </c>
      <c r="F75" s="264">
        <f t="shared" si="9"/>
        <v>0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0</v>
      </c>
      <c r="D76" s="263">
        <f>+D67+D69</f>
        <v>0</v>
      </c>
      <c r="E76" s="263">
        <f t="shared" si="8"/>
        <v>0</v>
      </c>
      <c r="F76" s="264">
        <f t="shared" si="9"/>
        <v>0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805986</v>
      </c>
      <c r="D79" s="258">
        <v>178360</v>
      </c>
      <c r="E79" s="258">
        <f t="shared" ref="E79:E89" si="10">D79-C79</f>
        <v>-627626</v>
      </c>
      <c r="F79" s="259">
        <f t="shared" ref="F79:F89" si="11">IF(C79=0,0,E79/C79)</f>
        <v>-0.77870583360008738</v>
      </c>
    </row>
    <row r="80" spans="1:6" ht="20.25" customHeight="1" x14ac:dyDescent="0.3">
      <c r="A80" s="256">
        <v>2</v>
      </c>
      <c r="B80" s="257" t="s">
        <v>442</v>
      </c>
      <c r="C80" s="258">
        <v>358281</v>
      </c>
      <c r="D80" s="258">
        <v>0</v>
      </c>
      <c r="E80" s="258">
        <f t="shared" si="10"/>
        <v>-358281</v>
      </c>
      <c r="F80" s="259">
        <f t="shared" si="11"/>
        <v>-1</v>
      </c>
    </row>
    <row r="81" spans="1:6" ht="20.25" customHeight="1" x14ac:dyDescent="0.3">
      <c r="A81" s="256">
        <v>3</v>
      </c>
      <c r="B81" s="257" t="s">
        <v>443</v>
      </c>
      <c r="C81" s="258">
        <v>408662</v>
      </c>
      <c r="D81" s="258">
        <v>360670</v>
      </c>
      <c r="E81" s="258">
        <f t="shared" si="10"/>
        <v>-47992</v>
      </c>
      <c r="F81" s="259">
        <f t="shared" si="11"/>
        <v>-0.11743690384718912</v>
      </c>
    </row>
    <row r="82" spans="1:6" ht="20.25" customHeight="1" x14ac:dyDescent="0.3">
      <c r="A82" s="256">
        <v>4</v>
      </c>
      <c r="B82" s="257" t="s">
        <v>444</v>
      </c>
      <c r="C82" s="258">
        <v>86325</v>
      </c>
      <c r="D82" s="258">
        <v>61060</v>
      </c>
      <c r="E82" s="258">
        <f t="shared" si="10"/>
        <v>-25265</v>
      </c>
      <c r="F82" s="259">
        <f t="shared" si="11"/>
        <v>-0.2926730379380249</v>
      </c>
    </row>
    <row r="83" spans="1:6" ht="20.25" customHeight="1" x14ac:dyDescent="0.3">
      <c r="A83" s="256">
        <v>5</v>
      </c>
      <c r="B83" s="257" t="s">
        <v>381</v>
      </c>
      <c r="C83" s="260">
        <v>28</v>
      </c>
      <c r="D83" s="260">
        <v>8</v>
      </c>
      <c r="E83" s="260">
        <f t="shared" si="10"/>
        <v>-20</v>
      </c>
      <c r="F83" s="259">
        <f t="shared" si="11"/>
        <v>-0.7142857142857143</v>
      </c>
    </row>
    <row r="84" spans="1:6" ht="20.25" customHeight="1" x14ac:dyDescent="0.3">
      <c r="A84" s="256">
        <v>6</v>
      </c>
      <c r="B84" s="257" t="s">
        <v>380</v>
      </c>
      <c r="C84" s="260">
        <v>163</v>
      </c>
      <c r="D84" s="260">
        <v>39</v>
      </c>
      <c r="E84" s="260">
        <f t="shared" si="10"/>
        <v>-124</v>
      </c>
      <c r="F84" s="259">
        <f t="shared" si="11"/>
        <v>-0.76073619631901845</v>
      </c>
    </row>
    <row r="85" spans="1:6" ht="20.25" customHeight="1" x14ac:dyDescent="0.3">
      <c r="A85" s="256">
        <v>7</v>
      </c>
      <c r="B85" s="257" t="s">
        <v>445</v>
      </c>
      <c r="C85" s="260">
        <v>197</v>
      </c>
      <c r="D85" s="260">
        <v>33</v>
      </c>
      <c r="E85" s="260">
        <f t="shared" si="10"/>
        <v>-164</v>
      </c>
      <c r="F85" s="259">
        <f t="shared" si="11"/>
        <v>-0.8324873096446701</v>
      </c>
    </row>
    <row r="86" spans="1:6" ht="20.25" customHeight="1" x14ac:dyDescent="0.3">
      <c r="A86" s="256">
        <v>8</v>
      </c>
      <c r="B86" s="257" t="s">
        <v>446</v>
      </c>
      <c r="C86" s="260">
        <v>69</v>
      </c>
      <c r="D86" s="260">
        <v>69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17</v>
      </c>
      <c r="D87" s="260">
        <v>7</v>
      </c>
      <c r="E87" s="260">
        <f t="shared" si="10"/>
        <v>-10</v>
      </c>
      <c r="F87" s="259">
        <f t="shared" si="11"/>
        <v>-0.58823529411764708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1214648</v>
      </c>
      <c r="D88" s="263">
        <f>+D79+D81</f>
        <v>539030</v>
      </c>
      <c r="E88" s="263">
        <f t="shared" si="10"/>
        <v>-675618</v>
      </c>
      <c r="F88" s="264">
        <f t="shared" si="11"/>
        <v>-0.55622534265071033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444606</v>
      </c>
      <c r="D89" s="263">
        <f>+D80+D82</f>
        <v>61060</v>
      </c>
      <c r="E89" s="263">
        <f t="shared" si="10"/>
        <v>-383546</v>
      </c>
      <c r="F89" s="264">
        <f t="shared" si="11"/>
        <v>-0.86266492130110706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13343581</v>
      </c>
      <c r="D92" s="258">
        <v>12255554</v>
      </c>
      <c r="E92" s="258">
        <f t="shared" ref="E92:E102" si="12">D92-C92</f>
        <v>-1088027</v>
      </c>
      <c r="F92" s="259">
        <f t="shared" ref="F92:F102" si="13">IF(C92=0,0,E92/C92)</f>
        <v>-8.1539355889547194E-2</v>
      </c>
    </row>
    <row r="93" spans="1:6" ht="20.25" customHeight="1" x14ac:dyDescent="0.3">
      <c r="A93" s="256">
        <v>2</v>
      </c>
      <c r="B93" s="257" t="s">
        <v>442</v>
      </c>
      <c r="C93" s="258">
        <v>5470170</v>
      </c>
      <c r="D93" s="258">
        <v>5632032</v>
      </c>
      <c r="E93" s="258">
        <f t="shared" si="12"/>
        <v>161862</v>
      </c>
      <c r="F93" s="259">
        <f t="shared" si="13"/>
        <v>2.9589939617964342E-2</v>
      </c>
    </row>
    <row r="94" spans="1:6" ht="20.25" customHeight="1" x14ac:dyDescent="0.3">
      <c r="A94" s="256">
        <v>3</v>
      </c>
      <c r="B94" s="257" t="s">
        <v>443</v>
      </c>
      <c r="C94" s="258">
        <v>19601111</v>
      </c>
      <c r="D94" s="258">
        <v>21890055</v>
      </c>
      <c r="E94" s="258">
        <f t="shared" si="12"/>
        <v>2288944</v>
      </c>
      <c r="F94" s="259">
        <f t="shared" si="13"/>
        <v>0.11677623783672263</v>
      </c>
    </row>
    <row r="95" spans="1:6" ht="20.25" customHeight="1" x14ac:dyDescent="0.3">
      <c r="A95" s="256">
        <v>4</v>
      </c>
      <c r="B95" s="257" t="s">
        <v>444</v>
      </c>
      <c r="C95" s="258">
        <v>5146196</v>
      </c>
      <c r="D95" s="258">
        <v>4922707</v>
      </c>
      <c r="E95" s="258">
        <f t="shared" si="12"/>
        <v>-223489</v>
      </c>
      <c r="F95" s="259">
        <f t="shared" si="13"/>
        <v>-4.3428000021763648E-2</v>
      </c>
    </row>
    <row r="96" spans="1:6" ht="20.25" customHeight="1" x14ac:dyDescent="0.3">
      <c r="A96" s="256">
        <v>5</v>
      </c>
      <c r="B96" s="257" t="s">
        <v>381</v>
      </c>
      <c r="C96" s="260">
        <v>466</v>
      </c>
      <c r="D96" s="260">
        <v>479</v>
      </c>
      <c r="E96" s="260">
        <f t="shared" si="12"/>
        <v>13</v>
      </c>
      <c r="F96" s="259">
        <f t="shared" si="13"/>
        <v>2.7896995708154508E-2</v>
      </c>
    </row>
    <row r="97" spans="1:6" ht="20.25" customHeight="1" x14ac:dyDescent="0.3">
      <c r="A97" s="256">
        <v>6</v>
      </c>
      <c r="B97" s="257" t="s">
        <v>380</v>
      </c>
      <c r="C97" s="260">
        <v>2389</v>
      </c>
      <c r="D97" s="260">
        <v>2270</v>
      </c>
      <c r="E97" s="260">
        <f t="shared" si="12"/>
        <v>-119</v>
      </c>
      <c r="F97" s="259">
        <f t="shared" si="13"/>
        <v>-4.9811636668061952E-2</v>
      </c>
    </row>
    <row r="98" spans="1:6" ht="20.25" customHeight="1" x14ac:dyDescent="0.3">
      <c r="A98" s="256">
        <v>7</v>
      </c>
      <c r="B98" s="257" t="s">
        <v>445</v>
      </c>
      <c r="C98" s="260">
        <v>13224</v>
      </c>
      <c r="D98" s="260">
        <v>13938</v>
      </c>
      <c r="E98" s="260">
        <f t="shared" si="12"/>
        <v>714</v>
      </c>
      <c r="F98" s="259">
        <f t="shared" si="13"/>
        <v>5.3992740471869326E-2</v>
      </c>
    </row>
    <row r="99" spans="1:6" ht="20.25" customHeight="1" x14ac:dyDescent="0.3">
      <c r="A99" s="256">
        <v>8</v>
      </c>
      <c r="B99" s="257" t="s">
        <v>446</v>
      </c>
      <c r="C99" s="260">
        <v>1073</v>
      </c>
      <c r="D99" s="260">
        <v>1065</v>
      </c>
      <c r="E99" s="260">
        <f t="shared" si="12"/>
        <v>-8</v>
      </c>
      <c r="F99" s="259">
        <f t="shared" si="13"/>
        <v>-7.4557315936626279E-3</v>
      </c>
    </row>
    <row r="100" spans="1:6" ht="20.25" customHeight="1" x14ac:dyDescent="0.3">
      <c r="A100" s="256">
        <v>9</v>
      </c>
      <c r="B100" s="257" t="s">
        <v>447</v>
      </c>
      <c r="C100" s="260">
        <v>280</v>
      </c>
      <c r="D100" s="260">
        <v>290</v>
      </c>
      <c r="E100" s="260">
        <f t="shared" si="12"/>
        <v>10</v>
      </c>
      <c r="F100" s="259">
        <f t="shared" si="13"/>
        <v>3.5714285714285712E-2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32944692</v>
      </c>
      <c r="D101" s="263">
        <f>+D92+D94</f>
        <v>34145609</v>
      </c>
      <c r="E101" s="263">
        <f t="shared" si="12"/>
        <v>1200917</v>
      </c>
      <c r="F101" s="264">
        <f t="shared" si="13"/>
        <v>3.6452518663704608E-2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10616366</v>
      </c>
      <c r="D102" s="263">
        <f>+D93+D95</f>
        <v>10554739</v>
      </c>
      <c r="E102" s="263">
        <f t="shared" si="12"/>
        <v>-61627</v>
      </c>
      <c r="F102" s="264">
        <f t="shared" si="13"/>
        <v>-5.8049053696905325E-3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1046836</v>
      </c>
      <c r="D118" s="258">
        <v>914908</v>
      </c>
      <c r="E118" s="258">
        <f t="shared" ref="E118:E128" si="16">D118-C118</f>
        <v>-131928</v>
      </c>
      <c r="F118" s="259">
        <f t="shared" ref="F118:F128" si="17">IF(C118=0,0,E118/C118)</f>
        <v>-0.12602547103844347</v>
      </c>
    </row>
    <row r="119" spans="1:6" ht="20.25" customHeight="1" x14ac:dyDescent="0.3">
      <c r="A119" s="256">
        <v>2</v>
      </c>
      <c r="B119" s="257" t="s">
        <v>442</v>
      </c>
      <c r="C119" s="258">
        <v>399697</v>
      </c>
      <c r="D119" s="258">
        <v>444506</v>
      </c>
      <c r="E119" s="258">
        <f t="shared" si="16"/>
        <v>44809</v>
      </c>
      <c r="F119" s="259">
        <f t="shared" si="17"/>
        <v>0.11210742137168905</v>
      </c>
    </row>
    <row r="120" spans="1:6" ht="20.25" customHeight="1" x14ac:dyDescent="0.3">
      <c r="A120" s="256">
        <v>3</v>
      </c>
      <c r="B120" s="257" t="s">
        <v>443</v>
      </c>
      <c r="C120" s="258">
        <v>1025988</v>
      </c>
      <c r="D120" s="258">
        <v>1930736</v>
      </c>
      <c r="E120" s="258">
        <f t="shared" si="16"/>
        <v>904748</v>
      </c>
      <c r="F120" s="259">
        <f t="shared" si="17"/>
        <v>0.88183097658062282</v>
      </c>
    </row>
    <row r="121" spans="1:6" ht="20.25" customHeight="1" x14ac:dyDescent="0.3">
      <c r="A121" s="256">
        <v>4</v>
      </c>
      <c r="B121" s="257" t="s">
        <v>444</v>
      </c>
      <c r="C121" s="258">
        <v>209732</v>
      </c>
      <c r="D121" s="258">
        <v>499073</v>
      </c>
      <c r="E121" s="258">
        <f t="shared" si="16"/>
        <v>289341</v>
      </c>
      <c r="F121" s="259">
        <f t="shared" si="17"/>
        <v>1.3795748860450481</v>
      </c>
    </row>
    <row r="122" spans="1:6" ht="20.25" customHeight="1" x14ac:dyDescent="0.3">
      <c r="A122" s="256">
        <v>5</v>
      </c>
      <c r="B122" s="257" t="s">
        <v>381</v>
      </c>
      <c r="C122" s="260">
        <v>40</v>
      </c>
      <c r="D122" s="260">
        <v>38</v>
      </c>
      <c r="E122" s="260">
        <f t="shared" si="16"/>
        <v>-2</v>
      </c>
      <c r="F122" s="259">
        <f t="shared" si="17"/>
        <v>-0.05</v>
      </c>
    </row>
    <row r="123" spans="1:6" ht="20.25" customHeight="1" x14ac:dyDescent="0.3">
      <c r="A123" s="256">
        <v>6</v>
      </c>
      <c r="B123" s="257" t="s">
        <v>380</v>
      </c>
      <c r="C123" s="260">
        <v>204</v>
      </c>
      <c r="D123" s="260">
        <v>152</v>
      </c>
      <c r="E123" s="260">
        <f t="shared" si="16"/>
        <v>-52</v>
      </c>
      <c r="F123" s="259">
        <f t="shared" si="17"/>
        <v>-0.25490196078431371</v>
      </c>
    </row>
    <row r="124" spans="1:6" ht="20.25" customHeight="1" x14ac:dyDescent="0.3">
      <c r="A124" s="256">
        <v>7</v>
      </c>
      <c r="B124" s="257" t="s">
        <v>445</v>
      </c>
      <c r="C124" s="260">
        <v>872</v>
      </c>
      <c r="D124" s="260">
        <v>1194</v>
      </c>
      <c r="E124" s="260">
        <f t="shared" si="16"/>
        <v>322</v>
      </c>
      <c r="F124" s="259">
        <f t="shared" si="17"/>
        <v>0.36926605504587157</v>
      </c>
    </row>
    <row r="125" spans="1:6" ht="20.25" customHeight="1" x14ac:dyDescent="0.3">
      <c r="A125" s="256">
        <v>8</v>
      </c>
      <c r="B125" s="257" t="s">
        <v>446</v>
      </c>
      <c r="C125" s="260">
        <v>68</v>
      </c>
      <c r="D125" s="260">
        <v>82</v>
      </c>
      <c r="E125" s="260">
        <f t="shared" si="16"/>
        <v>14</v>
      </c>
      <c r="F125" s="259">
        <f t="shared" si="17"/>
        <v>0.20588235294117646</v>
      </c>
    </row>
    <row r="126" spans="1:6" ht="20.25" customHeight="1" x14ac:dyDescent="0.3">
      <c r="A126" s="256">
        <v>9</v>
      </c>
      <c r="B126" s="257" t="s">
        <v>447</v>
      </c>
      <c r="C126" s="260">
        <v>17</v>
      </c>
      <c r="D126" s="260">
        <v>27</v>
      </c>
      <c r="E126" s="260">
        <f t="shared" si="16"/>
        <v>10</v>
      </c>
      <c r="F126" s="259">
        <f t="shared" si="17"/>
        <v>0.58823529411764708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2072824</v>
      </c>
      <c r="D127" s="263">
        <f>+D118+D120</f>
        <v>2845644</v>
      </c>
      <c r="E127" s="263">
        <f t="shared" si="16"/>
        <v>772820</v>
      </c>
      <c r="F127" s="264">
        <f t="shared" si="17"/>
        <v>0.37283435544937726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609429</v>
      </c>
      <c r="D128" s="263">
        <f>+D119+D121</f>
        <v>943579</v>
      </c>
      <c r="E128" s="263">
        <f t="shared" si="16"/>
        <v>334150</v>
      </c>
      <c r="F128" s="264">
        <f t="shared" si="17"/>
        <v>0.54830013012180256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53037</v>
      </c>
      <c r="D131" s="258">
        <v>205033</v>
      </c>
      <c r="E131" s="258">
        <f t="shared" ref="E131:E141" si="18">D131-C131</f>
        <v>151996</v>
      </c>
      <c r="F131" s="259">
        <f t="shared" ref="F131:F141" si="19">IF(C131=0,0,E131/C131)</f>
        <v>2.8658483700058448</v>
      </c>
    </row>
    <row r="132" spans="1:6" ht="20.25" customHeight="1" x14ac:dyDescent="0.3">
      <c r="A132" s="256">
        <v>2</v>
      </c>
      <c r="B132" s="257" t="s">
        <v>442</v>
      </c>
      <c r="C132" s="258">
        <v>30027</v>
      </c>
      <c r="D132" s="258">
        <v>87365</v>
      </c>
      <c r="E132" s="258">
        <f t="shared" si="18"/>
        <v>57338</v>
      </c>
      <c r="F132" s="259">
        <f t="shared" si="19"/>
        <v>1.9095480734006061</v>
      </c>
    </row>
    <row r="133" spans="1:6" ht="20.25" customHeight="1" x14ac:dyDescent="0.3">
      <c r="A133" s="256">
        <v>3</v>
      </c>
      <c r="B133" s="257" t="s">
        <v>443</v>
      </c>
      <c r="C133" s="258">
        <v>123724</v>
      </c>
      <c r="D133" s="258">
        <v>338316</v>
      </c>
      <c r="E133" s="258">
        <f t="shared" si="18"/>
        <v>214592</v>
      </c>
      <c r="F133" s="259">
        <f t="shared" si="19"/>
        <v>1.7344411755197051</v>
      </c>
    </row>
    <row r="134" spans="1:6" ht="20.25" customHeight="1" x14ac:dyDescent="0.3">
      <c r="A134" s="256">
        <v>4</v>
      </c>
      <c r="B134" s="257" t="s">
        <v>444</v>
      </c>
      <c r="C134" s="258">
        <v>53401</v>
      </c>
      <c r="D134" s="258">
        <v>104888</v>
      </c>
      <c r="E134" s="258">
        <f t="shared" si="18"/>
        <v>51487</v>
      </c>
      <c r="F134" s="259">
        <f t="shared" si="19"/>
        <v>0.9641579745697646</v>
      </c>
    </row>
    <row r="135" spans="1:6" ht="20.25" customHeight="1" x14ac:dyDescent="0.3">
      <c r="A135" s="256">
        <v>5</v>
      </c>
      <c r="B135" s="257" t="s">
        <v>381</v>
      </c>
      <c r="C135" s="260">
        <v>3</v>
      </c>
      <c r="D135" s="260">
        <v>7</v>
      </c>
      <c r="E135" s="260">
        <f t="shared" si="18"/>
        <v>4</v>
      </c>
      <c r="F135" s="259">
        <f t="shared" si="19"/>
        <v>1.3333333333333333</v>
      </c>
    </row>
    <row r="136" spans="1:6" ht="20.25" customHeight="1" x14ac:dyDescent="0.3">
      <c r="A136" s="256">
        <v>6</v>
      </c>
      <c r="B136" s="257" t="s">
        <v>380</v>
      </c>
      <c r="C136" s="260">
        <v>13</v>
      </c>
      <c r="D136" s="260">
        <v>30</v>
      </c>
      <c r="E136" s="260">
        <f t="shared" si="18"/>
        <v>17</v>
      </c>
      <c r="F136" s="259">
        <f t="shared" si="19"/>
        <v>1.3076923076923077</v>
      </c>
    </row>
    <row r="137" spans="1:6" ht="20.25" customHeight="1" x14ac:dyDescent="0.3">
      <c r="A137" s="256">
        <v>7</v>
      </c>
      <c r="B137" s="257" t="s">
        <v>445</v>
      </c>
      <c r="C137" s="260">
        <v>58</v>
      </c>
      <c r="D137" s="260">
        <v>50</v>
      </c>
      <c r="E137" s="260">
        <f t="shared" si="18"/>
        <v>-8</v>
      </c>
      <c r="F137" s="259">
        <f t="shared" si="19"/>
        <v>-0.13793103448275862</v>
      </c>
    </row>
    <row r="138" spans="1:6" ht="20.25" customHeight="1" x14ac:dyDescent="0.3">
      <c r="A138" s="256">
        <v>8</v>
      </c>
      <c r="B138" s="257" t="s">
        <v>446</v>
      </c>
      <c r="C138" s="260">
        <v>13</v>
      </c>
      <c r="D138" s="260">
        <v>25</v>
      </c>
      <c r="E138" s="260">
        <f t="shared" si="18"/>
        <v>12</v>
      </c>
      <c r="F138" s="259">
        <f t="shared" si="19"/>
        <v>0.92307692307692313</v>
      </c>
    </row>
    <row r="139" spans="1:6" ht="20.25" customHeight="1" x14ac:dyDescent="0.3">
      <c r="A139" s="256">
        <v>9</v>
      </c>
      <c r="B139" s="257" t="s">
        <v>447</v>
      </c>
      <c r="C139" s="260">
        <v>3</v>
      </c>
      <c r="D139" s="260">
        <v>3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176761</v>
      </c>
      <c r="D140" s="263">
        <f>+D131+D133</f>
        <v>543349</v>
      </c>
      <c r="E140" s="263">
        <f t="shared" si="18"/>
        <v>366588</v>
      </c>
      <c r="F140" s="264">
        <f t="shared" si="19"/>
        <v>2.073919020598435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83428</v>
      </c>
      <c r="D141" s="263">
        <f>+D132+D134</f>
        <v>192253</v>
      </c>
      <c r="E141" s="263">
        <f t="shared" si="18"/>
        <v>108825</v>
      </c>
      <c r="F141" s="264">
        <f t="shared" si="19"/>
        <v>1.3044181809464448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2892</v>
      </c>
      <c r="D144" s="258">
        <v>0</v>
      </c>
      <c r="E144" s="258">
        <f t="shared" ref="E144:E154" si="20">D144-C144</f>
        <v>-2892</v>
      </c>
      <c r="F144" s="259">
        <f t="shared" ref="F144:F154" si="21">IF(C144=0,0,E144/C144)</f>
        <v>-1</v>
      </c>
    </row>
    <row r="145" spans="1:6" ht="20.25" customHeight="1" x14ac:dyDescent="0.3">
      <c r="A145" s="256">
        <v>2</v>
      </c>
      <c r="B145" s="257" t="s">
        <v>442</v>
      </c>
      <c r="C145" s="258">
        <v>553</v>
      </c>
      <c r="D145" s="258">
        <v>0</v>
      </c>
      <c r="E145" s="258">
        <f t="shared" si="20"/>
        <v>-553</v>
      </c>
      <c r="F145" s="259">
        <f t="shared" si="21"/>
        <v>-1</v>
      </c>
    </row>
    <row r="146" spans="1:6" ht="20.25" customHeight="1" x14ac:dyDescent="0.3">
      <c r="A146" s="256">
        <v>3</v>
      </c>
      <c r="B146" s="257" t="s">
        <v>443</v>
      </c>
      <c r="C146" s="258">
        <v>46813</v>
      </c>
      <c r="D146" s="258">
        <v>19954</v>
      </c>
      <c r="E146" s="258">
        <f t="shared" si="20"/>
        <v>-26859</v>
      </c>
      <c r="F146" s="259">
        <f t="shared" si="21"/>
        <v>-0.57375088116548822</v>
      </c>
    </row>
    <row r="147" spans="1:6" ht="20.25" customHeight="1" x14ac:dyDescent="0.3">
      <c r="A147" s="256">
        <v>4</v>
      </c>
      <c r="B147" s="257" t="s">
        <v>444</v>
      </c>
      <c r="C147" s="258">
        <v>9969</v>
      </c>
      <c r="D147" s="258">
        <v>4928</v>
      </c>
      <c r="E147" s="258">
        <f t="shared" si="20"/>
        <v>-5041</v>
      </c>
      <c r="F147" s="259">
        <f t="shared" si="21"/>
        <v>-0.50566756946534253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44</v>
      </c>
      <c r="D150" s="260">
        <v>17</v>
      </c>
      <c r="E150" s="260">
        <f t="shared" si="20"/>
        <v>-27</v>
      </c>
      <c r="F150" s="259">
        <f t="shared" si="21"/>
        <v>-0.61363636363636365</v>
      </c>
    </row>
    <row r="151" spans="1:6" ht="20.25" customHeight="1" x14ac:dyDescent="0.3">
      <c r="A151" s="256">
        <v>8</v>
      </c>
      <c r="B151" s="257" t="s">
        <v>446</v>
      </c>
      <c r="C151" s="260">
        <v>2</v>
      </c>
      <c r="D151" s="260">
        <v>5</v>
      </c>
      <c r="E151" s="260">
        <f t="shared" si="20"/>
        <v>3</v>
      </c>
      <c r="F151" s="259">
        <f t="shared" si="21"/>
        <v>1.5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49705</v>
      </c>
      <c r="D153" s="263">
        <f>+D144+D146</f>
        <v>19954</v>
      </c>
      <c r="E153" s="263">
        <f t="shared" si="20"/>
        <v>-29751</v>
      </c>
      <c r="F153" s="264">
        <f t="shared" si="21"/>
        <v>-0.59855145357609896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10522</v>
      </c>
      <c r="D154" s="263">
        <f>+D145+D147</f>
        <v>4928</v>
      </c>
      <c r="E154" s="263">
        <f t="shared" si="20"/>
        <v>-5594</v>
      </c>
      <c r="F154" s="264">
        <f t="shared" si="21"/>
        <v>-0.53164797567002475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26516182</v>
      </c>
      <c r="D198" s="263">
        <f t="shared" si="28"/>
        <v>24281215</v>
      </c>
      <c r="E198" s="263">
        <f t="shared" ref="E198:E208" si="29">D198-C198</f>
        <v>-2234967</v>
      </c>
      <c r="F198" s="273">
        <f t="shared" ref="F198:F208" si="30">IF(C198=0,0,E198/C198)</f>
        <v>-8.4286908273596861E-2</v>
      </c>
    </row>
    <row r="199" spans="1:9" ht="20.25" customHeight="1" x14ac:dyDescent="0.3">
      <c r="A199" s="271"/>
      <c r="B199" s="272" t="s">
        <v>466</v>
      </c>
      <c r="C199" s="263">
        <f t="shared" si="28"/>
        <v>11158243</v>
      </c>
      <c r="D199" s="263">
        <f t="shared" si="28"/>
        <v>10665590</v>
      </c>
      <c r="E199" s="263">
        <f t="shared" si="29"/>
        <v>-492653</v>
      </c>
      <c r="F199" s="273">
        <f t="shared" si="30"/>
        <v>-4.4151485139730329E-2</v>
      </c>
    </row>
    <row r="200" spans="1:9" ht="20.25" customHeight="1" x14ac:dyDescent="0.3">
      <c r="A200" s="271"/>
      <c r="B200" s="272" t="s">
        <v>467</v>
      </c>
      <c r="C200" s="263">
        <f t="shared" si="28"/>
        <v>35209167</v>
      </c>
      <c r="D200" s="263">
        <f t="shared" si="28"/>
        <v>39755660</v>
      </c>
      <c r="E200" s="263">
        <f t="shared" si="29"/>
        <v>4546493</v>
      </c>
      <c r="F200" s="273">
        <f t="shared" si="30"/>
        <v>0.129128104621163</v>
      </c>
    </row>
    <row r="201" spans="1:9" ht="20.25" customHeight="1" x14ac:dyDescent="0.3">
      <c r="A201" s="271"/>
      <c r="B201" s="272" t="s">
        <v>468</v>
      </c>
      <c r="C201" s="263">
        <f t="shared" si="28"/>
        <v>8734817</v>
      </c>
      <c r="D201" s="263">
        <f t="shared" si="28"/>
        <v>9186491</v>
      </c>
      <c r="E201" s="263">
        <f t="shared" si="29"/>
        <v>451674</v>
      </c>
      <c r="F201" s="273">
        <f t="shared" si="30"/>
        <v>5.1709612233433171E-2</v>
      </c>
    </row>
    <row r="202" spans="1:9" ht="20.25" customHeight="1" x14ac:dyDescent="0.3">
      <c r="A202" s="271"/>
      <c r="B202" s="272" t="s">
        <v>138</v>
      </c>
      <c r="C202" s="274">
        <f t="shared" si="28"/>
        <v>932</v>
      </c>
      <c r="D202" s="274">
        <f t="shared" si="28"/>
        <v>901</v>
      </c>
      <c r="E202" s="274">
        <f t="shared" si="29"/>
        <v>-31</v>
      </c>
      <c r="F202" s="273">
        <f t="shared" si="30"/>
        <v>-3.3261802575107295E-2</v>
      </c>
    </row>
    <row r="203" spans="1:9" ht="20.25" customHeight="1" x14ac:dyDescent="0.3">
      <c r="A203" s="271"/>
      <c r="B203" s="272" t="s">
        <v>140</v>
      </c>
      <c r="C203" s="274">
        <f t="shared" si="28"/>
        <v>4710</v>
      </c>
      <c r="D203" s="274">
        <f t="shared" si="28"/>
        <v>4406</v>
      </c>
      <c r="E203" s="274">
        <f t="shared" si="29"/>
        <v>-304</v>
      </c>
      <c r="F203" s="273">
        <f t="shared" si="30"/>
        <v>-6.4543524416135881E-2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24325</v>
      </c>
      <c r="D204" s="274">
        <f t="shared" si="28"/>
        <v>25437</v>
      </c>
      <c r="E204" s="274">
        <f t="shared" si="29"/>
        <v>1112</v>
      </c>
      <c r="F204" s="273">
        <f t="shared" si="30"/>
        <v>4.5714285714285714E-2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2025</v>
      </c>
      <c r="D205" s="274">
        <f t="shared" si="28"/>
        <v>2022</v>
      </c>
      <c r="E205" s="274">
        <f t="shared" si="29"/>
        <v>-3</v>
      </c>
      <c r="F205" s="273">
        <f t="shared" si="30"/>
        <v>-1.4814814814814814E-3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507</v>
      </c>
      <c r="D206" s="274">
        <f t="shared" si="28"/>
        <v>561</v>
      </c>
      <c r="E206" s="274">
        <f t="shared" si="29"/>
        <v>54</v>
      </c>
      <c r="F206" s="273">
        <f t="shared" si="30"/>
        <v>0.10650887573964497</v>
      </c>
    </row>
    <row r="207" spans="1:9" ht="20.25" customHeight="1" x14ac:dyDescent="0.3">
      <c r="A207" s="271"/>
      <c r="B207" s="262" t="s">
        <v>471</v>
      </c>
      <c r="C207" s="263">
        <f>+C198+C200</f>
        <v>61725349</v>
      </c>
      <c r="D207" s="263">
        <f>+D198+D200</f>
        <v>64036875</v>
      </c>
      <c r="E207" s="263">
        <f t="shared" si="29"/>
        <v>2311526</v>
      </c>
      <c r="F207" s="273">
        <f t="shared" si="30"/>
        <v>3.7448569144582722E-2</v>
      </c>
    </row>
    <row r="208" spans="1:9" ht="20.25" customHeight="1" x14ac:dyDescent="0.3">
      <c r="A208" s="271"/>
      <c r="B208" s="262" t="s">
        <v>472</v>
      </c>
      <c r="C208" s="263">
        <f>+C199+C201</f>
        <v>19893060</v>
      </c>
      <c r="D208" s="263">
        <f>+D199+D201</f>
        <v>19852081</v>
      </c>
      <c r="E208" s="263">
        <f t="shared" si="29"/>
        <v>-40979</v>
      </c>
      <c r="F208" s="273">
        <f t="shared" si="30"/>
        <v>-2.0599646308813225E-3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6" fitToHeight="0" orientation="portrait" horizontalDpi="1200" verticalDpi="1200" r:id="rId1"/>
  <headerFooter>
    <oddHeader>&amp;LOFFICE OF HEALTH CARE ACCESS&amp;CTWELVE MONTHS ACTUAL FILING&amp;RLAWRENCE AND MEMORIAL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6" fitToHeight="0" orientation="portrait" horizontalDpi="1200" verticalDpi="1200" r:id="rId1"/>
  <headerFooter>
    <oddHeader>&amp;LOFFICE OF HEALTH CARE ACCESS&amp;CTWELVE MONTHS ACTUAL FILING&amp;RLAWRENCE AND MEMORIAL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24264612</v>
      </c>
      <c r="D13" s="22">
        <v>14026653</v>
      </c>
      <c r="E13" s="22">
        <f t="shared" ref="E13:E22" si="0">D13-C13</f>
        <v>-10237959</v>
      </c>
      <c r="F13" s="306">
        <f t="shared" ref="F13:F22" si="1">IF(C13=0,0,E13/C13)</f>
        <v>-0.42192963975686071</v>
      </c>
    </row>
    <row r="14" spans="1:8" ht="24" customHeight="1" x14ac:dyDescent="0.2">
      <c r="A14" s="304">
        <v>2</v>
      </c>
      <c r="B14" s="305" t="s">
        <v>17</v>
      </c>
      <c r="C14" s="22">
        <v>162278643</v>
      </c>
      <c r="D14" s="22">
        <v>156268365</v>
      </c>
      <c r="E14" s="22">
        <f t="shared" si="0"/>
        <v>-6010278</v>
      </c>
      <c r="F14" s="306">
        <f t="shared" si="1"/>
        <v>-3.7036777538249445E-2</v>
      </c>
    </row>
    <row r="15" spans="1:8" ht="35.1" customHeight="1" x14ac:dyDescent="0.2">
      <c r="A15" s="304">
        <v>3</v>
      </c>
      <c r="B15" s="305" t="s">
        <v>18</v>
      </c>
      <c r="C15" s="22">
        <v>50471594</v>
      </c>
      <c r="D15" s="22">
        <v>39781581</v>
      </c>
      <c r="E15" s="22">
        <f t="shared" si="0"/>
        <v>-10690013</v>
      </c>
      <c r="F15" s="306">
        <f t="shared" si="1"/>
        <v>-0.21180256363609201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8154843</v>
      </c>
      <c r="D19" s="22">
        <v>6339039</v>
      </c>
      <c r="E19" s="22">
        <f t="shared" si="0"/>
        <v>-1815804</v>
      </c>
      <c r="F19" s="306">
        <f t="shared" si="1"/>
        <v>-0.22266572146146774</v>
      </c>
    </row>
    <row r="20" spans="1:11" ht="24" customHeight="1" x14ac:dyDescent="0.2">
      <c r="A20" s="304">
        <v>8</v>
      </c>
      <c r="B20" s="305" t="s">
        <v>23</v>
      </c>
      <c r="C20" s="22">
        <v>3810426</v>
      </c>
      <c r="D20" s="22">
        <v>2693579</v>
      </c>
      <c r="E20" s="22">
        <f t="shared" si="0"/>
        <v>-1116847</v>
      </c>
      <c r="F20" s="306">
        <f t="shared" si="1"/>
        <v>-0.29310292340016575</v>
      </c>
    </row>
    <row r="21" spans="1:11" ht="24" customHeight="1" x14ac:dyDescent="0.2">
      <c r="A21" s="304">
        <v>9</v>
      </c>
      <c r="B21" s="305" t="s">
        <v>24</v>
      </c>
      <c r="C21" s="22">
        <v>7379893</v>
      </c>
      <c r="D21" s="22">
        <v>8119367</v>
      </c>
      <c r="E21" s="22">
        <f t="shared" si="0"/>
        <v>739474</v>
      </c>
      <c r="F21" s="306">
        <f t="shared" si="1"/>
        <v>0.10020118177865181</v>
      </c>
    </row>
    <row r="22" spans="1:11" ht="24" customHeight="1" x14ac:dyDescent="0.25">
      <c r="A22" s="307"/>
      <c r="B22" s="308" t="s">
        <v>25</v>
      </c>
      <c r="C22" s="309">
        <f>SUM(C13:C21)</f>
        <v>256360011</v>
      </c>
      <c r="D22" s="309">
        <f>SUM(D13:D21)</f>
        <v>227228584</v>
      </c>
      <c r="E22" s="309">
        <f t="shared" si="0"/>
        <v>-29131427</v>
      </c>
      <c r="F22" s="310">
        <f t="shared" si="1"/>
        <v>-0.11363483285230472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926080</v>
      </c>
      <c r="D25" s="22">
        <v>25563</v>
      </c>
      <c r="E25" s="22">
        <f>D25-C25</f>
        <v>-900517</v>
      </c>
      <c r="F25" s="306">
        <f>IF(C25=0,0,E25/C25)</f>
        <v>-0.97239655321354523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46192305</v>
      </c>
      <c r="D28" s="22">
        <v>55291109</v>
      </c>
      <c r="E28" s="22">
        <f>D28-C28</f>
        <v>9098804</v>
      </c>
      <c r="F28" s="306">
        <f>IF(C28=0,0,E28/C28)</f>
        <v>0.19697661764226748</v>
      </c>
    </row>
    <row r="29" spans="1:11" ht="35.1" customHeight="1" x14ac:dyDescent="0.25">
      <c r="A29" s="307"/>
      <c r="B29" s="308" t="s">
        <v>32</v>
      </c>
      <c r="C29" s="309">
        <f>SUM(C25:C28)</f>
        <v>47118385</v>
      </c>
      <c r="D29" s="309">
        <f>SUM(D25:D28)</f>
        <v>55316672</v>
      </c>
      <c r="E29" s="309">
        <f>D29-C29</f>
        <v>8198287</v>
      </c>
      <c r="F29" s="310">
        <f>IF(C29=0,0,E29/C29)</f>
        <v>0.17399337859309058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0</v>
      </c>
      <c r="D32" s="22">
        <v>0</v>
      </c>
      <c r="E32" s="22">
        <f>D32-C32</f>
        <v>0</v>
      </c>
      <c r="F32" s="306">
        <f>IF(C32=0,0,E32/C32)</f>
        <v>0</v>
      </c>
    </row>
    <row r="33" spans="1:8" ht="24" customHeight="1" x14ac:dyDescent="0.2">
      <c r="A33" s="304">
        <v>7</v>
      </c>
      <c r="B33" s="305" t="s">
        <v>35</v>
      </c>
      <c r="C33" s="22">
        <v>7609935</v>
      </c>
      <c r="D33" s="22">
        <v>13390670</v>
      </c>
      <c r="E33" s="22">
        <f>D33-C33</f>
        <v>5780735</v>
      </c>
      <c r="F33" s="306">
        <f>IF(C33=0,0,E33/C33)</f>
        <v>0.75963000998037433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490575752</v>
      </c>
      <c r="D36" s="22">
        <v>461896171</v>
      </c>
      <c r="E36" s="22">
        <f>D36-C36</f>
        <v>-28679581</v>
      </c>
      <c r="F36" s="306">
        <f>IF(C36=0,0,E36/C36)</f>
        <v>-5.8461065152686141E-2</v>
      </c>
    </row>
    <row r="37" spans="1:8" ht="24" customHeight="1" x14ac:dyDescent="0.2">
      <c r="A37" s="304">
        <v>2</v>
      </c>
      <c r="B37" s="305" t="s">
        <v>39</v>
      </c>
      <c r="C37" s="22">
        <v>297167005</v>
      </c>
      <c r="D37" s="22">
        <v>311084865</v>
      </c>
      <c r="E37" s="22">
        <f>D37-C37</f>
        <v>13917860</v>
      </c>
      <c r="F37" s="22">
        <f>IF(C37=0,0,E37/C37)</f>
        <v>4.6835145779390949E-2</v>
      </c>
    </row>
    <row r="38" spans="1:8" ht="24" customHeight="1" x14ac:dyDescent="0.25">
      <c r="A38" s="307"/>
      <c r="B38" s="308" t="s">
        <v>40</v>
      </c>
      <c r="C38" s="309">
        <f>C36-C37</f>
        <v>193408747</v>
      </c>
      <c r="D38" s="309">
        <f>D36-D37</f>
        <v>150811306</v>
      </c>
      <c r="E38" s="309">
        <f>D38-C38</f>
        <v>-42597441</v>
      </c>
      <c r="F38" s="310">
        <f>IF(C38=0,0,E38/C38)</f>
        <v>-0.22024567999502112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2879995</v>
      </c>
      <c r="D40" s="22">
        <v>9718135</v>
      </c>
      <c r="E40" s="22">
        <f>D40-C40</f>
        <v>6838140</v>
      </c>
      <c r="F40" s="306">
        <f>IF(C40=0,0,E40/C40)</f>
        <v>2.3743582888164738</v>
      </c>
    </row>
    <row r="41" spans="1:8" ht="24" customHeight="1" x14ac:dyDescent="0.25">
      <c r="A41" s="307"/>
      <c r="B41" s="308" t="s">
        <v>42</v>
      </c>
      <c r="C41" s="309">
        <f>+C38+C40</f>
        <v>196288742</v>
      </c>
      <c r="D41" s="309">
        <f>+D38+D40</f>
        <v>160529441</v>
      </c>
      <c r="E41" s="309">
        <f>D41-C41</f>
        <v>-35759301</v>
      </c>
      <c r="F41" s="310">
        <f>IF(C41=0,0,E41/C41)</f>
        <v>-0.1821770348907733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507377073</v>
      </c>
      <c r="D43" s="309">
        <f>D22+D29+D31+D32+D33+D41</f>
        <v>456465367</v>
      </c>
      <c r="E43" s="309">
        <f>D43-C43</f>
        <v>-50911706</v>
      </c>
      <c r="F43" s="310">
        <f>IF(C43=0,0,E43/C43)</f>
        <v>-0.10034293764787436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50862881</v>
      </c>
      <c r="D49" s="22">
        <v>45773096</v>
      </c>
      <c r="E49" s="22">
        <f t="shared" ref="E49:E56" si="2">D49-C49</f>
        <v>-5089785</v>
      </c>
      <c r="F49" s="306">
        <f t="shared" ref="F49:F56" si="3">IF(C49=0,0,E49/C49)</f>
        <v>-0.10006875151252247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9618789</v>
      </c>
      <c r="D50" s="22">
        <v>4606101</v>
      </c>
      <c r="E50" s="22">
        <f t="shared" si="2"/>
        <v>-5012688</v>
      </c>
      <c r="F50" s="306">
        <f t="shared" si="3"/>
        <v>-0.52113504101191943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8175846</v>
      </c>
      <c r="D51" s="22">
        <v>8082064</v>
      </c>
      <c r="E51" s="22">
        <f t="shared" si="2"/>
        <v>-93782</v>
      </c>
      <c r="F51" s="306">
        <f t="shared" si="3"/>
        <v>-1.1470617230314759E-2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5495740</v>
      </c>
      <c r="D53" s="22">
        <v>5729505</v>
      </c>
      <c r="E53" s="22">
        <f t="shared" si="2"/>
        <v>233765</v>
      </c>
      <c r="F53" s="306">
        <f t="shared" si="3"/>
        <v>4.2535673084971269E-2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655581</v>
      </c>
      <c r="D55" s="22">
        <v>4855823</v>
      </c>
      <c r="E55" s="22">
        <f t="shared" si="2"/>
        <v>4200242</v>
      </c>
      <c r="F55" s="306">
        <f t="shared" si="3"/>
        <v>6.4069001389607081</v>
      </c>
    </row>
    <row r="56" spans="1:6" ht="24" customHeight="1" x14ac:dyDescent="0.25">
      <c r="A56" s="307"/>
      <c r="B56" s="308" t="s">
        <v>54</v>
      </c>
      <c r="C56" s="309">
        <f>SUM(C49:C55)</f>
        <v>74808837</v>
      </c>
      <c r="D56" s="309">
        <f>SUM(D49:D55)</f>
        <v>69046589</v>
      </c>
      <c r="E56" s="309">
        <f t="shared" si="2"/>
        <v>-5762248</v>
      </c>
      <c r="F56" s="310">
        <f t="shared" si="3"/>
        <v>-7.7026301050502899E-2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102938747</v>
      </c>
      <c r="D59" s="22">
        <v>94968208</v>
      </c>
      <c r="E59" s="22">
        <f>D59-C59</f>
        <v>-7970539</v>
      </c>
      <c r="F59" s="306">
        <f>IF(C59=0,0,E59/C59)</f>
        <v>-7.7429920533227392E-2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102938747</v>
      </c>
      <c r="D61" s="309">
        <f>SUM(D59:D60)</f>
        <v>94968208</v>
      </c>
      <c r="E61" s="309">
        <f>D61-C61</f>
        <v>-7970539</v>
      </c>
      <c r="F61" s="310">
        <f>IF(C61=0,0,E61/C61)</f>
        <v>-7.7429920533227392E-2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53468405</v>
      </c>
      <c r="D63" s="22">
        <v>55791589</v>
      </c>
      <c r="E63" s="22">
        <f>D63-C63</f>
        <v>2323184</v>
      </c>
      <c r="F63" s="306">
        <f>IF(C63=0,0,E63/C63)</f>
        <v>4.34496596634966E-2</v>
      </c>
    </row>
    <row r="64" spans="1:6" ht="24" customHeight="1" x14ac:dyDescent="0.2">
      <c r="A64" s="304">
        <v>4</v>
      </c>
      <c r="B64" s="305" t="s">
        <v>60</v>
      </c>
      <c r="C64" s="22">
        <v>31629767</v>
      </c>
      <c r="D64" s="22">
        <v>31471047</v>
      </c>
      <c r="E64" s="22">
        <f>D64-C64</f>
        <v>-158720</v>
      </c>
      <c r="F64" s="306">
        <f>IF(C64=0,0,E64/C64)</f>
        <v>-5.0180578314092542E-3</v>
      </c>
    </row>
    <row r="65" spans="1:6" ht="24" customHeight="1" x14ac:dyDescent="0.25">
      <c r="A65" s="307"/>
      <c r="B65" s="308" t="s">
        <v>61</v>
      </c>
      <c r="C65" s="309">
        <f>SUM(C61:C64)</f>
        <v>188036919</v>
      </c>
      <c r="D65" s="309">
        <f>SUM(D61:D64)</f>
        <v>182230844</v>
      </c>
      <c r="E65" s="309">
        <f>D65-C65</f>
        <v>-5806075</v>
      </c>
      <c r="F65" s="310">
        <f>IF(C65=0,0,E65/C65)</f>
        <v>-3.0877314044908382E-2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208910764</v>
      </c>
      <c r="D70" s="22">
        <v>178490102</v>
      </c>
      <c r="E70" s="22">
        <f>D70-C70</f>
        <v>-30420662</v>
      </c>
      <c r="F70" s="306">
        <f>IF(C70=0,0,E70/C70)</f>
        <v>-0.14561557967400857</v>
      </c>
    </row>
    <row r="71" spans="1:6" ht="24" customHeight="1" x14ac:dyDescent="0.2">
      <c r="A71" s="304">
        <v>2</v>
      </c>
      <c r="B71" s="305" t="s">
        <v>65</v>
      </c>
      <c r="C71" s="22">
        <v>20286597</v>
      </c>
      <c r="D71" s="22">
        <v>20546377</v>
      </c>
      <c r="E71" s="22">
        <f>D71-C71</f>
        <v>259780</v>
      </c>
      <c r="F71" s="306">
        <f>IF(C71=0,0,E71/C71)</f>
        <v>1.2805499118457374E-2</v>
      </c>
    </row>
    <row r="72" spans="1:6" ht="24" customHeight="1" x14ac:dyDescent="0.2">
      <c r="A72" s="304">
        <v>3</v>
      </c>
      <c r="B72" s="305" t="s">
        <v>66</v>
      </c>
      <c r="C72" s="22">
        <v>15333956</v>
      </c>
      <c r="D72" s="22">
        <v>6151455</v>
      </c>
      <c r="E72" s="22">
        <f>D72-C72</f>
        <v>-9182501</v>
      </c>
      <c r="F72" s="306">
        <f>IF(C72=0,0,E72/C72)</f>
        <v>-0.59883444298392408</v>
      </c>
    </row>
    <row r="73" spans="1:6" ht="24" customHeight="1" x14ac:dyDescent="0.25">
      <c r="A73" s="304"/>
      <c r="B73" s="308" t="s">
        <v>67</v>
      </c>
      <c r="C73" s="309">
        <f>SUM(C70:C72)</f>
        <v>244531317</v>
      </c>
      <c r="D73" s="309">
        <f>SUM(D70:D72)</f>
        <v>205187934</v>
      </c>
      <c r="E73" s="309">
        <f>D73-C73</f>
        <v>-39343383</v>
      </c>
      <c r="F73" s="310">
        <f>IF(C73=0,0,E73/C73)</f>
        <v>-0.16089302377576448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507377073</v>
      </c>
      <c r="D75" s="309">
        <f>D56+D65+D67+D73</f>
        <v>456465367</v>
      </c>
      <c r="E75" s="309">
        <f>D75-C75</f>
        <v>-50911706</v>
      </c>
      <c r="F75" s="310">
        <f>IF(C75=0,0,E75/C75)</f>
        <v>-0.10034293764787436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9" fitToHeight="0" orientation="portrait" horizontalDpi="1200" verticalDpi="1200" r:id="rId1"/>
  <headerFooter>
    <oddHeader>&amp;LOFFICE OF HEALTH CARE ACCESS&amp;CTWELVE MONTHS ACTUAL FILING&amp;RLAWRENCE +MEMORIAL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1138320863</v>
      </c>
      <c r="D11" s="76">
        <v>920227148</v>
      </c>
      <c r="E11" s="76">
        <f t="shared" ref="E11:E20" si="0">D11-C11</f>
        <v>-218093715</v>
      </c>
      <c r="F11" s="77">
        <f t="shared" ref="F11:F20" si="1">IF(C11=0,0,E11/C11)</f>
        <v>-0.19159247808673432</v>
      </c>
    </row>
    <row r="12" spans="1:7" ht="23.1" customHeight="1" x14ac:dyDescent="0.2">
      <c r="A12" s="74">
        <v>2</v>
      </c>
      <c r="B12" s="75" t="s">
        <v>72</v>
      </c>
      <c r="C12" s="76">
        <v>676730858</v>
      </c>
      <c r="D12" s="76">
        <v>546936526</v>
      </c>
      <c r="E12" s="76">
        <f t="shared" si="0"/>
        <v>-129794332</v>
      </c>
      <c r="F12" s="77">
        <f t="shared" si="1"/>
        <v>-0.19179608919207877</v>
      </c>
    </row>
    <row r="13" spans="1:7" ht="23.1" customHeight="1" x14ac:dyDescent="0.2">
      <c r="A13" s="74">
        <v>3</v>
      </c>
      <c r="B13" s="75" t="s">
        <v>73</v>
      </c>
      <c r="C13" s="76">
        <v>6124509</v>
      </c>
      <c r="D13" s="76">
        <v>5479120</v>
      </c>
      <c r="E13" s="76">
        <f t="shared" si="0"/>
        <v>-645389</v>
      </c>
      <c r="F13" s="77">
        <f t="shared" si="1"/>
        <v>-0.10537808010405406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455465496</v>
      </c>
      <c r="D15" s="79">
        <f>D11-D12-D13-D14</f>
        <v>367811502</v>
      </c>
      <c r="E15" s="79">
        <f t="shared" si="0"/>
        <v>-87653994</v>
      </c>
      <c r="F15" s="80">
        <f t="shared" si="1"/>
        <v>-0.1924492519626558</v>
      </c>
    </row>
    <row r="16" spans="1:7" ht="23.1" customHeight="1" x14ac:dyDescent="0.2">
      <c r="A16" s="74">
        <v>5</v>
      </c>
      <c r="B16" s="75" t="s">
        <v>76</v>
      </c>
      <c r="C16" s="76">
        <v>16683423</v>
      </c>
      <c r="D16" s="76">
        <v>12867986</v>
      </c>
      <c r="E16" s="76">
        <f t="shared" si="0"/>
        <v>-3815437</v>
      </c>
      <c r="F16" s="77">
        <f t="shared" si="1"/>
        <v>-0.2286962933206213</v>
      </c>
      <c r="G16" s="65"/>
    </row>
    <row r="17" spans="1:7" ht="31.5" customHeight="1" x14ac:dyDescent="0.25">
      <c r="A17" s="71"/>
      <c r="B17" s="81" t="s">
        <v>77</v>
      </c>
      <c r="C17" s="79">
        <f>C15-C16</f>
        <v>438782073</v>
      </c>
      <c r="D17" s="79">
        <f>D15-D16</f>
        <v>354943516</v>
      </c>
      <c r="E17" s="79">
        <f t="shared" si="0"/>
        <v>-83838557</v>
      </c>
      <c r="F17" s="80">
        <f t="shared" si="1"/>
        <v>-0.1910710627414352</v>
      </c>
    </row>
    <row r="18" spans="1:7" ht="23.1" customHeight="1" x14ac:dyDescent="0.2">
      <c r="A18" s="74">
        <v>6</v>
      </c>
      <c r="B18" s="75" t="s">
        <v>78</v>
      </c>
      <c r="C18" s="76">
        <v>16375817</v>
      </c>
      <c r="D18" s="76">
        <v>31406535</v>
      </c>
      <c r="E18" s="76">
        <f t="shared" si="0"/>
        <v>15030718</v>
      </c>
      <c r="F18" s="77">
        <f t="shared" si="1"/>
        <v>0.91786064780767884</v>
      </c>
      <c r="G18" s="65"/>
    </row>
    <row r="19" spans="1:7" ht="33" customHeight="1" x14ac:dyDescent="0.2">
      <c r="A19" s="74">
        <v>7</v>
      </c>
      <c r="B19" s="82" t="s">
        <v>79</v>
      </c>
      <c r="C19" s="76">
        <v>4831645</v>
      </c>
      <c r="D19" s="76">
        <v>566162</v>
      </c>
      <c r="E19" s="76">
        <f t="shared" si="0"/>
        <v>-4265483</v>
      </c>
      <c r="F19" s="77">
        <f t="shared" si="1"/>
        <v>-0.88282210303116226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459989535</v>
      </c>
      <c r="D20" s="79">
        <f>SUM(D17:D19)</f>
        <v>386916213</v>
      </c>
      <c r="E20" s="79">
        <f t="shared" si="0"/>
        <v>-73073322</v>
      </c>
      <c r="F20" s="80">
        <f t="shared" si="1"/>
        <v>-0.15885866186064429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212124691</v>
      </c>
      <c r="D23" s="76">
        <v>190576820</v>
      </c>
      <c r="E23" s="76">
        <f t="shared" ref="E23:E32" si="2">D23-C23</f>
        <v>-21547871</v>
      </c>
      <c r="F23" s="77">
        <f t="shared" ref="F23:F32" si="3">IF(C23=0,0,E23/C23)</f>
        <v>-0.10158115445410359</v>
      </c>
    </row>
    <row r="24" spans="1:7" ht="23.1" customHeight="1" x14ac:dyDescent="0.2">
      <c r="A24" s="74">
        <v>2</v>
      </c>
      <c r="B24" s="75" t="s">
        <v>83</v>
      </c>
      <c r="C24" s="76">
        <v>59040657</v>
      </c>
      <c r="D24" s="76">
        <v>57471190</v>
      </c>
      <c r="E24" s="76">
        <f t="shared" si="2"/>
        <v>-1569467</v>
      </c>
      <c r="F24" s="77">
        <f t="shared" si="3"/>
        <v>-2.6582817328743479E-2</v>
      </c>
    </row>
    <row r="25" spans="1:7" ht="23.1" customHeight="1" x14ac:dyDescent="0.2">
      <c r="A25" s="74">
        <v>3</v>
      </c>
      <c r="B25" s="75" t="s">
        <v>84</v>
      </c>
      <c r="C25" s="76">
        <v>14547169</v>
      </c>
      <c r="D25" s="76">
        <v>16865514</v>
      </c>
      <c r="E25" s="76">
        <f t="shared" si="2"/>
        <v>2318345</v>
      </c>
      <c r="F25" s="77">
        <f t="shared" si="3"/>
        <v>0.15936743430972722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76774253</v>
      </c>
      <c r="D26" s="76">
        <v>60979672</v>
      </c>
      <c r="E26" s="76">
        <f t="shared" si="2"/>
        <v>-15794581</v>
      </c>
      <c r="F26" s="77">
        <f t="shared" si="3"/>
        <v>-0.20572757640507425</v>
      </c>
    </row>
    <row r="27" spans="1:7" ht="23.1" customHeight="1" x14ac:dyDescent="0.2">
      <c r="A27" s="74">
        <v>5</v>
      </c>
      <c r="B27" s="75" t="s">
        <v>86</v>
      </c>
      <c r="C27" s="76">
        <v>28953704</v>
      </c>
      <c r="D27" s="76">
        <v>24034451</v>
      </c>
      <c r="E27" s="76">
        <f t="shared" si="2"/>
        <v>-4919253</v>
      </c>
      <c r="F27" s="77">
        <f t="shared" si="3"/>
        <v>-0.16990064552708006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3553690</v>
      </c>
      <c r="D29" s="76">
        <v>3520300</v>
      </c>
      <c r="E29" s="76">
        <f t="shared" si="2"/>
        <v>-33390</v>
      </c>
      <c r="F29" s="77">
        <f t="shared" si="3"/>
        <v>-9.3958673941733802E-3</v>
      </c>
    </row>
    <row r="30" spans="1:7" ht="23.1" customHeight="1" x14ac:dyDescent="0.2">
      <c r="A30" s="74">
        <v>8</v>
      </c>
      <c r="B30" s="75" t="s">
        <v>89</v>
      </c>
      <c r="C30" s="76">
        <v>16588039</v>
      </c>
      <c r="D30" s="76">
        <v>15919027</v>
      </c>
      <c r="E30" s="76">
        <f t="shared" si="2"/>
        <v>-669012</v>
      </c>
      <c r="F30" s="77">
        <f t="shared" si="3"/>
        <v>-4.0330987888321221E-2</v>
      </c>
    </row>
    <row r="31" spans="1:7" ht="23.1" customHeight="1" x14ac:dyDescent="0.2">
      <c r="A31" s="74">
        <v>9</v>
      </c>
      <c r="B31" s="75" t="s">
        <v>90</v>
      </c>
      <c r="C31" s="76">
        <v>58704219</v>
      </c>
      <c r="D31" s="76">
        <v>39784432</v>
      </c>
      <c r="E31" s="76">
        <f t="shared" si="2"/>
        <v>-18919787</v>
      </c>
      <c r="F31" s="77">
        <f t="shared" si="3"/>
        <v>-0.32229007254146419</v>
      </c>
    </row>
    <row r="32" spans="1:7" ht="23.1" customHeight="1" x14ac:dyDescent="0.25">
      <c r="A32" s="71"/>
      <c r="B32" s="78" t="s">
        <v>91</v>
      </c>
      <c r="C32" s="79">
        <f>SUM(C23:C31)</f>
        <v>470286422</v>
      </c>
      <c r="D32" s="79">
        <f>SUM(D23:D31)</f>
        <v>409151406</v>
      </c>
      <c r="E32" s="79">
        <f t="shared" si="2"/>
        <v>-61135016</v>
      </c>
      <c r="F32" s="80">
        <f t="shared" si="3"/>
        <v>-0.12999528189652901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-10296887</v>
      </c>
      <c r="D34" s="79">
        <f>+D20-D32</f>
        <v>-22235193</v>
      </c>
      <c r="E34" s="79">
        <f>D34-C34</f>
        <v>-11938306</v>
      </c>
      <c r="F34" s="80">
        <f>IF(C34=0,0,E34/C34)</f>
        <v>1.1594092466975698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11832973</v>
      </c>
      <c r="D37" s="76">
        <v>2398311</v>
      </c>
      <c r="E37" s="76">
        <f>D37-C37</f>
        <v>-9434662</v>
      </c>
      <c r="F37" s="77">
        <f>IF(C37=0,0,E37/C37)</f>
        <v>-0.79731965922680637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5">
      <c r="A40" s="83"/>
      <c r="B40" s="78" t="s">
        <v>97</v>
      </c>
      <c r="C40" s="79">
        <f>SUM(C37:C39)</f>
        <v>11832973</v>
      </c>
      <c r="D40" s="79">
        <f>SUM(D37:D39)</f>
        <v>2398311</v>
      </c>
      <c r="E40" s="79">
        <f>D40-C40</f>
        <v>-9434662</v>
      </c>
      <c r="F40" s="80">
        <f>IF(C40=0,0,E40/C40)</f>
        <v>-0.79731965922680637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1536086</v>
      </c>
      <c r="D42" s="79">
        <f>D34+D40</f>
        <v>-19836882</v>
      </c>
      <c r="E42" s="79">
        <f>D42-C42</f>
        <v>-21372968</v>
      </c>
      <c r="F42" s="80">
        <f>IF(C42=0,0,E42/C42)</f>
        <v>-13.913913674104185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1536086</v>
      </c>
      <c r="D49" s="79">
        <f>D42+D47</f>
        <v>-19836882</v>
      </c>
      <c r="E49" s="79">
        <f>D49-C49</f>
        <v>-21372968</v>
      </c>
      <c r="F49" s="80">
        <f>IF(C49=0,0,E49/C49)</f>
        <v>-13.913913674104185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FILING&amp;R&amp;8LAWRENCE +MEMORIAL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2017-09-19T17:13:28Z</cp:lastPrinted>
  <dcterms:created xsi:type="dcterms:W3CDTF">2017-09-14T16:18:47Z</dcterms:created>
  <dcterms:modified xsi:type="dcterms:W3CDTF">2017-09-19T17:13:36Z</dcterms:modified>
</cp:coreProperties>
</file>