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sterti\Documents\"/>
    </mc:Choice>
  </mc:AlternateContent>
  <bookViews>
    <workbookView xWindow="0" yWindow="0" windowWidth="28800" windowHeight="13635" activeTab="1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Report485!$A$11:$F$30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 s="1"/>
  <c r="D96" i="22"/>
  <c r="D98" i="22"/>
  <c r="C96" i="22"/>
  <c r="C98" i="22" s="1"/>
  <c r="E92" i="22"/>
  <c r="E93" i="22" s="1"/>
  <c r="D92" i="22"/>
  <c r="C92" i="22"/>
  <c r="E91" i="22"/>
  <c r="D91" i="22"/>
  <c r="D93" i="22"/>
  <c r="C91" i="22"/>
  <c r="C93" i="22" s="1"/>
  <c r="E87" i="22"/>
  <c r="E88" i="22" s="1"/>
  <c r="D87" i="22"/>
  <c r="C87" i="22"/>
  <c r="E86" i="22"/>
  <c r="D86" i="22"/>
  <c r="D88" i="22" s="1"/>
  <c r="C86" i="22"/>
  <c r="C88" i="22"/>
  <c r="E83" i="22"/>
  <c r="D83" i="22"/>
  <c r="D101" i="22" s="1"/>
  <c r="C83" i="22"/>
  <c r="E76" i="22"/>
  <c r="D76" i="22"/>
  <c r="C76" i="22"/>
  <c r="C102" i="22" s="1"/>
  <c r="E75" i="22"/>
  <c r="E77" i="22"/>
  <c r="D75" i="22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D23" i="22"/>
  <c r="D54" i="22" s="1"/>
  <c r="E21" i="22"/>
  <c r="D21" i="22"/>
  <c r="C21" i="22"/>
  <c r="E12" i="22"/>
  <c r="E33" i="22" s="1"/>
  <c r="D12" i="22"/>
  <c r="D34" i="22" s="1"/>
  <c r="C12" i="22"/>
  <c r="C23" i="22" s="1"/>
  <c r="C46" i="22" s="1"/>
  <c r="D21" i="21"/>
  <c r="C21" i="21"/>
  <c r="D19" i="21"/>
  <c r="C19" i="21"/>
  <c r="E17" i="21"/>
  <c r="F17" i="21" s="1"/>
  <c r="E15" i="21"/>
  <c r="F15" i="21" s="1"/>
  <c r="D45" i="20"/>
  <c r="C45" i="20"/>
  <c r="D44" i="20"/>
  <c r="C44" i="20"/>
  <c r="D43" i="20"/>
  <c r="D46" i="20" s="1"/>
  <c r="C43" i="20"/>
  <c r="D36" i="20"/>
  <c r="D40" i="20" s="1"/>
  <c r="C36" i="20"/>
  <c r="E35" i="20"/>
  <c r="F34" i="20"/>
  <c r="E34" i="20"/>
  <c r="E33" i="20"/>
  <c r="F33" i="20" s="1"/>
  <c r="E30" i="20"/>
  <c r="F30" i="20" s="1"/>
  <c r="F29" i="20"/>
  <c r="E29" i="20"/>
  <c r="E28" i="20"/>
  <c r="F28" i="20" s="1"/>
  <c r="E27" i="20"/>
  <c r="F27" i="20" s="1"/>
  <c r="D25" i="20"/>
  <c r="D39" i="20" s="1"/>
  <c r="C25" i="20"/>
  <c r="E24" i="20"/>
  <c r="F24" i="20" s="1"/>
  <c r="F23" i="20"/>
  <c r="E23" i="20"/>
  <c r="F22" i="20"/>
  <c r="E22" i="20"/>
  <c r="E25" i="20"/>
  <c r="D19" i="20"/>
  <c r="E19" i="20" s="1"/>
  <c r="F19" i="20" s="1"/>
  <c r="C19" i="20"/>
  <c r="C20" i="20"/>
  <c r="E18" i="20"/>
  <c r="F18" i="20" s="1"/>
  <c r="D16" i="20"/>
  <c r="C16" i="20"/>
  <c r="E15" i="20"/>
  <c r="F15" i="20" s="1"/>
  <c r="F13" i="20"/>
  <c r="E13" i="20"/>
  <c r="E12" i="20"/>
  <c r="F12" i="20" s="1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/>
  <c r="C63" i="19"/>
  <c r="C59" i="19"/>
  <c r="C64" i="19" s="1"/>
  <c r="C49" i="19"/>
  <c r="C48" i="19"/>
  <c r="C36" i="19"/>
  <c r="C32" i="19"/>
  <c r="C33" i="19" s="1"/>
  <c r="C21" i="19"/>
  <c r="E328" i="18"/>
  <c r="E325" i="18"/>
  <c r="D324" i="18"/>
  <c r="D326" i="18" s="1"/>
  <c r="E326" i="18" s="1"/>
  <c r="C324" i="18"/>
  <c r="C326" i="18" s="1"/>
  <c r="C330" i="18" s="1"/>
  <c r="E318" i="18"/>
  <c r="E315" i="18"/>
  <c r="D314" i="18"/>
  <c r="C314" i="18"/>
  <c r="C316" i="18"/>
  <c r="C320" i="18" s="1"/>
  <c r="E308" i="18"/>
  <c r="E305" i="18"/>
  <c r="D301" i="18"/>
  <c r="E301" i="18" s="1"/>
  <c r="C301" i="18"/>
  <c r="D293" i="18"/>
  <c r="E293" i="18" s="1"/>
  <c r="C293" i="18"/>
  <c r="D292" i="18"/>
  <c r="E292" i="18" s="1"/>
  <c r="C292" i="18"/>
  <c r="D291" i="18"/>
  <c r="C291" i="18"/>
  <c r="E291" i="18" s="1"/>
  <c r="D290" i="18"/>
  <c r="E290" i="18"/>
  <c r="C290" i="18"/>
  <c r="D288" i="18"/>
  <c r="E288" i="18" s="1"/>
  <c r="C288" i="18"/>
  <c r="D287" i="18"/>
  <c r="C287" i="18"/>
  <c r="D282" i="18"/>
  <c r="E282" i="18" s="1"/>
  <c r="C282" i="18"/>
  <c r="D281" i="18"/>
  <c r="E281" i="18" s="1"/>
  <c r="C281" i="18"/>
  <c r="D280" i="18"/>
  <c r="C280" i="18"/>
  <c r="D279" i="18"/>
  <c r="C279" i="18"/>
  <c r="D278" i="18"/>
  <c r="C278" i="18"/>
  <c r="E278" i="18" s="1"/>
  <c r="D277" i="18"/>
  <c r="C277" i="18"/>
  <c r="E277" i="18" s="1"/>
  <c r="D276" i="18"/>
  <c r="C276" i="18"/>
  <c r="E270" i="18"/>
  <c r="D265" i="18"/>
  <c r="D302" i="18" s="1"/>
  <c r="C265" i="18"/>
  <c r="C302" i="18" s="1"/>
  <c r="D262" i="18"/>
  <c r="E262" i="18" s="1"/>
  <c r="C262" i="18"/>
  <c r="D260" i="18"/>
  <c r="E260" i="18" s="1"/>
  <c r="D251" i="18"/>
  <c r="E251" i="18" s="1"/>
  <c r="C251" i="18"/>
  <c r="D233" i="18"/>
  <c r="E233" i="18"/>
  <c r="C233" i="18"/>
  <c r="D232" i="18"/>
  <c r="C232" i="18"/>
  <c r="D231" i="18"/>
  <c r="C231" i="18"/>
  <c r="D230" i="18"/>
  <c r="E230" i="18" s="1"/>
  <c r="C230" i="18"/>
  <c r="D229" i="18"/>
  <c r="D228" i="18"/>
  <c r="C228" i="18"/>
  <c r="C253" i="18" s="1"/>
  <c r="D227" i="18"/>
  <c r="E227" i="18" s="1"/>
  <c r="C227" i="18"/>
  <c r="D221" i="18"/>
  <c r="D245" i="18" s="1"/>
  <c r="E245" i="18" s="1"/>
  <c r="C221" i="18"/>
  <c r="C245" i="18" s="1"/>
  <c r="D220" i="18"/>
  <c r="C220" i="18"/>
  <c r="C244" i="18" s="1"/>
  <c r="D219" i="18"/>
  <c r="C219" i="18"/>
  <c r="C243" i="18" s="1"/>
  <c r="C252" i="18" s="1"/>
  <c r="D218" i="18"/>
  <c r="D242" i="18" s="1"/>
  <c r="E242" i="18" s="1"/>
  <c r="C218" i="18"/>
  <c r="C242" i="18"/>
  <c r="C217" i="18"/>
  <c r="D216" i="18"/>
  <c r="C216" i="18"/>
  <c r="C240" i="18"/>
  <c r="D215" i="18"/>
  <c r="D239" i="18" s="1"/>
  <c r="C215" i="18"/>
  <c r="E209" i="18"/>
  <c r="E208" i="18"/>
  <c r="E207" i="18"/>
  <c r="E206" i="18"/>
  <c r="D205" i="18"/>
  <c r="C205" i="18"/>
  <c r="C210" i="18" s="1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8" i="18"/>
  <c r="E188" i="18" s="1"/>
  <c r="C188" i="18"/>
  <c r="C261" i="18"/>
  <c r="E186" i="18"/>
  <c r="E185" i="18"/>
  <c r="D179" i="18"/>
  <c r="C179" i="18"/>
  <c r="E179" i="18" s="1"/>
  <c r="D178" i="18"/>
  <c r="E178" i="18" s="1"/>
  <c r="C178" i="18"/>
  <c r="D177" i="18"/>
  <c r="E177" i="18" s="1"/>
  <c r="C177" i="18"/>
  <c r="D176" i="18"/>
  <c r="C176" i="18"/>
  <c r="E176" i="18"/>
  <c r="D174" i="18"/>
  <c r="E174" i="18" s="1"/>
  <c r="C174" i="18"/>
  <c r="D173" i="18"/>
  <c r="C173" i="18"/>
  <c r="E173" i="18" s="1"/>
  <c r="D167" i="18"/>
  <c r="C167" i="18"/>
  <c r="E167" i="18" s="1"/>
  <c r="D166" i="18"/>
  <c r="E166" i="18" s="1"/>
  <c r="C166" i="18"/>
  <c r="D165" i="18"/>
  <c r="C165" i="18"/>
  <c r="E165" i="18"/>
  <c r="D164" i="18"/>
  <c r="C164" i="18"/>
  <c r="E164" i="18" s="1"/>
  <c r="D162" i="18"/>
  <c r="C162" i="18"/>
  <c r="D161" i="18"/>
  <c r="C161" i="18"/>
  <c r="E155" i="18"/>
  <c r="E154" i="18"/>
  <c r="E153" i="18"/>
  <c r="E152" i="18"/>
  <c r="D151" i="18"/>
  <c r="C151" i="18"/>
  <c r="C156" i="18" s="1"/>
  <c r="C157" i="18" s="1"/>
  <c r="E150" i="18"/>
  <c r="E149" i="18"/>
  <c r="D144" i="18"/>
  <c r="E143" i="18"/>
  <c r="E142" i="18"/>
  <c r="E141" i="18"/>
  <c r="E140" i="18"/>
  <c r="D139" i="18"/>
  <c r="D175" i="18" s="1"/>
  <c r="C139" i="18"/>
  <c r="E138" i="18"/>
  <c r="E137" i="18"/>
  <c r="D75" i="18"/>
  <c r="C75" i="18"/>
  <c r="E75" i="18" s="1"/>
  <c r="D74" i="18"/>
  <c r="C74" i="18"/>
  <c r="D73" i="18"/>
  <c r="C73" i="18"/>
  <c r="D72" i="18"/>
  <c r="E72" i="18" s="1"/>
  <c r="C72" i="18"/>
  <c r="D70" i="18"/>
  <c r="C70" i="18"/>
  <c r="E70" i="18" s="1"/>
  <c r="D69" i="18"/>
  <c r="E69" i="18" s="1"/>
  <c r="C69" i="18"/>
  <c r="E64" i="18"/>
  <c r="E63" i="18"/>
  <c r="E62" i="18"/>
  <c r="E61" i="18"/>
  <c r="D60" i="18"/>
  <c r="C60" i="18"/>
  <c r="E59" i="18"/>
  <c r="E58" i="18"/>
  <c r="D54" i="18"/>
  <c r="C54" i="18"/>
  <c r="E53" i="18"/>
  <c r="E52" i="18"/>
  <c r="E51" i="18"/>
  <c r="E50" i="18"/>
  <c r="E49" i="18"/>
  <c r="E48" i="18"/>
  <c r="E47" i="18"/>
  <c r="D42" i="18"/>
  <c r="C42" i="18"/>
  <c r="D41" i="18"/>
  <c r="C41" i="18"/>
  <c r="D40" i="18"/>
  <c r="C40" i="18"/>
  <c r="E40" i="18"/>
  <c r="D39" i="18"/>
  <c r="C39" i="18"/>
  <c r="D38" i="18"/>
  <c r="C38" i="18"/>
  <c r="D37" i="18"/>
  <c r="D43" i="18" s="1"/>
  <c r="C37" i="18"/>
  <c r="D36" i="18"/>
  <c r="C36" i="18"/>
  <c r="D32" i="18"/>
  <c r="D33" i="18" s="1"/>
  <c r="C32" i="18"/>
  <c r="E31" i="18"/>
  <c r="E30" i="18"/>
  <c r="E29" i="18"/>
  <c r="E28" i="18"/>
  <c r="E27" i="18"/>
  <c r="E26" i="18"/>
  <c r="E25" i="18"/>
  <c r="C22" i="18"/>
  <c r="D21" i="18"/>
  <c r="C21" i="18"/>
  <c r="E20" i="18"/>
  <c r="E19" i="18"/>
  <c r="E18" i="18"/>
  <c r="E17" i="18"/>
  <c r="E16" i="18"/>
  <c r="E15" i="18"/>
  <c r="E14" i="18"/>
  <c r="E335" i="17"/>
  <c r="F335" i="17" s="1"/>
  <c r="F334" i="17"/>
  <c r="E334" i="17"/>
  <c r="E333" i="17"/>
  <c r="F333" i="17" s="1"/>
  <c r="F332" i="17"/>
  <c r="E332" i="17"/>
  <c r="E331" i="17"/>
  <c r="F331" i="17" s="1"/>
  <c r="F330" i="17"/>
  <c r="E330" i="17"/>
  <c r="F329" i="17"/>
  <c r="E329" i="17"/>
  <c r="F316" i="17"/>
  <c r="E316" i="17"/>
  <c r="D311" i="17"/>
  <c r="E311" i="17" s="1"/>
  <c r="C311" i="17"/>
  <c r="F311" i="17" s="1"/>
  <c r="F308" i="17"/>
  <c r="E308" i="17"/>
  <c r="D307" i="17"/>
  <c r="C307" i="17"/>
  <c r="D299" i="17"/>
  <c r="C299" i="17"/>
  <c r="D298" i="17"/>
  <c r="C298" i="17"/>
  <c r="F298" i="17" s="1"/>
  <c r="D297" i="17"/>
  <c r="C297" i="17"/>
  <c r="E297" i="17" s="1"/>
  <c r="F297" i="17" s="1"/>
  <c r="D296" i="17"/>
  <c r="C296" i="17"/>
  <c r="D295" i="17"/>
  <c r="E295" i="17" s="1"/>
  <c r="F295" i="17" s="1"/>
  <c r="C295" i="17"/>
  <c r="D294" i="17"/>
  <c r="C294" i="17"/>
  <c r="D250" i="17"/>
  <c r="D306" i="17"/>
  <c r="C250" i="17"/>
  <c r="E249" i="17"/>
  <c r="F249" i="17" s="1"/>
  <c r="E248" i="17"/>
  <c r="F248" i="17" s="1"/>
  <c r="F245" i="17"/>
  <c r="E245" i="17"/>
  <c r="E244" i="17"/>
  <c r="F244" i="17" s="1"/>
  <c r="E243" i="17"/>
  <c r="F243" i="17" s="1"/>
  <c r="D238" i="17"/>
  <c r="C238" i="17"/>
  <c r="D237" i="17"/>
  <c r="C237" i="17"/>
  <c r="E237" i="17" s="1"/>
  <c r="F237" i="17" s="1"/>
  <c r="E234" i="17"/>
  <c r="F234" i="17" s="1"/>
  <c r="E233" i="17"/>
  <c r="F233" i="17" s="1"/>
  <c r="D230" i="17"/>
  <c r="E230" i="17" s="1"/>
  <c r="F230" i="17" s="1"/>
  <c r="C230" i="17"/>
  <c r="D229" i="17"/>
  <c r="E229" i="17" s="1"/>
  <c r="F229" i="17" s="1"/>
  <c r="C229" i="17"/>
  <c r="E228" i="17"/>
  <c r="F228" i="17" s="1"/>
  <c r="D226" i="17"/>
  <c r="D227" i="17"/>
  <c r="E227" i="17" s="1"/>
  <c r="C226" i="17"/>
  <c r="C227" i="17" s="1"/>
  <c r="E225" i="17"/>
  <c r="F225" i="17" s="1"/>
  <c r="E224" i="17"/>
  <c r="F224" i="17" s="1"/>
  <c r="D223" i="17"/>
  <c r="C223" i="17"/>
  <c r="E223" i="17" s="1"/>
  <c r="E222" i="17"/>
  <c r="F222" i="17" s="1"/>
  <c r="E221" i="17"/>
  <c r="F221" i="17" s="1"/>
  <c r="D204" i="17"/>
  <c r="C204" i="17"/>
  <c r="C285" i="17" s="1"/>
  <c r="D203" i="17"/>
  <c r="C203" i="17"/>
  <c r="C267" i="17" s="1"/>
  <c r="D198" i="17"/>
  <c r="C198" i="17"/>
  <c r="C290" i="17" s="1"/>
  <c r="D191" i="17"/>
  <c r="C191" i="17"/>
  <c r="C280" i="17" s="1"/>
  <c r="D189" i="17"/>
  <c r="C189" i="17"/>
  <c r="C278" i="17" s="1"/>
  <c r="E278" i="17" s="1"/>
  <c r="F278" i="17" s="1"/>
  <c r="D188" i="17"/>
  <c r="C188" i="17"/>
  <c r="D180" i="17"/>
  <c r="C180" i="17"/>
  <c r="F180" i="17" s="1"/>
  <c r="D179" i="17"/>
  <c r="C179" i="17"/>
  <c r="D171" i="17"/>
  <c r="D172" i="17"/>
  <c r="D207" i="17" s="1"/>
  <c r="D208" i="17" s="1"/>
  <c r="D210" i="17" s="1"/>
  <c r="D211" i="17" s="1"/>
  <c r="C171" i="17"/>
  <c r="C172" i="17"/>
  <c r="D170" i="17"/>
  <c r="C170" i="17"/>
  <c r="F170" i="17" s="1"/>
  <c r="F169" i="17"/>
  <c r="E169" i="17"/>
  <c r="F168" i="17"/>
  <c r="E168" i="17"/>
  <c r="D165" i="17"/>
  <c r="C165" i="17"/>
  <c r="F165" i="17" s="1"/>
  <c r="D164" i="17"/>
  <c r="C164" i="17"/>
  <c r="F163" i="17"/>
  <c r="E163" i="17"/>
  <c r="D158" i="17"/>
  <c r="D159" i="17"/>
  <c r="C158" i="17"/>
  <c r="C159" i="17"/>
  <c r="F157" i="17"/>
  <c r="E157" i="17"/>
  <c r="F156" i="17"/>
  <c r="E156" i="17"/>
  <c r="D155" i="17"/>
  <c r="C155" i="17"/>
  <c r="F154" i="17"/>
  <c r="E154" i="17"/>
  <c r="F153" i="17"/>
  <c r="E153" i="17"/>
  <c r="D145" i="17"/>
  <c r="C145" i="17"/>
  <c r="E145" i="17" s="1"/>
  <c r="F145" i="17" s="1"/>
  <c r="D144" i="17"/>
  <c r="D146" i="17" s="1"/>
  <c r="C144" i="17"/>
  <c r="C146" i="17" s="1"/>
  <c r="D136" i="17"/>
  <c r="D137" i="17" s="1"/>
  <c r="C136" i="17"/>
  <c r="C137" i="17" s="1"/>
  <c r="D135" i="17"/>
  <c r="E135" i="17" s="1"/>
  <c r="F135" i="17" s="1"/>
  <c r="C135" i="17"/>
  <c r="E134" i="17"/>
  <c r="F134" i="17"/>
  <c r="E133" i="17"/>
  <c r="F133" i="17" s="1"/>
  <c r="D130" i="17"/>
  <c r="C130" i="17"/>
  <c r="D129" i="17"/>
  <c r="C129" i="17"/>
  <c r="E129" i="17" s="1"/>
  <c r="F129" i="17" s="1"/>
  <c r="E128" i="17"/>
  <c r="F128" i="17" s="1"/>
  <c r="D123" i="17"/>
  <c r="E123" i="17" s="1"/>
  <c r="C123" i="17"/>
  <c r="C193" i="17" s="1"/>
  <c r="E122" i="17"/>
  <c r="F122" i="17" s="1"/>
  <c r="E121" i="17"/>
  <c r="F121" i="17" s="1"/>
  <c r="D120" i="17"/>
  <c r="E120" i="17" s="1"/>
  <c r="F120" i="17" s="1"/>
  <c r="C120" i="17"/>
  <c r="E119" i="17"/>
  <c r="F119" i="17" s="1"/>
  <c r="E118" i="17"/>
  <c r="F118" i="17" s="1"/>
  <c r="D110" i="17"/>
  <c r="C110" i="17"/>
  <c r="D109" i="17"/>
  <c r="D111" i="17" s="1"/>
  <c r="C109" i="17"/>
  <c r="E109" i="17" s="1"/>
  <c r="F109" i="17" s="1"/>
  <c r="D101" i="17"/>
  <c r="C101" i="17"/>
  <c r="C102" i="17" s="1"/>
  <c r="D100" i="17"/>
  <c r="C100" i="17"/>
  <c r="E99" i="17"/>
  <c r="F99" i="17" s="1"/>
  <c r="E98" i="17"/>
  <c r="F98" i="17" s="1"/>
  <c r="D95" i="17"/>
  <c r="C95" i="17"/>
  <c r="E95" i="17" s="1"/>
  <c r="F95" i="17" s="1"/>
  <c r="D94" i="17"/>
  <c r="E94" i="17" s="1"/>
  <c r="C94" i="17"/>
  <c r="F94" i="17" s="1"/>
  <c r="E93" i="17"/>
  <c r="F93" i="17"/>
  <c r="D88" i="17"/>
  <c r="C88" i="17"/>
  <c r="C89" i="17" s="1"/>
  <c r="E87" i="17"/>
  <c r="F87" i="17" s="1"/>
  <c r="E86" i="17"/>
  <c r="F86" i="17"/>
  <c r="D85" i="17"/>
  <c r="C85" i="17"/>
  <c r="E85" i="17" s="1"/>
  <c r="F85" i="17" s="1"/>
  <c r="E84" i="17"/>
  <c r="F84" i="17" s="1"/>
  <c r="E83" i="17"/>
  <c r="F83" i="17" s="1"/>
  <c r="D76" i="17"/>
  <c r="C76" i="17"/>
  <c r="F74" i="17"/>
  <c r="E74" i="17"/>
  <c r="E73" i="17"/>
  <c r="F73" i="17" s="1"/>
  <c r="D67" i="17"/>
  <c r="C67" i="17"/>
  <c r="D66" i="17"/>
  <c r="D68" i="17" s="1"/>
  <c r="E66" i="17"/>
  <c r="C66" i="17"/>
  <c r="C68" i="17"/>
  <c r="D59" i="17"/>
  <c r="D60" i="17" s="1"/>
  <c r="C59" i="17"/>
  <c r="D58" i="17"/>
  <c r="C58" i="17"/>
  <c r="E57" i="17"/>
  <c r="F57" i="17" s="1"/>
  <c r="E56" i="17"/>
  <c r="F56" i="17" s="1"/>
  <c r="D53" i="17"/>
  <c r="E53" i="17" s="1"/>
  <c r="C53" i="17"/>
  <c r="D52" i="17"/>
  <c r="C52" i="17"/>
  <c r="F51" i="17"/>
  <c r="E51" i="17"/>
  <c r="D47" i="17"/>
  <c r="D48" i="17" s="1"/>
  <c r="C47" i="17"/>
  <c r="C48" i="17" s="1"/>
  <c r="E46" i="17"/>
  <c r="F46" i="17" s="1"/>
  <c r="E45" i="17"/>
  <c r="F45" i="17" s="1"/>
  <c r="D44" i="17"/>
  <c r="E44" i="17" s="1"/>
  <c r="C44" i="17"/>
  <c r="E43" i="17"/>
  <c r="F43" i="17" s="1"/>
  <c r="E42" i="17"/>
  <c r="F42" i="17" s="1"/>
  <c r="D36" i="17"/>
  <c r="E36" i="17"/>
  <c r="C36" i="17"/>
  <c r="D35" i="17"/>
  <c r="C35" i="17"/>
  <c r="E35" i="17" s="1"/>
  <c r="F35" i="17" s="1"/>
  <c r="D30" i="17"/>
  <c r="D31" i="17"/>
  <c r="C30" i="17"/>
  <c r="E30" i="17" s="1"/>
  <c r="D29" i="17"/>
  <c r="C29" i="17"/>
  <c r="E28" i="17"/>
  <c r="F28" i="17" s="1"/>
  <c r="E27" i="17"/>
  <c r="F27" i="17" s="1"/>
  <c r="D24" i="17"/>
  <c r="E24" i="17" s="1"/>
  <c r="F24" i="17"/>
  <c r="C24" i="17"/>
  <c r="D23" i="17"/>
  <c r="C23" i="17"/>
  <c r="E22" i="17"/>
  <c r="F22" i="17" s="1"/>
  <c r="D20" i="17"/>
  <c r="C20" i="17"/>
  <c r="E19" i="17"/>
  <c r="F19" i="17" s="1"/>
  <c r="E18" i="17"/>
  <c r="F18" i="17" s="1"/>
  <c r="D17" i="17"/>
  <c r="C17" i="17"/>
  <c r="E16" i="17"/>
  <c r="F16" i="17" s="1"/>
  <c r="E15" i="17"/>
  <c r="F15" i="17" s="1"/>
  <c r="D23" i="16"/>
  <c r="E23" i="16"/>
  <c r="C23" i="16"/>
  <c r="E22" i="16"/>
  <c r="F22" i="16" s="1"/>
  <c r="D19" i="16"/>
  <c r="C19" i="16"/>
  <c r="E18" i="16"/>
  <c r="F18" i="16" s="1"/>
  <c r="E17" i="16"/>
  <c r="F17" i="16" s="1"/>
  <c r="D14" i="16"/>
  <c r="C14" i="16"/>
  <c r="E14" i="16" s="1"/>
  <c r="F14" i="16" s="1"/>
  <c r="E13" i="16"/>
  <c r="F13" i="16" s="1"/>
  <c r="E12" i="16"/>
  <c r="F12" i="16" s="1"/>
  <c r="D107" i="15"/>
  <c r="E107" i="15"/>
  <c r="C107" i="15"/>
  <c r="E106" i="15"/>
  <c r="F106" i="15" s="1"/>
  <c r="F105" i="15"/>
  <c r="E105" i="15"/>
  <c r="E104" i="15"/>
  <c r="F104" i="15" s="1"/>
  <c r="D100" i="15"/>
  <c r="E100" i="15" s="1"/>
  <c r="C100" i="15"/>
  <c r="F99" i="15"/>
  <c r="E99" i="15"/>
  <c r="E98" i="15"/>
  <c r="F98" i="15" s="1"/>
  <c r="E97" i="15"/>
  <c r="F97" i="15" s="1"/>
  <c r="E96" i="15"/>
  <c r="F96" i="15" s="1"/>
  <c r="F95" i="15"/>
  <c r="E95" i="15"/>
  <c r="D92" i="15"/>
  <c r="C92" i="15"/>
  <c r="F92" i="15" s="1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E74" i="15"/>
  <c r="F74" i="15" s="1"/>
  <c r="E73" i="15"/>
  <c r="D70" i="15"/>
  <c r="C70" i="15"/>
  <c r="E69" i="15"/>
  <c r="F69" i="15" s="1"/>
  <c r="E68" i="15"/>
  <c r="F68" i="15" s="1"/>
  <c r="D65" i="15"/>
  <c r="C65" i="15"/>
  <c r="E64" i="15"/>
  <c r="F64" i="15" s="1"/>
  <c r="E63" i="15"/>
  <c r="F63" i="15" s="1"/>
  <c r="D60" i="15"/>
  <c r="C60" i="15"/>
  <c r="F60" i="15" s="1"/>
  <c r="F59" i="15"/>
  <c r="E59" i="15"/>
  <c r="F58" i="15"/>
  <c r="E58" i="15"/>
  <c r="F55" i="15"/>
  <c r="D55" i="15"/>
  <c r="E55" i="15" s="1"/>
  <c r="C55" i="15"/>
  <c r="F54" i="15"/>
  <c r="E54" i="15"/>
  <c r="F53" i="15"/>
  <c r="E53" i="15"/>
  <c r="D50" i="15"/>
  <c r="E50" i="15" s="1"/>
  <c r="C50" i="15"/>
  <c r="F50" i="15" s="1"/>
  <c r="F49" i="15"/>
  <c r="E49" i="15"/>
  <c r="F48" i="15"/>
  <c r="E48" i="15"/>
  <c r="D45" i="15"/>
  <c r="C45" i="15"/>
  <c r="F45" i="15" s="1"/>
  <c r="F44" i="15"/>
  <c r="E44" i="15"/>
  <c r="F43" i="15"/>
  <c r="E43" i="15"/>
  <c r="F37" i="15"/>
  <c r="D37" i="15"/>
  <c r="E37" i="15" s="1"/>
  <c r="C37" i="15"/>
  <c r="F36" i="15"/>
  <c r="E36" i="15"/>
  <c r="F35" i="15"/>
  <c r="E35" i="15"/>
  <c r="F34" i="15"/>
  <c r="E34" i="15"/>
  <c r="F33" i="15"/>
  <c r="E33" i="15"/>
  <c r="F30" i="15"/>
  <c r="D30" i="15"/>
  <c r="C30" i="15"/>
  <c r="F29" i="15"/>
  <c r="E29" i="15"/>
  <c r="F28" i="15"/>
  <c r="E28" i="15"/>
  <c r="F27" i="15"/>
  <c r="E27" i="15"/>
  <c r="F26" i="15"/>
  <c r="E26" i="15"/>
  <c r="D23" i="15"/>
  <c r="C23" i="15"/>
  <c r="F22" i="15"/>
  <c r="E22" i="15"/>
  <c r="E21" i="15"/>
  <c r="F21" i="15" s="1"/>
  <c r="F20" i="15"/>
  <c r="E20" i="15"/>
  <c r="E19" i="15"/>
  <c r="F19" i="15" s="1"/>
  <c r="D16" i="15"/>
  <c r="C16" i="15"/>
  <c r="E16" i="15" s="1"/>
  <c r="F15" i="15"/>
  <c r="E15" i="15"/>
  <c r="E14" i="15"/>
  <c r="F14" i="15" s="1"/>
  <c r="E13" i="15"/>
  <c r="F13" i="15" s="1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F17" i="14"/>
  <c r="F33" i="14" s="1"/>
  <c r="F36" i="14" s="1"/>
  <c r="F38" i="14" s="1"/>
  <c r="F40" i="14" s="1"/>
  <c r="E17" i="14"/>
  <c r="E33" i="14" s="1"/>
  <c r="E36" i="14" s="1"/>
  <c r="E38" i="14" s="1"/>
  <c r="E40" i="14" s="1"/>
  <c r="E31" i="14"/>
  <c r="D17" i="14"/>
  <c r="D33" i="14" s="1"/>
  <c r="D36" i="14" s="1"/>
  <c r="D38" i="14" s="1"/>
  <c r="D40" i="14" s="1"/>
  <c r="C17" i="14"/>
  <c r="C31" i="14" s="1"/>
  <c r="I16" i="14"/>
  <c r="H16" i="14"/>
  <c r="I15" i="14"/>
  <c r="H15" i="14"/>
  <c r="I13" i="14"/>
  <c r="H13" i="14"/>
  <c r="I11" i="14"/>
  <c r="H11" i="14"/>
  <c r="E79" i="13"/>
  <c r="D79" i="13"/>
  <c r="C79" i="13"/>
  <c r="E78" i="13"/>
  <c r="D78" i="13"/>
  <c r="D80" i="13" s="1"/>
  <c r="D77" i="13" s="1"/>
  <c r="C78" i="13"/>
  <c r="E73" i="13"/>
  <c r="E75" i="13" s="1"/>
  <c r="D73" i="13"/>
  <c r="D75" i="13" s="1"/>
  <c r="C73" i="13"/>
  <c r="C75" i="13"/>
  <c r="E71" i="13"/>
  <c r="D71" i="13"/>
  <c r="C71" i="13"/>
  <c r="E66" i="13"/>
  <c r="E65" i="13" s="1"/>
  <c r="D66" i="13"/>
  <c r="C66" i="13"/>
  <c r="C65" i="13" s="1"/>
  <c r="D65" i="13"/>
  <c r="E60" i="13"/>
  <c r="D60" i="13"/>
  <c r="C60" i="13"/>
  <c r="E58" i="13"/>
  <c r="D58" i="13"/>
  <c r="C58" i="13"/>
  <c r="E55" i="13"/>
  <c r="E50" i="13" s="1"/>
  <c r="D55" i="13"/>
  <c r="C55" i="13"/>
  <c r="E54" i="13"/>
  <c r="D54" i="13"/>
  <c r="D50" i="13" s="1"/>
  <c r="C54" i="13"/>
  <c r="C50" i="13"/>
  <c r="E46" i="13"/>
  <c r="E59" i="13"/>
  <c r="E61" i="13" s="1"/>
  <c r="E57" i="13" s="1"/>
  <c r="D46" i="13"/>
  <c r="D48" i="13" s="1"/>
  <c r="C46" i="13"/>
  <c r="C59" i="13" s="1"/>
  <c r="E45" i="13"/>
  <c r="D45" i="13"/>
  <c r="C45" i="13"/>
  <c r="E38" i="13"/>
  <c r="D38" i="13"/>
  <c r="C38" i="13"/>
  <c r="E33" i="13"/>
  <c r="E34" i="13" s="1"/>
  <c r="D33" i="13"/>
  <c r="D34" i="13" s="1"/>
  <c r="E26" i="13"/>
  <c r="D26" i="13"/>
  <c r="C26" i="13"/>
  <c r="E13" i="13"/>
  <c r="E25" i="13" s="1"/>
  <c r="E27" i="13" s="1"/>
  <c r="D13" i="13"/>
  <c r="D15" i="13" s="1"/>
  <c r="C13" i="13"/>
  <c r="D47" i="12"/>
  <c r="C47" i="12"/>
  <c r="F47" i="12" s="1"/>
  <c r="F46" i="12"/>
  <c r="E46" i="12"/>
  <c r="F45" i="12"/>
  <c r="E45" i="12"/>
  <c r="D40" i="12"/>
  <c r="E40" i="12" s="1"/>
  <c r="F40" i="12" s="1"/>
  <c r="C40" i="12"/>
  <c r="E39" i="12"/>
  <c r="F39" i="12" s="1"/>
  <c r="F38" i="12"/>
  <c r="E38" i="12"/>
  <c r="E37" i="12"/>
  <c r="F37" i="12" s="1"/>
  <c r="D32" i="12"/>
  <c r="C32" i="12"/>
  <c r="F31" i="12"/>
  <c r="E31" i="12"/>
  <c r="E30" i="12"/>
  <c r="F30" i="12" s="1"/>
  <c r="E29" i="12"/>
  <c r="F29" i="12" s="1"/>
  <c r="F28" i="12"/>
  <c r="E28" i="12"/>
  <c r="E27" i="12"/>
  <c r="F27" i="12" s="1"/>
  <c r="E26" i="12"/>
  <c r="F26" i="12" s="1"/>
  <c r="F25" i="12"/>
  <c r="E25" i="12"/>
  <c r="E24" i="12"/>
  <c r="F24" i="12" s="1"/>
  <c r="E23" i="12"/>
  <c r="F23" i="12" s="1"/>
  <c r="E19" i="12"/>
  <c r="F19" i="12" s="1"/>
  <c r="F18" i="12"/>
  <c r="E18" i="12"/>
  <c r="E16" i="12"/>
  <c r="F16" i="12" s="1"/>
  <c r="D15" i="12"/>
  <c r="D17" i="12" s="1"/>
  <c r="C15" i="12"/>
  <c r="F14" i="12"/>
  <c r="E14" i="12"/>
  <c r="E13" i="12"/>
  <c r="F13" i="12" s="1"/>
  <c r="E12" i="12"/>
  <c r="F12" i="12" s="1"/>
  <c r="E11" i="12"/>
  <c r="F11" i="12" s="1"/>
  <c r="D73" i="11"/>
  <c r="C73" i="11"/>
  <c r="E72" i="11"/>
  <c r="F72" i="11"/>
  <c r="E71" i="11"/>
  <c r="F71" i="11" s="1"/>
  <c r="E70" i="11"/>
  <c r="F70" i="11" s="1"/>
  <c r="F67" i="11"/>
  <c r="E67" i="11"/>
  <c r="E64" i="11"/>
  <c r="F64" i="11"/>
  <c r="F63" i="11"/>
  <c r="E63" i="11"/>
  <c r="D61" i="11"/>
  <c r="C61" i="11"/>
  <c r="C65" i="11" s="1"/>
  <c r="E60" i="11"/>
  <c r="F60" i="11" s="1"/>
  <c r="F59" i="11"/>
  <c r="E59" i="11"/>
  <c r="D56" i="11"/>
  <c r="C56" i="11"/>
  <c r="E55" i="11"/>
  <c r="F55" i="11" s="1"/>
  <c r="E54" i="11"/>
  <c r="F54" i="11" s="1"/>
  <c r="E53" i="11"/>
  <c r="F53" i="11" s="1"/>
  <c r="F52" i="11"/>
  <c r="E52" i="11"/>
  <c r="E51" i="11"/>
  <c r="F51" i="11" s="1"/>
  <c r="E50" i="11"/>
  <c r="F50" i="11" s="1"/>
  <c r="A50" i="11"/>
  <c r="A51" i="11"/>
  <c r="A52" i="11" s="1"/>
  <c r="A53" i="11" s="1"/>
  <c r="A54" i="11" s="1"/>
  <c r="A55" i="11" s="1"/>
  <c r="E49" i="11"/>
  <c r="F49" i="11"/>
  <c r="F40" i="11"/>
  <c r="E40" i="11"/>
  <c r="D38" i="11"/>
  <c r="D41" i="11" s="1"/>
  <c r="C38" i="11"/>
  <c r="E38" i="11" s="1"/>
  <c r="E37" i="11"/>
  <c r="F37" i="11" s="1"/>
  <c r="E36" i="11"/>
  <c r="F36" i="11" s="1"/>
  <c r="E33" i="11"/>
  <c r="F33" i="11" s="1"/>
  <c r="E32" i="11"/>
  <c r="F32" i="11"/>
  <c r="F31" i="11"/>
  <c r="E31" i="11"/>
  <c r="D29" i="11"/>
  <c r="C29" i="11"/>
  <c r="F28" i="11"/>
  <c r="E28" i="11"/>
  <c r="E27" i="11"/>
  <c r="F27" i="11"/>
  <c r="F26" i="11"/>
  <c r="E26" i="11"/>
  <c r="E25" i="11"/>
  <c r="F25" i="11"/>
  <c r="D22" i="11"/>
  <c r="C22" i="11"/>
  <c r="E21" i="11"/>
  <c r="F21" i="11"/>
  <c r="E20" i="11"/>
  <c r="F20" i="11"/>
  <c r="E19" i="11"/>
  <c r="F19" i="11"/>
  <c r="F18" i="11"/>
  <c r="E18" i="11"/>
  <c r="F17" i="11"/>
  <c r="E17" i="11"/>
  <c r="F16" i="11"/>
  <c r="E16" i="11"/>
  <c r="E15" i="11"/>
  <c r="F15" i="11"/>
  <c r="F14" i="11"/>
  <c r="E14" i="11"/>
  <c r="E13" i="11"/>
  <c r="F13" i="11"/>
  <c r="D120" i="10"/>
  <c r="C120" i="10"/>
  <c r="F120" i="10" s="1"/>
  <c r="D119" i="10"/>
  <c r="C119" i="10"/>
  <c r="F119" i="10" s="1"/>
  <c r="D118" i="10"/>
  <c r="E118" i="10"/>
  <c r="C118" i="10"/>
  <c r="F118" i="10" s="1"/>
  <c r="D117" i="10"/>
  <c r="E117" i="10" s="1"/>
  <c r="C117" i="10"/>
  <c r="F117" i="10" s="1"/>
  <c r="D116" i="10"/>
  <c r="C116" i="10"/>
  <c r="F116" i="10" s="1"/>
  <c r="D115" i="10"/>
  <c r="C115" i="10"/>
  <c r="F115" i="10" s="1"/>
  <c r="D114" i="10"/>
  <c r="C114" i="10"/>
  <c r="F114" i="10" s="1"/>
  <c r="D113" i="10"/>
  <c r="C113" i="10"/>
  <c r="D112" i="10"/>
  <c r="D121" i="10" s="1"/>
  <c r="C112" i="10"/>
  <c r="C121" i="10" s="1"/>
  <c r="F121" i="10" s="1"/>
  <c r="F108" i="10"/>
  <c r="D108" i="10"/>
  <c r="E108" i="10"/>
  <c r="C108" i="10"/>
  <c r="D107" i="10"/>
  <c r="C107" i="10"/>
  <c r="F107" i="10" s="1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C96" i="10"/>
  <c r="D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D83" i="10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D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/>
  <c r="C60" i="10"/>
  <c r="F59" i="10"/>
  <c r="D59" i="10"/>
  <c r="E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C48" i="10"/>
  <c r="D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F36" i="10" s="1"/>
  <c r="F35" i="10"/>
  <c r="D35" i="10"/>
  <c r="E35" i="10" s="1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 s="1"/>
  <c r="F206" i="9" s="1"/>
  <c r="C206" i="9"/>
  <c r="D205" i="9"/>
  <c r="C205" i="9"/>
  <c r="D204" i="9"/>
  <c r="E204" i="9"/>
  <c r="F204" i="9" s="1"/>
  <c r="C204" i="9"/>
  <c r="D203" i="9"/>
  <c r="E203" i="9" s="1"/>
  <c r="F203" i="9" s="1"/>
  <c r="C203" i="9"/>
  <c r="D202" i="9"/>
  <c r="C202" i="9"/>
  <c r="E202" i="9" s="1"/>
  <c r="F202" i="9" s="1"/>
  <c r="D201" i="9"/>
  <c r="C201" i="9"/>
  <c r="D200" i="9"/>
  <c r="C200" i="9"/>
  <c r="D199" i="9"/>
  <c r="D208" i="9" s="1"/>
  <c r="C199" i="9"/>
  <c r="C208" i="9" s="1"/>
  <c r="D198" i="9"/>
  <c r="D207" i="9" s="1"/>
  <c r="C198" i="9"/>
  <c r="D193" i="9"/>
  <c r="C193" i="9"/>
  <c r="D192" i="9"/>
  <c r="C192" i="9"/>
  <c r="F191" i="9"/>
  <c r="E191" i="9"/>
  <c r="E190" i="9"/>
  <c r="F190" i="9" s="1"/>
  <c r="E189" i="9"/>
  <c r="F189" i="9" s="1"/>
  <c r="E188" i="9"/>
  <c r="F188" i="9" s="1"/>
  <c r="F187" i="9"/>
  <c r="E187" i="9"/>
  <c r="E186" i="9"/>
  <c r="F186" i="9" s="1"/>
  <c r="E185" i="9"/>
  <c r="F185" i="9" s="1"/>
  <c r="E184" i="9"/>
  <c r="F184" i="9" s="1"/>
  <c r="E183" i="9"/>
  <c r="F183" i="9" s="1"/>
  <c r="D180" i="9"/>
  <c r="E180" i="9" s="1"/>
  <c r="C180" i="9"/>
  <c r="F180" i="9" s="1"/>
  <c r="D179" i="9"/>
  <c r="E179" i="9" s="1"/>
  <c r="C179" i="9"/>
  <c r="F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C167" i="9"/>
  <c r="D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D153" i="9"/>
  <c r="E153" i="9" s="1"/>
  <c r="C153" i="9"/>
  <c r="E152" i="9"/>
  <c r="F152" i="9" s="1"/>
  <c r="E151" i="9"/>
  <c r="F151" i="9" s="1"/>
  <c r="E150" i="9"/>
  <c r="F150" i="9" s="1"/>
  <c r="F149" i="9"/>
  <c r="E149" i="9"/>
  <c r="F148" i="9"/>
  <c r="E148" i="9"/>
  <c r="F147" i="9"/>
  <c r="E147" i="9"/>
  <c r="E146" i="9"/>
  <c r="F146" i="9" s="1"/>
  <c r="F145" i="9"/>
  <c r="E145" i="9"/>
  <c r="E144" i="9"/>
  <c r="F144" i="9" s="1"/>
  <c r="D141" i="9"/>
  <c r="E141" i="9" s="1"/>
  <c r="C141" i="9"/>
  <c r="D140" i="9"/>
  <c r="C140" i="9"/>
  <c r="E139" i="9"/>
  <c r="F139" i="9" s="1"/>
  <c r="E138" i="9"/>
  <c r="F138" i="9" s="1"/>
  <c r="E137" i="9"/>
  <c r="F137" i="9" s="1"/>
  <c r="E136" i="9"/>
  <c r="F136" i="9" s="1"/>
  <c r="E135" i="9"/>
  <c r="F135" i="9" s="1"/>
  <c r="E134" i="9"/>
  <c r="F134" i="9" s="1"/>
  <c r="F133" i="9"/>
  <c r="E133" i="9"/>
  <c r="E132" i="9"/>
  <c r="F132" i="9" s="1"/>
  <c r="E131" i="9"/>
  <c r="F131" i="9" s="1"/>
  <c r="D128" i="9"/>
  <c r="E128" i="9"/>
  <c r="F128" i="9"/>
  <c r="C128" i="9"/>
  <c r="D127" i="9"/>
  <c r="E127" i="9"/>
  <c r="F127" i="9" s="1"/>
  <c r="C127" i="9"/>
  <c r="E126" i="9"/>
  <c r="F126" i="9" s="1"/>
  <c r="E125" i="9"/>
  <c r="F125" i="9" s="1"/>
  <c r="E124" i="9"/>
  <c r="F124" i="9" s="1"/>
  <c r="E123" i="9"/>
  <c r="F123" i="9" s="1"/>
  <c r="E122" i="9"/>
  <c r="F122" i="9" s="1"/>
  <c r="F121" i="9"/>
  <c r="E121" i="9"/>
  <c r="E120" i="9"/>
  <c r="F120" i="9" s="1"/>
  <c r="E119" i="9"/>
  <c r="F119" i="9" s="1"/>
  <c r="E118" i="9"/>
  <c r="F118" i="9" s="1"/>
  <c r="D115" i="9"/>
  <c r="E115" i="9" s="1"/>
  <c r="C115" i="9"/>
  <c r="D114" i="9"/>
  <c r="C114" i="9"/>
  <c r="E113" i="9"/>
  <c r="F113" i="9" s="1"/>
  <c r="E112" i="9"/>
  <c r="F112" i="9" s="1"/>
  <c r="E111" i="9"/>
  <c r="F111" i="9" s="1"/>
  <c r="E110" i="9"/>
  <c r="F110" i="9" s="1"/>
  <c r="F109" i="9"/>
  <c r="E109" i="9"/>
  <c r="F108" i="9"/>
  <c r="E108" i="9"/>
  <c r="F107" i="9"/>
  <c r="E107" i="9"/>
  <c r="E106" i="9"/>
  <c r="F106" i="9" s="1"/>
  <c r="E105" i="9"/>
  <c r="F105" i="9" s="1"/>
  <c r="D102" i="9"/>
  <c r="C102" i="9"/>
  <c r="E102" i="9" s="1"/>
  <c r="F102" i="9" s="1"/>
  <c r="D101" i="9"/>
  <c r="C101" i="9"/>
  <c r="E100" i="9"/>
  <c r="F100" i="9" s="1"/>
  <c r="F99" i="9"/>
  <c r="E99" i="9"/>
  <c r="E98" i="9"/>
  <c r="F98" i="9" s="1"/>
  <c r="E97" i="9"/>
  <c r="F97" i="9" s="1"/>
  <c r="E96" i="9"/>
  <c r="F96" i="9" s="1"/>
  <c r="E95" i="9"/>
  <c r="F95" i="9" s="1"/>
  <c r="E94" i="9"/>
  <c r="F94" i="9" s="1"/>
  <c r="F93" i="9"/>
  <c r="E93" i="9"/>
  <c r="F92" i="9"/>
  <c r="E92" i="9"/>
  <c r="D89" i="9"/>
  <c r="C89" i="9"/>
  <c r="E89" i="9" s="1"/>
  <c r="D88" i="9"/>
  <c r="C88" i="9"/>
  <c r="E88" i="9" s="1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/>
  <c r="C76" i="9"/>
  <c r="D75" i="9"/>
  <c r="E75" i="9"/>
  <c r="F75" i="9" s="1"/>
  <c r="C75" i="9"/>
  <c r="E74" i="9"/>
  <c r="F74" i="9" s="1"/>
  <c r="E73" i="9"/>
  <c r="F73" i="9" s="1"/>
  <c r="E72" i="9"/>
  <c r="F72" i="9" s="1"/>
  <c r="F71" i="9"/>
  <c r="E71" i="9"/>
  <c r="E70" i="9"/>
  <c r="F70" i="9" s="1"/>
  <c r="F69" i="9"/>
  <c r="E69" i="9"/>
  <c r="E68" i="9"/>
  <c r="F68" i="9" s="1"/>
  <c r="E67" i="9"/>
  <c r="F67" i="9" s="1"/>
  <c r="E66" i="9"/>
  <c r="F66" i="9" s="1"/>
  <c r="D63" i="9"/>
  <c r="C63" i="9"/>
  <c r="D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D49" i="9"/>
  <c r="C49" i="9"/>
  <c r="E48" i="9"/>
  <c r="F48" i="9" s="1"/>
  <c r="E47" i="9"/>
  <c r="F47" i="9" s="1"/>
  <c r="E46" i="9"/>
  <c r="F46" i="9" s="1"/>
  <c r="F45" i="9"/>
  <c r="E45" i="9"/>
  <c r="E44" i="9"/>
  <c r="F44" i="9" s="1"/>
  <c r="E43" i="9"/>
  <c r="F43" i="9" s="1"/>
  <c r="E42" i="9"/>
  <c r="F42" i="9" s="1"/>
  <c r="F41" i="9"/>
  <c r="E41" i="9"/>
  <c r="F40" i="9"/>
  <c r="E40" i="9"/>
  <c r="D37" i="9"/>
  <c r="C37" i="9"/>
  <c r="D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 s="1"/>
  <c r="F24" i="9" s="1"/>
  <c r="C24" i="9"/>
  <c r="D23" i="9"/>
  <c r="E23" i="9"/>
  <c r="F23" i="9" s="1"/>
  <c r="C23" i="9"/>
  <c r="E22" i="9"/>
  <c r="F22" i="9" s="1"/>
  <c r="F21" i="9"/>
  <c r="E21" i="9"/>
  <c r="E20" i="9"/>
  <c r="F20" i="9" s="1"/>
  <c r="F19" i="9"/>
  <c r="E19" i="9"/>
  <c r="E18" i="9"/>
  <c r="F18" i="9" s="1"/>
  <c r="E17" i="9"/>
  <c r="F17" i="9" s="1"/>
  <c r="F16" i="9"/>
  <c r="E16" i="9"/>
  <c r="E15" i="9"/>
  <c r="F15" i="9" s="1"/>
  <c r="E14" i="9"/>
  <c r="F14" i="9" s="1"/>
  <c r="E191" i="8"/>
  <c r="D191" i="8"/>
  <c r="C191" i="8"/>
  <c r="E176" i="8"/>
  <c r="D176" i="8"/>
  <c r="C176" i="8"/>
  <c r="E164" i="8"/>
  <c r="D164" i="8"/>
  <c r="D160" i="8"/>
  <c r="C164" i="8"/>
  <c r="E162" i="8"/>
  <c r="D162" i="8"/>
  <c r="C162" i="8"/>
  <c r="E161" i="8"/>
  <c r="D161" i="8"/>
  <c r="C161" i="8"/>
  <c r="E160" i="8"/>
  <c r="C160" i="8"/>
  <c r="E147" i="8"/>
  <c r="D147" i="8"/>
  <c r="D143" i="8"/>
  <c r="C147" i="8"/>
  <c r="E145" i="8"/>
  <c r="D145" i="8"/>
  <c r="C145" i="8"/>
  <c r="E144" i="8"/>
  <c r="D144" i="8"/>
  <c r="C144" i="8"/>
  <c r="E143" i="8"/>
  <c r="E149" i="8" s="1"/>
  <c r="C143" i="8"/>
  <c r="E126" i="8"/>
  <c r="D126" i="8"/>
  <c r="C126" i="8"/>
  <c r="E119" i="8"/>
  <c r="D119" i="8"/>
  <c r="C119" i="8"/>
  <c r="E108" i="8"/>
  <c r="E109" i="8" s="1"/>
  <c r="E106" i="8" s="1"/>
  <c r="D108" i="8"/>
  <c r="C108" i="8"/>
  <c r="E107" i="8"/>
  <c r="D107" i="8"/>
  <c r="D109" i="8" s="1"/>
  <c r="D106" i="8"/>
  <c r="C107" i="8"/>
  <c r="E102" i="8"/>
  <c r="E104" i="8" s="1"/>
  <c r="D102" i="8"/>
  <c r="D104" i="8"/>
  <c r="C102" i="8"/>
  <c r="C104" i="8" s="1"/>
  <c r="E100" i="8"/>
  <c r="D100" i="8"/>
  <c r="C100" i="8"/>
  <c r="E95" i="8"/>
  <c r="E94" i="8"/>
  <c r="D95" i="8"/>
  <c r="C95" i="8"/>
  <c r="C94" i="8" s="1"/>
  <c r="D94" i="8"/>
  <c r="E89" i="8"/>
  <c r="D89" i="8"/>
  <c r="C89" i="8"/>
  <c r="E88" i="8"/>
  <c r="E90" i="8" s="1"/>
  <c r="E87" i="8"/>
  <c r="D87" i="8"/>
  <c r="C87" i="8"/>
  <c r="E84" i="8"/>
  <c r="D84" i="8"/>
  <c r="D79" i="8" s="1"/>
  <c r="C84" i="8"/>
  <c r="E83" i="8"/>
  <c r="D83" i="8"/>
  <c r="C83" i="8"/>
  <c r="C77" i="8"/>
  <c r="C71" i="8" s="1"/>
  <c r="E75" i="8"/>
  <c r="E77" i="8" s="1"/>
  <c r="D75" i="8"/>
  <c r="D88" i="8" s="1"/>
  <c r="C75" i="8"/>
  <c r="C88" i="8" s="1"/>
  <c r="C90" i="8" s="1"/>
  <c r="C86" i="8" s="1"/>
  <c r="E74" i="8"/>
  <c r="D74" i="8"/>
  <c r="C74" i="8"/>
  <c r="E67" i="8"/>
  <c r="D67" i="8"/>
  <c r="C67" i="8"/>
  <c r="D53" i="8"/>
  <c r="D43" i="8"/>
  <c r="E38" i="8"/>
  <c r="E57" i="8" s="1"/>
  <c r="E62" i="8" s="1"/>
  <c r="D38" i="8"/>
  <c r="D57" i="8"/>
  <c r="D62" i="8" s="1"/>
  <c r="C38" i="8"/>
  <c r="C57" i="8"/>
  <c r="C62" i="8" s="1"/>
  <c r="E33" i="8"/>
  <c r="E34" i="8"/>
  <c r="D33" i="8"/>
  <c r="D34" i="8" s="1"/>
  <c r="E26" i="8"/>
  <c r="D26" i="8"/>
  <c r="C26" i="8"/>
  <c r="E13" i="8"/>
  <c r="D13" i="8"/>
  <c r="D25" i="8" s="1"/>
  <c r="C13" i="8"/>
  <c r="F186" i="7"/>
  <c r="E186" i="7"/>
  <c r="D183" i="7"/>
  <c r="C183" i="7"/>
  <c r="F182" i="7"/>
  <c r="E182" i="7"/>
  <c r="F181" i="7"/>
  <c r="E181" i="7"/>
  <c r="F180" i="7"/>
  <c r="E180" i="7"/>
  <c r="E179" i="7"/>
  <c r="F179" i="7" s="1"/>
  <c r="F178" i="7"/>
  <c r="E178" i="7"/>
  <c r="F177" i="7"/>
  <c r="E177" i="7"/>
  <c r="F176" i="7"/>
  <c r="E176" i="7"/>
  <c r="E175" i="7"/>
  <c r="F175" i="7" s="1"/>
  <c r="F174" i="7"/>
  <c r="E174" i="7"/>
  <c r="E173" i="7"/>
  <c r="F173" i="7" s="1"/>
  <c r="F172" i="7"/>
  <c r="E172" i="7"/>
  <c r="E171" i="7"/>
  <c r="F171" i="7" s="1"/>
  <c r="F170" i="7"/>
  <c r="E170" i="7"/>
  <c r="D167" i="7"/>
  <c r="E167" i="7" s="1"/>
  <c r="C167" i="7"/>
  <c r="E166" i="7"/>
  <c r="F166" i="7" s="1"/>
  <c r="F165" i="7"/>
  <c r="E165" i="7"/>
  <c r="F164" i="7"/>
  <c r="E164" i="7"/>
  <c r="F163" i="7"/>
  <c r="E163" i="7"/>
  <c r="F162" i="7"/>
  <c r="E162" i="7"/>
  <c r="F161" i="7"/>
  <c r="E161" i="7"/>
  <c r="F160" i="7"/>
  <c r="E160" i="7"/>
  <c r="F159" i="7"/>
  <c r="E159" i="7"/>
  <c r="F158" i="7"/>
  <c r="E158" i="7"/>
  <c r="E157" i="7"/>
  <c r="F157" i="7" s="1"/>
  <c r="F156" i="7"/>
  <c r="E156" i="7"/>
  <c r="F155" i="7"/>
  <c r="E155" i="7"/>
  <c r="E154" i="7"/>
  <c r="F154" i="7" s="1"/>
  <c r="F153" i="7"/>
  <c r="E153" i="7"/>
  <c r="E152" i="7"/>
  <c r="F152" i="7" s="1"/>
  <c r="F151" i="7"/>
  <c r="E151" i="7"/>
  <c r="E150" i="7"/>
  <c r="F150" i="7" s="1"/>
  <c r="F149" i="7"/>
  <c r="E149" i="7"/>
  <c r="F148" i="7"/>
  <c r="E148" i="7"/>
  <c r="F147" i="7"/>
  <c r="E147" i="7"/>
  <c r="E146" i="7"/>
  <c r="F146" i="7" s="1"/>
  <c r="F145" i="7"/>
  <c r="E145" i="7"/>
  <c r="F144" i="7"/>
  <c r="E144" i="7"/>
  <c r="F143" i="7"/>
  <c r="E143" i="7"/>
  <c r="E142" i="7"/>
  <c r="F142" i="7" s="1"/>
  <c r="E141" i="7"/>
  <c r="F141" i="7" s="1"/>
  <c r="E140" i="7"/>
  <c r="F140" i="7" s="1"/>
  <c r="F139" i="7"/>
  <c r="E139" i="7"/>
  <c r="E138" i="7"/>
  <c r="F138" i="7" s="1"/>
  <c r="E137" i="7"/>
  <c r="F137" i="7" s="1"/>
  <c r="F136" i="7"/>
  <c r="E136" i="7"/>
  <c r="E135" i="7"/>
  <c r="F135" i="7" s="1"/>
  <c r="E134" i="7"/>
  <c r="F134" i="7" s="1"/>
  <c r="E133" i="7"/>
  <c r="F133" i="7" s="1"/>
  <c r="D130" i="7"/>
  <c r="E130" i="7" s="1"/>
  <c r="F130" i="7" s="1"/>
  <c r="C130" i="7"/>
  <c r="F129" i="7"/>
  <c r="E129" i="7"/>
  <c r="F128" i="7"/>
  <c r="E128" i="7"/>
  <c r="E127" i="7"/>
  <c r="F127" i="7" s="1"/>
  <c r="F126" i="7"/>
  <c r="E126" i="7"/>
  <c r="F125" i="7"/>
  <c r="E125" i="7"/>
  <c r="E124" i="7"/>
  <c r="F124" i="7" s="1"/>
  <c r="D121" i="7"/>
  <c r="C121" i="7"/>
  <c r="E120" i="7"/>
  <c r="F120" i="7" s="1"/>
  <c r="E119" i="7"/>
  <c r="F119" i="7" s="1"/>
  <c r="E118" i="7"/>
  <c r="F118" i="7" s="1"/>
  <c r="E117" i="7"/>
  <c r="F117" i="7" s="1"/>
  <c r="E116" i="7"/>
  <c r="F116" i="7" s="1"/>
  <c r="E115" i="7"/>
  <c r="F115" i="7" s="1"/>
  <c r="E114" i="7"/>
  <c r="F114" i="7" s="1"/>
  <c r="E113" i="7"/>
  <c r="F113" i="7" s="1"/>
  <c r="F112" i="7"/>
  <c r="E112" i="7"/>
  <c r="E111" i="7"/>
  <c r="F111" i="7" s="1"/>
  <c r="E110" i="7"/>
  <c r="F110" i="7" s="1"/>
  <c r="E109" i="7"/>
  <c r="F109" i="7" s="1"/>
  <c r="E108" i="7"/>
  <c r="F108" i="7" s="1"/>
  <c r="E107" i="7"/>
  <c r="F107" i="7" s="1"/>
  <c r="E106" i="7"/>
  <c r="F106" i="7" s="1"/>
  <c r="E105" i="7"/>
  <c r="F105" i="7" s="1"/>
  <c r="F104" i="7"/>
  <c r="E104" i="7"/>
  <c r="E103" i="7"/>
  <c r="F103" i="7" s="1"/>
  <c r="F93" i="7"/>
  <c r="E93" i="7"/>
  <c r="D90" i="7"/>
  <c r="C90" i="7"/>
  <c r="E89" i="7"/>
  <c r="F89" i="7" s="1"/>
  <c r="E88" i="7"/>
  <c r="F88" i="7" s="1"/>
  <c r="E87" i="7"/>
  <c r="F87" i="7" s="1"/>
  <c r="E86" i="7"/>
  <c r="F86" i="7" s="1"/>
  <c r="F85" i="7"/>
  <c r="E85" i="7"/>
  <c r="E84" i="7"/>
  <c r="F84" i="7" s="1"/>
  <c r="F83" i="7"/>
  <c r="E83" i="7"/>
  <c r="E82" i="7"/>
  <c r="F82" i="7" s="1"/>
  <c r="E81" i="7"/>
  <c r="F81" i="7" s="1"/>
  <c r="E80" i="7"/>
  <c r="F80" i="7" s="1"/>
  <c r="E79" i="7"/>
  <c r="F79" i="7" s="1"/>
  <c r="E78" i="7"/>
  <c r="F78" i="7" s="1"/>
  <c r="F77" i="7"/>
  <c r="E77" i="7"/>
  <c r="E76" i="7"/>
  <c r="F76" i="7" s="1"/>
  <c r="E75" i="7"/>
  <c r="F75" i="7" s="1"/>
  <c r="E74" i="7"/>
  <c r="F74" i="7" s="1"/>
  <c r="E73" i="7"/>
  <c r="F73" i="7" s="1"/>
  <c r="F72" i="7"/>
  <c r="E72" i="7"/>
  <c r="E71" i="7"/>
  <c r="F71" i="7" s="1"/>
  <c r="E70" i="7"/>
  <c r="F70" i="7" s="1"/>
  <c r="E69" i="7"/>
  <c r="F69" i="7" s="1"/>
  <c r="E68" i="7"/>
  <c r="F68" i="7" s="1"/>
  <c r="E67" i="7"/>
  <c r="F67" i="7" s="1"/>
  <c r="E66" i="7"/>
  <c r="F66" i="7" s="1"/>
  <c r="E65" i="7"/>
  <c r="F65" i="7" s="1"/>
  <c r="E64" i="7"/>
  <c r="F64" i="7" s="1"/>
  <c r="E63" i="7"/>
  <c r="F63" i="7" s="1"/>
  <c r="E62" i="7"/>
  <c r="F62" i="7" s="1"/>
  <c r="D59" i="7"/>
  <c r="C59" i="7"/>
  <c r="E58" i="7"/>
  <c r="F58" i="7" s="1"/>
  <c r="F57" i="7"/>
  <c r="E57" i="7"/>
  <c r="F56" i="7"/>
  <c r="E56" i="7"/>
  <c r="E55" i="7"/>
  <c r="F55" i="7" s="1"/>
  <c r="E54" i="7"/>
  <c r="F54" i="7" s="1"/>
  <c r="F53" i="7"/>
  <c r="E53" i="7"/>
  <c r="F50" i="7"/>
  <c r="E50" i="7"/>
  <c r="E47" i="7"/>
  <c r="F47" i="7" s="1"/>
  <c r="F44" i="7"/>
  <c r="E44" i="7"/>
  <c r="D41" i="7"/>
  <c r="E41" i="7"/>
  <c r="C41" i="7"/>
  <c r="E40" i="7"/>
  <c r="F40" i="7" s="1"/>
  <c r="E39" i="7"/>
  <c r="F39" i="7" s="1"/>
  <c r="F38" i="7"/>
  <c r="E38" i="7"/>
  <c r="D35" i="7"/>
  <c r="E35" i="7" s="1"/>
  <c r="C35" i="7"/>
  <c r="E34" i="7"/>
  <c r="F34" i="7" s="1"/>
  <c r="E33" i="7"/>
  <c r="F33" i="7" s="1"/>
  <c r="D30" i="7"/>
  <c r="E30" i="7" s="1"/>
  <c r="C30" i="7"/>
  <c r="E29" i="7"/>
  <c r="F29" i="7" s="1"/>
  <c r="E28" i="7"/>
  <c r="F28" i="7" s="1"/>
  <c r="E27" i="7"/>
  <c r="F27" i="7" s="1"/>
  <c r="D24" i="7"/>
  <c r="C24" i="7"/>
  <c r="E23" i="7"/>
  <c r="F23" i="7" s="1"/>
  <c r="F22" i="7"/>
  <c r="E22" i="7"/>
  <c r="E21" i="7"/>
  <c r="F21" i="7" s="1"/>
  <c r="D18" i="7"/>
  <c r="F18" i="7"/>
  <c r="C18" i="7"/>
  <c r="E18" i="7" s="1"/>
  <c r="E17" i="7"/>
  <c r="F17" i="7" s="1"/>
  <c r="F16" i="7"/>
  <c r="E16" i="7"/>
  <c r="E15" i="7"/>
  <c r="F15" i="7" s="1"/>
  <c r="D179" i="6"/>
  <c r="C179" i="6"/>
  <c r="F178" i="6"/>
  <c r="E178" i="6"/>
  <c r="F177" i="6"/>
  <c r="E177" i="6"/>
  <c r="F176" i="6"/>
  <c r="E176" i="6"/>
  <c r="E175" i="6"/>
  <c r="F175" i="6" s="1"/>
  <c r="E174" i="6"/>
  <c r="F174" i="6" s="1"/>
  <c r="E173" i="6"/>
  <c r="F173" i="6" s="1"/>
  <c r="E172" i="6"/>
  <c r="F172" i="6" s="1"/>
  <c r="F171" i="6"/>
  <c r="E171" i="6"/>
  <c r="E170" i="6"/>
  <c r="F170" i="6" s="1"/>
  <c r="E169" i="6"/>
  <c r="F169" i="6" s="1"/>
  <c r="F168" i="6"/>
  <c r="E168" i="6"/>
  <c r="D166" i="6"/>
  <c r="C166" i="6"/>
  <c r="F165" i="6"/>
  <c r="E165" i="6"/>
  <c r="F164" i="6"/>
  <c r="E164" i="6"/>
  <c r="E163" i="6"/>
  <c r="F163" i="6" s="1"/>
  <c r="E162" i="6"/>
  <c r="F162" i="6" s="1"/>
  <c r="E161" i="6"/>
  <c r="F161" i="6" s="1"/>
  <c r="E160" i="6"/>
  <c r="F160" i="6" s="1"/>
  <c r="E159" i="6"/>
  <c r="F159" i="6" s="1"/>
  <c r="F158" i="6"/>
  <c r="E158" i="6"/>
  <c r="E157" i="6"/>
  <c r="F157" i="6" s="1"/>
  <c r="E156" i="6"/>
  <c r="F156" i="6" s="1"/>
  <c r="F155" i="6"/>
  <c r="E155" i="6"/>
  <c r="D153" i="6"/>
  <c r="C153" i="6"/>
  <c r="F152" i="6"/>
  <c r="E152" i="6"/>
  <c r="F151" i="6"/>
  <c r="E151" i="6"/>
  <c r="E150" i="6"/>
  <c r="F150" i="6" s="1"/>
  <c r="E149" i="6"/>
  <c r="F149" i="6" s="1"/>
  <c r="E148" i="6"/>
  <c r="F148" i="6" s="1"/>
  <c r="E147" i="6"/>
  <c r="F147" i="6" s="1"/>
  <c r="E146" i="6"/>
  <c r="F146" i="6" s="1"/>
  <c r="F145" i="6"/>
  <c r="E145" i="6"/>
  <c r="F144" i="6"/>
  <c r="E144" i="6"/>
  <c r="E143" i="6"/>
  <c r="F143" i="6" s="1"/>
  <c r="E142" i="6"/>
  <c r="F142" i="6" s="1"/>
  <c r="D137" i="6"/>
  <c r="C137" i="6"/>
  <c r="F136" i="6"/>
  <c r="E136" i="6"/>
  <c r="F135" i="6"/>
  <c r="E135" i="6"/>
  <c r="E134" i="6"/>
  <c r="F134" i="6" s="1"/>
  <c r="F133" i="6"/>
  <c r="E133" i="6"/>
  <c r="E132" i="6"/>
  <c r="F132" i="6" s="1"/>
  <c r="E131" i="6"/>
  <c r="F131" i="6" s="1"/>
  <c r="E130" i="6"/>
  <c r="F130" i="6" s="1"/>
  <c r="F129" i="6"/>
  <c r="E129" i="6"/>
  <c r="F128" i="6"/>
  <c r="E128" i="6"/>
  <c r="E127" i="6"/>
  <c r="F127" i="6" s="1"/>
  <c r="E126" i="6"/>
  <c r="F126" i="6" s="1"/>
  <c r="D124" i="6"/>
  <c r="E124" i="6" s="1"/>
  <c r="F124" i="6"/>
  <c r="C124" i="6"/>
  <c r="F123" i="6"/>
  <c r="E123" i="6"/>
  <c r="F122" i="6"/>
  <c r="E122" i="6"/>
  <c r="E121" i="6"/>
  <c r="F121" i="6" s="1"/>
  <c r="E120" i="6"/>
  <c r="F120" i="6" s="1"/>
  <c r="E119" i="6"/>
  <c r="F119" i="6" s="1"/>
  <c r="E118" i="6"/>
  <c r="F118" i="6" s="1"/>
  <c r="E117" i="6"/>
  <c r="F117" i="6" s="1"/>
  <c r="F116" i="6"/>
  <c r="E116" i="6"/>
  <c r="E115" i="6"/>
  <c r="F115" i="6" s="1"/>
  <c r="E114" i="6"/>
  <c r="F114" i="6" s="1"/>
  <c r="E113" i="6"/>
  <c r="F113" i="6" s="1"/>
  <c r="D111" i="6"/>
  <c r="C111" i="6"/>
  <c r="F110" i="6"/>
  <c r="E110" i="6"/>
  <c r="F109" i="6"/>
  <c r="E109" i="6"/>
  <c r="E108" i="6"/>
  <c r="F108" i="6" s="1"/>
  <c r="E107" i="6"/>
  <c r="F107" i="6" s="1"/>
  <c r="E106" i="6"/>
  <c r="F106" i="6" s="1"/>
  <c r="E105" i="6"/>
  <c r="F105" i="6" s="1"/>
  <c r="E104" i="6"/>
  <c r="F104" i="6" s="1"/>
  <c r="F103" i="6"/>
  <c r="E103" i="6"/>
  <c r="E102" i="6"/>
  <c r="F102" i="6" s="1"/>
  <c r="E101" i="6"/>
  <c r="F101" i="6" s="1"/>
  <c r="E100" i="6"/>
  <c r="F100" i="6" s="1"/>
  <c r="D94" i="6"/>
  <c r="C94" i="6"/>
  <c r="F94" i="6" s="1"/>
  <c r="D93" i="6"/>
  <c r="C93" i="6"/>
  <c r="F93" i="6" s="1"/>
  <c r="D92" i="6"/>
  <c r="C92" i="6"/>
  <c r="D91" i="6"/>
  <c r="C91" i="6"/>
  <c r="D90" i="6"/>
  <c r="C90" i="6"/>
  <c r="D89" i="6"/>
  <c r="C89" i="6"/>
  <c r="D88" i="6"/>
  <c r="E88" i="6"/>
  <c r="C88" i="6"/>
  <c r="D87" i="6"/>
  <c r="C87" i="6"/>
  <c r="F87" i="6" s="1"/>
  <c r="D86" i="6"/>
  <c r="E86" i="6"/>
  <c r="C86" i="6"/>
  <c r="D85" i="6"/>
  <c r="C85" i="6"/>
  <c r="D84" i="6"/>
  <c r="C84" i="6"/>
  <c r="D81" i="6"/>
  <c r="C81" i="6"/>
  <c r="F80" i="6"/>
  <c r="E80" i="6"/>
  <c r="F79" i="6"/>
  <c r="E79" i="6"/>
  <c r="E78" i="6"/>
  <c r="F78" i="6" s="1"/>
  <c r="E77" i="6"/>
  <c r="F77" i="6" s="1"/>
  <c r="E76" i="6"/>
  <c r="F76" i="6" s="1"/>
  <c r="E75" i="6"/>
  <c r="F75" i="6" s="1"/>
  <c r="E74" i="6"/>
  <c r="F74" i="6" s="1"/>
  <c r="F73" i="6"/>
  <c r="E73" i="6"/>
  <c r="E72" i="6"/>
  <c r="F72" i="6" s="1"/>
  <c r="E71" i="6"/>
  <c r="F71" i="6" s="1"/>
  <c r="E70" i="6"/>
  <c r="F70" i="6" s="1"/>
  <c r="D68" i="6"/>
  <c r="C68" i="6"/>
  <c r="F67" i="6"/>
  <c r="E67" i="6"/>
  <c r="F66" i="6"/>
  <c r="E66" i="6"/>
  <c r="E65" i="6"/>
  <c r="F65" i="6" s="1"/>
  <c r="E64" i="6"/>
  <c r="F64" i="6" s="1"/>
  <c r="E63" i="6"/>
  <c r="F63" i="6" s="1"/>
  <c r="E62" i="6"/>
  <c r="F62" i="6" s="1"/>
  <c r="E61" i="6"/>
  <c r="F61" i="6" s="1"/>
  <c r="F60" i="6"/>
  <c r="E60" i="6"/>
  <c r="E59" i="6"/>
  <c r="F59" i="6" s="1"/>
  <c r="E58" i="6"/>
  <c r="F58" i="6" s="1"/>
  <c r="E57" i="6"/>
  <c r="F57" i="6" s="1"/>
  <c r="D51" i="6"/>
  <c r="C51" i="6"/>
  <c r="F51" i="6" s="1"/>
  <c r="D50" i="6"/>
  <c r="E50" i="6"/>
  <c r="C50" i="6"/>
  <c r="F50" i="6" s="1"/>
  <c r="D49" i="6"/>
  <c r="E49" i="6" s="1"/>
  <c r="C49" i="6"/>
  <c r="D48" i="6"/>
  <c r="C48" i="6"/>
  <c r="E48" i="6" s="1"/>
  <c r="D47" i="6"/>
  <c r="C47" i="6"/>
  <c r="D46" i="6"/>
  <c r="C46" i="6"/>
  <c r="E46" i="6" s="1"/>
  <c r="D45" i="6"/>
  <c r="C45" i="6"/>
  <c r="E45" i="6" s="1"/>
  <c r="D44" i="6"/>
  <c r="E44" i="6" s="1"/>
  <c r="C44" i="6"/>
  <c r="F44" i="6" s="1"/>
  <c r="D43" i="6"/>
  <c r="C43" i="6"/>
  <c r="D42" i="6"/>
  <c r="E42" i="6" s="1"/>
  <c r="F42" i="6"/>
  <c r="C42" i="6"/>
  <c r="D41" i="6"/>
  <c r="C41" i="6"/>
  <c r="D38" i="6"/>
  <c r="C38" i="6"/>
  <c r="F37" i="6"/>
  <c r="E37" i="6"/>
  <c r="F36" i="6"/>
  <c r="E36" i="6"/>
  <c r="E35" i="6"/>
  <c r="F35" i="6" s="1"/>
  <c r="E34" i="6"/>
  <c r="F34" i="6" s="1"/>
  <c r="E33" i="6"/>
  <c r="F33" i="6" s="1"/>
  <c r="E32" i="6"/>
  <c r="F32" i="6" s="1"/>
  <c r="F31" i="6"/>
  <c r="E31" i="6"/>
  <c r="F30" i="6"/>
  <c r="E30" i="6"/>
  <c r="E29" i="6"/>
  <c r="F29" i="6" s="1"/>
  <c r="E28" i="6"/>
  <c r="F28" i="6" s="1"/>
  <c r="F27" i="6"/>
  <c r="E27" i="6"/>
  <c r="D25" i="6"/>
  <c r="E25" i="6"/>
  <c r="F25" i="6" s="1"/>
  <c r="C25" i="6"/>
  <c r="F24" i="6"/>
  <c r="E24" i="6"/>
  <c r="F23" i="6"/>
  <c r="E23" i="6"/>
  <c r="E22" i="6"/>
  <c r="F22" i="6" s="1"/>
  <c r="E21" i="6"/>
  <c r="F21" i="6" s="1"/>
  <c r="E20" i="6"/>
  <c r="F20" i="6" s="1"/>
  <c r="E19" i="6"/>
  <c r="F19" i="6" s="1"/>
  <c r="E18" i="6"/>
  <c r="F18" i="6" s="1"/>
  <c r="F17" i="6"/>
  <c r="E17" i="6"/>
  <c r="E16" i="6"/>
  <c r="F16" i="6" s="1"/>
  <c r="E15" i="6"/>
  <c r="F15" i="6" s="1"/>
  <c r="E14" i="6"/>
  <c r="F14" i="6" s="1"/>
  <c r="E51" i="5"/>
  <c r="F51" i="5" s="1"/>
  <c r="D48" i="5"/>
  <c r="E48" i="5" s="1"/>
  <c r="C48" i="5"/>
  <c r="F48" i="5" s="1"/>
  <c r="F47" i="5"/>
  <c r="E47" i="5"/>
  <c r="F46" i="5"/>
  <c r="E46" i="5"/>
  <c r="D41" i="5"/>
  <c r="C41" i="5"/>
  <c r="F40" i="5"/>
  <c r="E40" i="5"/>
  <c r="F39" i="5"/>
  <c r="E39" i="5"/>
  <c r="E38" i="5"/>
  <c r="F38" i="5" s="1"/>
  <c r="D33" i="5"/>
  <c r="C33" i="5"/>
  <c r="E32" i="5"/>
  <c r="F32" i="5" s="1"/>
  <c r="E31" i="5"/>
  <c r="F31" i="5" s="1"/>
  <c r="E30" i="5"/>
  <c r="F30" i="5" s="1"/>
  <c r="F29" i="5"/>
  <c r="E29" i="5"/>
  <c r="E28" i="5"/>
  <c r="F28" i="5" s="1"/>
  <c r="E27" i="5"/>
  <c r="F27" i="5" s="1"/>
  <c r="E26" i="5"/>
  <c r="F26" i="5" s="1"/>
  <c r="E25" i="5"/>
  <c r="F25" i="5"/>
  <c r="E24" i="5"/>
  <c r="F24" i="5" s="1"/>
  <c r="E20" i="5"/>
  <c r="F20" i="5" s="1"/>
  <c r="E19" i="5"/>
  <c r="F19" i="5" s="1"/>
  <c r="E17" i="5"/>
  <c r="F17" i="5" s="1"/>
  <c r="D16" i="5"/>
  <c r="D18" i="5" s="1"/>
  <c r="E18" i="5" s="1"/>
  <c r="C16" i="5"/>
  <c r="F15" i="5"/>
  <c r="E15" i="5"/>
  <c r="E14" i="5"/>
  <c r="F14" i="5" s="1"/>
  <c r="E13" i="5"/>
  <c r="F13" i="5" s="1"/>
  <c r="E12" i="5"/>
  <c r="F12" i="5" s="1"/>
  <c r="D73" i="4"/>
  <c r="C73" i="4"/>
  <c r="E72" i="4"/>
  <c r="F72" i="4" s="1"/>
  <c r="E71" i="4"/>
  <c r="F71" i="4" s="1"/>
  <c r="F70" i="4"/>
  <c r="E70" i="4"/>
  <c r="F67" i="4"/>
  <c r="E67" i="4"/>
  <c r="F64" i="4"/>
  <c r="E64" i="4"/>
  <c r="F63" i="4"/>
  <c r="E63" i="4"/>
  <c r="D61" i="4"/>
  <c r="D65" i="4" s="1"/>
  <c r="E65" i="4" s="1"/>
  <c r="C61" i="4"/>
  <c r="C65" i="4"/>
  <c r="E60" i="4"/>
  <c r="F60" i="4" s="1"/>
  <c r="F59" i="4"/>
  <c r="E59" i="4"/>
  <c r="D56" i="4"/>
  <c r="C56" i="4"/>
  <c r="C75" i="4" s="1"/>
  <c r="E55" i="4"/>
  <c r="F55" i="4" s="1"/>
  <c r="E54" i="4"/>
  <c r="F54" i="4"/>
  <c r="E53" i="4"/>
  <c r="F53" i="4" s="1"/>
  <c r="F52" i="4"/>
  <c r="E52" i="4"/>
  <c r="E51" i="4"/>
  <c r="F51" i="4" s="1"/>
  <c r="E50" i="4"/>
  <c r="F50" i="4" s="1"/>
  <c r="A50" i="4"/>
  <c r="A51" i="4" s="1"/>
  <c r="A52" i="4" s="1"/>
  <c r="A53" i="4" s="1"/>
  <c r="A54" i="4" s="1"/>
  <c r="A55" i="4" s="1"/>
  <c r="E49" i="4"/>
  <c r="F49" i="4" s="1"/>
  <c r="F40" i="4"/>
  <c r="E40" i="4"/>
  <c r="D38" i="4"/>
  <c r="D41" i="4" s="1"/>
  <c r="C38" i="4"/>
  <c r="E38" i="4" s="1"/>
  <c r="E37" i="4"/>
  <c r="F37" i="4" s="1"/>
  <c r="E36" i="4"/>
  <c r="F36" i="4" s="1"/>
  <c r="E33" i="4"/>
  <c r="F33" i="4" s="1"/>
  <c r="E32" i="4"/>
  <c r="F32" i="4" s="1"/>
  <c r="F31" i="4"/>
  <c r="E31" i="4"/>
  <c r="D29" i="4"/>
  <c r="C29" i="4"/>
  <c r="E28" i="4"/>
  <c r="F28" i="4" s="1"/>
  <c r="F27" i="4"/>
  <c r="E27" i="4"/>
  <c r="F26" i="4"/>
  <c r="E26" i="4"/>
  <c r="E25" i="4"/>
  <c r="F25" i="4" s="1"/>
  <c r="D22" i="4"/>
  <c r="C22" i="4"/>
  <c r="E21" i="4"/>
  <c r="F21" i="4" s="1"/>
  <c r="E20" i="4"/>
  <c r="F20" i="4" s="1"/>
  <c r="E19" i="4"/>
  <c r="F19" i="4" s="1"/>
  <c r="F18" i="4"/>
  <c r="E18" i="4"/>
  <c r="F17" i="4"/>
  <c r="E17" i="4"/>
  <c r="F16" i="4"/>
  <c r="E16" i="4"/>
  <c r="E15" i="4"/>
  <c r="F15" i="4" s="1"/>
  <c r="F14" i="4"/>
  <c r="E14" i="4"/>
  <c r="E13" i="4"/>
  <c r="F13" i="4" s="1"/>
  <c r="D22" i="22"/>
  <c r="E23" i="22"/>
  <c r="E40" i="22" s="1"/>
  <c r="D33" i="22"/>
  <c r="E34" i="22"/>
  <c r="E22" i="22"/>
  <c r="E45" i="22" s="1"/>
  <c r="D41" i="20"/>
  <c r="E130" i="17"/>
  <c r="F130" i="17" s="1"/>
  <c r="E165" i="17"/>
  <c r="E170" i="17"/>
  <c r="C254" i="18"/>
  <c r="D22" i="18"/>
  <c r="E22" i="18" s="1"/>
  <c r="E21" i="18"/>
  <c r="C33" i="18"/>
  <c r="C289" i="18"/>
  <c r="C71" i="18"/>
  <c r="C65" i="18"/>
  <c r="C66" i="18" s="1"/>
  <c r="C175" i="18"/>
  <c r="E175" i="18" s="1"/>
  <c r="C144" i="18"/>
  <c r="E139" i="18"/>
  <c r="C163" i="18"/>
  <c r="C189" i="18"/>
  <c r="C211" i="18"/>
  <c r="C241" i="18"/>
  <c r="D145" i="18"/>
  <c r="D156" i="18"/>
  <c r="E156" i="18" s="1"/>
  <c r="E302" i="18"/>
  <c r="E265" i="18"/>
  <c r="C303" i="18"/>
  <c r="D261" i="18"/>
  <c r="E261" i="18" s="1"/>
  <c r="D189" i="18"/>
  <c r="E195" i="18"/>
  <c r="D210" i="18"/>
  <c r="E205" i="18"/>
  <c r="E218" i="18"/>
  <c r="E221" i="18"/>
  <c r="E231" i="18"/>
  <c r="C222" i="18"/>
  <c r="C246" i="18" s="1"/>
  <c r="D32" i="17"/>
  <c r="D160" i="17"/>
  <c r="D61" i="17"/>
  <c r="C21" i="17"/>
  <c r="C37" i="17"/>
  <c r="E68" i="17"/>
  <c r="E110" i="17"/>
  <c r="F110" i="17" s="1"/>
  <c r="C192" i="17"/>
  <c r="F123" i="17"/>
  <c r="E137" i="17"/>
  <c r="F137" i="17" s="1"/>
  <c r="D138" i="17"/>
  <c r="D77" i="17"/>
  <c r="E100" i="17"/>
  <c r="F100" i="17" s="1"/>
  <c r="C111" i="17"/>
  <c r="C138" i="17"/>
  <c r="C173" i="17"/>
  <c r="D124" i="17"/>
  <c r="F155" i="17"/>
  <c r="F158" i="17"/>
  <c r="F171" i="17"/>
  <c r="F179" i="17"/>
  <c r="D277" i="17"/>
  <c r="D287" i="17" s="1"/>
  <c r="D261" i="17"/>
  <c r="D278" i="17"/>
  <c r="D262" i="17"/>
  <c r="D190" i="17"/>
  <c r="D280" i="17"/>
  <c r="D264" i="17"/>
  <c r="D274" i="17"/>
  <c r="D283" i="17"/>
  <c r="D267" i="17"/>
  <c r="D285" i="17"/>
  <c r="D269" i="17"/>
  <c r="D205" i="17"/>
  <c r="D206" i="17"/>
  <c r="D214" i="17"/>
  <c r="D215" i="17"/>
  <c r="D216" i="17" s="1"/>
  <c r="E136" i="17"/>
  <c r="F136" i="17"/>
  <c r="E144" i="17"/>
  <c r="E158" i="17"/>
  <c r="E171" i="17"/>
  <c r="E179" i="17"/>
  <c r="C262" i="17"/>
  <c r="C255" i="17"/>
  <c r="E189" i="17"/>
  <c r="F189" i="17" s="1"/>
  <c r="C264" i="17"/>
  <c r="E203" i="17"/>
  <c r="C269" i="17"/>
  <c r="C206" i="17"/>
  <c r="E206" i="17" s="1"/>
  <c r="C215" i="17"/>
  <c r="F227" i="17"/>
  <c r="E238" i="17"/>
  <c r="F238" i="17" s="1"/>
  <c r="C239" i="17"/>
  <c r="E250" i="17"/>
  <c r="F250" i="17" s="1"/>
  <c r="E296" i="17"/>
  <c r="F296" i="17" s="1"/>
  <c r="E298" i="17"/>
  <c r="C306" i="17"/>
  <c r="E306" i="17"/>
  <c r="E299" i="17"/>
  <c r="I31" i="14"/>
  <c r="I17" i="14"/>
  <c r="D31" i="14"/>
  <c r="F31" i="14"/>
  <c r="H31" i="14"/>
  <c r="C33" i="14"/>
  <c r="C36" i="14"/>
  <c r="C38" i="14" s="1"/>
  <c r="C40" i="14" s="1"/>
  <c r="G33" i="14"/>
  <c r="H17" i="14"/>
  <c r="E21" i="13"/>
  <c r="E15" i="13"/>
  <c r="E24" i="13" s="1"/>
  <c r="E20" i="13" s="1"/>
  <c r="C48" i="13"/>
  <c r="C42" i="13" s="1"/>
  <c r="E48" i="13"/>
  <c r="E42" i="13" s="1"/>
  <c r="E29" i="11"/>
  <c r="F29" i="11" s="1"/>
  <c r="F38" i="11"/>
  <c r="C41" i="11"/>
  <c r="E73" i="11"/>
  <c r="F73" i="11" s="1"/>
  <c r="E113" i="10"/>
  <c r="E199" i="9"/>
  <c r="F199" i="9" s="1"/>
  <c r="E139" i="8"/>
  <c r="C43" i="8"/>
  <c r="E43" i="8"/>
  <c r="D49" i="8"/>
  <c r="C53" i="8"/>
  <c r="D77" i="8"/>
  <c r="D71" i="8" s="1"/>
  <c r="C49" i="8"/>
  <c r="E90" i="7"/>
  <c r="E183" i="7"/>
  <c r="F183" i="7" s="1"/>
  <c r="E84" i="6"/>
  <c r="F84" i="6" s="1"/>
  <c r="D21" i="5"/>
  <c r="D35" i="5" s="1"/>
  <c r="D43" i="5" s="1"/>
  <c r="D50" i="5" s="1"/>
  <c r="C18" i="5"/>
  <c r="E33" i="5"/>
  <c r="E41" i="5"/>
  <c r="F41" i="5" s="1"/>
  <c r="F65" i="4"/>
  <c r="F38" i="4"/>
  <c r="E61" i="4"/>
  <c r="F61" i="4" s="1"/>
  <c r="E54" i="22"/>
  <c r="E30" i="22"/>
  <c r="E48" i="22" s="1"/>
  <c r="D53" i="22"/>
  <c r="D45" i="22"/>
  <c r="D39" i="22"/>
  <c r="D35" i="22"/>
  <c r="D29" i="22"/>
  <c r="D234" i="18"/>
  <c r="E210" i="18"/>
  <c r="D211" i="18"/>
  <c r="E211" i="18" s="1"/>
  <c r="D180" i="18"/>
  <c r="C168" i="18"/>
  <c r="C180" i="18"/>
  <c r="C145" i="18"/>
  <c r="C169" i="18" s="1"/>
  <c r="D255" i="17"/>
  <c r="D270" i="17"/>
  <c r="E267" i="17"/>
  <c r="E280" i="17"/>
  <c r="D272" i="17"/>
  <c r="D271" i="17"/>
  <c r="D304" i="17" s="1"/>
  <c r="C91" i="17"/>
  <c r="C92" i="17" s="1"/>
  <c r="D125" i="17"/>
  <c r="D254" i="17"/>
  <c r="D286" i="17"/>
  <c r="D288" i="17"/>
  <c r="D284" i="17"/>
  <c r="D140" i="17"/>
  <c r="D141" i="17" s="1"/>
  <c r="D322" i="17" s="1"/>
  <c r="H33" i="14"/>
  <c r="H36" i="14" s="1"/>
  <c r="H38" i="14" s="1"/>
  <c r="H40" i="14" s="1"/>
  <c r="E17" i="13"/>
  <c r="E28" i="13"/>
  <c r="C21" i="5"/>
  <c r="C35" i="5" s="1"/>
  <c r="D37" i="22"/>
  <c r="D181" i="18"/>
  <c r="D291" i="17"/>
  <c r="D305" i="17" s="1"/>
  <c r="C270" i="17" l="1"/>
  <c r="F267" i="17"/>
  <c r="D102" i="17"/>
  <c r="E101" i="17"/>
  <c r="F101" i="17" s="1"/>
  <c r="E181" i="18"/>
  <c r="E38" i="22"/>
  <c r="C200" i="17"/>
  <c r="F71" i="10"/>
  <c r="E71" i="10"/>
  <c r="C288" i="17"/>
  <c r="E285" i="17"/>
  <c r="F285" i="17" s="1"/>
  <c r="D283" i="18"/>
  <c r="E283" i="18" s="1"/>
  <c r="D55" i="18"/>
  <c r="C181" i="18"/>
  <c r="C199" i="17"/>
  <c r="E54" i="18"/>
  <c r="C77" i="17"/>
  <c r="E77" i="17" s="1"/>
  <c r="E76" i="17"/>
  <c r="F76" i="17" s="1"/>
  <c r="F299" i="17"/>
  <c r="E140" i="8"/>
  <c r="E136" i="8"/>
  <c r="E137" i="8"/>
  <c r="F208" i="9"/>
  <c r="C103" i="17"/>
  <c r="G36" i="14"/>
  <c r="G38" i="14" s="1"/>
  <c r="G40" i="14" s="1"/>
  <c r="I33" i="14"/>
  <c r="I36" i="14" s="1"/>
  <c r="I38" i="14" s="1"/>
  <c r="I40" i="14" s="1"/>
  <c r="C272" i="17"/>
  <c r="C283" i="18"/>
  <c r="C55" i="18"/>
  <c r="C284" i="18" s="1"/>
  <c r="E288" i="17"/>
  <c r="F288" i="17" s="1"/>
  <c r="E255" i="17"/>
  <c r="F255" i="17" s="1"/>
  <c r="C274" i="17"/>
  <c r="E274" i="17" s="1"/>
  <c r="C95" i="6"/>
  <c r="F48" i="10"/>
  <c r="E48" i="10"/>
  <c r="C90" i="17"/>
  <c r="C49" i="17"/>
  <c r="C50" i="17" s="1"/>
  <c r="F280" i="17"/>
  <c r="E272" i="17"/>
  <c r="F272" i="17" s="1"/>
  <c r="D15" i="8"/>
  <c r="E269" i="17"/>
  <c r="F269" i="17" s="1"/>
  <c r="F33" i="5"/>
  <c r="F90" i="7"/>
  <c r="C17" i="12"/>
  <c r="C20" i="12" s="1"/>
  <c r="C34" i="12" s="1"/>
  <c r="C42" i="12" s="1"/>
  <c r="C49" i="12" s="1"/>
  <c r="E15" i="12"/>
  <c r="F15" i="12" s="1"/>
  <c r="E23" i="17"/>
  <c r="F23" i="17"/>
  <c r="E270" i="17"/>
  <c r="F270" i="17" s="1"/>
  <c r="E138" i="8"/>
  <c r="E62" i="9"/>
  <c r="F62" i="9"/>
  <c r="F112" i="10"/>
  <c r="E112" i="10"/>
  <c r="F164" i="17"/>
  <c r="E164" i="17"/>
  <c r="E135" i="8"/>
  <c r="E51" i="6"/>
  <c r="E167" i="9"/>
  <c r="F167" i="9"/>
  <c r="E107" i="10"/>
  <c r="E41" i="6"/>
  <c r="E137" i="6"/>
  <c r="F137" i="6" s="1"/>
  <c r="E86" i="8"/>
  <c r="E49" i="9"/>
  <c r="F49" i="9" s="1"/>
  <c r="E205" i="9"/>
  <c r="F205" i="9" s="1"/>
  <c r="E116" i="10"/>
  <c r="C61" i="13"/>
  <c r="C57" i="13" s="1"/>
  <c r="D44" i="18"/>
  <c r="D85" i="18" s="1"/>
  <c r="E108" i="22"/>
  <c r="E109" i="22"/>
  <c r="C294" i="18"/>
  <c r="D157" i="18"/>
  <c r="E53" i="8"/>
  <c r="E204" i="17"/>
  <c r="F204" i="17" s="1"/>
  <c r="E262" i="17"/>
  <c r="F262" i="17" s="1"/>
  <c r="E192" i="17"/>
  <c r="F192" i="17" s="1"/>
  <c r="E47" i="17"/>
  <c r="F47" i="17" s="1"/>
  <c r="D217" i="18"/>
  <c r="C41" i="4"/>
  <c r="C43" i="4" s="1"/>
  <c r="E56" i="4"/>
  <c r="F56" i="4" s="1"/>
  <c r="F167" i="7"/>
  <c r="C188" i="7"/>
  <c r="E166" i="8"/>
  <c r="F76" i="9"/>
  <c r="E101" i="9"/>
  <c r="F101" i="9" s="1"/>
  <c r="E208" i="9"/>
  <c r="E17" i="17"/>
  <c r="F17" i="17" s="1"/>
  <c r="E162" i="18"/>
  <c r="E276" i="18"/>
  <c r="F73" i="4"/>
  <c r="F89" i="9"/>
  <c r="E75" i="15"/>
  <c r="F73" i="15"/>
  <c r="F44" i="17"/>
  <c r="E146" i="17"/>
  <c r="F146" i="17"/>
  <c r="E307" i="17"/>
  <c r="F307" i="17" s="1"/>
  <c r="D243" i="18"/>
  <c r="E219" i="18"/>
  <c r="C22" i="19"/>
  <c r="C37" i="19"/>
  <c r="C38" i="19" s="1"/>
  <c r="C127" i="19" s="1"/>
  <c r="C129" i="19" s="1"/>
  <c r="C133" i="19" s="1"/>
  <c r="E215" i="17"/>
  <c r="F215" i="17" s="1"/>
  <c r="D168" i="18"/>
  <c r="E168" i="18" s="1"/>
  <c r="E191" i="17"/>
  <c r="F191" i="17" s="1"/>
  <c r="E226" i="17"/>
  <c r="F226" i="17" s="1"/>
  <c r="D173" i="17"/>
  <c r="E173" i="17" s="1"/>
  <c r="E73" i="4"/>
  <c r="E16" i="5"/>
  <c r="F16" i="5" s="1"/>
  <c r="E87" i="6"/>
  <c r="E94" i="6"/>
  <c r="E59" i="7"/>
  <c r="F59" i="7" s="1"/>
  <c r="E200" i="9"/>
  <c r="F200" i="9" s="1"/>
  <c r="E32" i="12"/>
  <c r="C194" i="17"/>
  <c r="E155" i="17"/>
  <c r="D192" i="17"/>
  <c r="D193" i="17" s="1"/>
  <c r="E41" i="18"/>
  <c r="D71" i="18"/>
  <c r="E71" i="18" s="1"/>
  <c r="D289" i="18"/>
  <c r="E289" i="18" s="1"/>
  <c r="D65" i="18"/>
  <c r="E60" i="18"/>
  <c r="D20" i="20"/>
  <c r="E20" i="20" s="1"/>
  <c r="F20" i="20" s="1"/>
  <c r="D300" i="17"/>
  <c r="E138" i="17"/>
  <c r="F138" i="17" s="1"/>
  <c r="C223" i="18"/>
  <c r="C247" i="18" s="1"/>
  <c r="D90" i="8"/>
  <c r="D86" i="8" s="1"/>
  <c r="F75" i="15"/>
  <c r="C60" i="17"/>
  <c r="E59" i="17"/>
  <c r="F59" i="17" s="1"/>
  <c r="C181" i="17"/>
  <c r="F181" i="17" s="1"/>
  <c r="D279" i="17"/>
  <c r="E49" i="8"/>
  <c r="F144" i="17"/>
  <c r="E145" i="18"/>
  <c r="C235" i="18"/>
  <c r="F47" i="6"/>
  <c r="E71" i="8"/>
  <c r="C109" i="8"/>
  <c r="C106" i="8" s="1"/>
  <c r="F153" i="9"/>
  <c r="D43" i="11"/>
  <c r="E61" i="11"/>
  <c r="F61" i="11" s="1"/>
  <c r="D65" i="11"/>
  <c r="D25" i="13"/>
  <c r="D27" i="13" s="1"/>
  <c r="D21" i="13" s="1"/>
  <c r="E65" i="15"/>
  <c r="F65" i="15" s="1"/>
  <c r="E20" i="17"/>
  <c r="D21" i="17"/>
  <c r="D126" i="17" s="1"/>
  <c r="F36" i="17"/>
  <c r="C124" i="17"/>
  <c r="C126" i="17" s="1"/>
  <c r="E144" i="18"/>
  <c r="D244" i="18"/>
  <c r="E244" i="18" s="1"/>
  <c r="E220" i="18"/>
  <c r="E179" i="6"/>
  <c r="F179" i="6" s="1"/>
  <c r="E121" i="7"/>
  <c r="F121" i="7" s="1"/>
  <c r="C166" i="8"/>
  <c r="C155" i="8" s="1"/>
  <c r="E50" i="9"/>
  <c r="F50" i="9" s="1"/>
  <c r="E154" i="9"/>
  <c r="F154" i="9" s="1"/>
  <c r="E36" i="10"/>
  <c r="E83" i="10"/>
  <c r="E119" i="10"/>
  <c r="E80" i="13"/>
  <c r="E77" i="13" s="1"/>
  <c r="E58" i="17"/>
  <c r="E67" i="17"/>
  <c r="E294" i="17"/>
  <c r="F294" i="17" s="1"/>
  <c r="E16" i="20"/>
  <c r="F16" i="20" s="1"/>
  <c r="E45" i="20"/>
  <c r="F45" i="20" s="1"/>
  <c r="E189" i="18"/>
  <c r="C76" i="18"/>
  <c r="C77" i="18" s="1"/>
  <c r="C124" i="18" s="1"/>
  <c r="E38" i="6"/>
  <c r="E198" i="9"/>
  <c r="E72" i="10"/>
  <c r="D122" i="10"/>
  <c r="E30" i="15"/>
  <c r="E70" i="15"/>
  <c r="D37" i="17"/>
  <c r="E37" i="17" s="1"/>
  <c r="F37" i="17" s="1"/>
  <c r="E111" i="17"/>
  <c r="F111" i="17" s="1"/>
  <c r="E180" i="17"/>
  <c r="D239" i="17"/>
  <c r="E239" i="17" s="1"/>
  <c r="F239" i="17" s="1"/>
  <c r="E73" i="18"/>
  <c r="C229" i="18"/>
  <c r="E229" i="18" s="1"/>
  <c r="C234" i="18"/>
  <c r="E234" i="18" s="1"/>
  <c r="C46" i="20"/>
  <c r="D174" i="17"/>
  <c r="E47" i="6"/>
  <c r="E81" i="6"/>
  <c r="F81" i="6" s="1"/>
  <c r="E89" i="6"/>
  <c r="F89" i="6" s="1"/>
  <c r="F41" i="7"/>
  <c r="D27" i="8"/>
  <c r="D21" i="8" s="1"/>
  <c r="E201" i="9"/>
  <c r="F201" i="9" s="1"/>
  <c r="F72" i="10"/>
  <c r="E47" i="12"/>
  <c r="E32" i="18"/>
  <c r="E74" i="18"/>
  <c r="E161" i="18"/>
  <c r="E279" i="18"/>
  <c r="D303" i="18"/>
  <c r="D306" i="18" s="1"/>
  <c r="D310" i="18" s="1"/>
  <c r="C101" i="22"/>
  <c r="C103" i="22" s="1"/>
  <c r="C196" i="17"/>
  <c r="C195" i="17"/>
  <c r="D309" i="17"/>
  <c r="D310" i="17" s="1"/>
  <c r="C43" i="11"/>
  <c r="E22" i="11"/>
  <c r="F22" i="11" s="1"/>
  <c r="D209" i="17"/>
  <c r="E113" i="22"/>
  <c r="E56" i="22"/>
  <c r="E70" i="13"/>
  <c r="E72" i="13" s="1"/>
  <c r="E69" i="13" s="1"/>
  <c r="E22" i="13"/>
  <c r="E180" i="18"/>
  <c r="E68" i="6"/>
  <c r="F68" i="6" s="1"/>
  <c r="C25" i="8"/>
  <c r="C27" i="8" s="1"/>
  <c r="C15" i="8"/>
  <c r="E29" i="4"/>
  <c r="F29" i="4" s="1"/>
  <c r="E43" i="6"/>
  <c r="D52" i="6"/>
  <c r="D55" i="22"/>
  <c r="D47" i="22"/>
  <c r="F18" i="5"/>
  <c r="E141" i="8"/>
  <c r="D289" i="17"/>
  <c r="C112" i="18"/>
  <c r="C121" i="18"/>
  <c r="D43" i="4"/>
  <c r="E22" i="4"/>
  <c r="F22" i="4" s="1"/>
  <c r="D316" i="18"/>
  <c r="E314" i="18"/>
  <c r="C33" i="22"/>
  <c r="C34" i="22"/>
  <c r="C22" i="22"/>
  <c r="D30" i="22"/>
  <c r="D36" i="22"/>
  <c r="D40" i="22"/>
  <c r="D46" i="22"/>
  <c r="D139" i="17"/>
  <c r="D273" i="17"/>
  <c r="C157" i="8"/>
  <c r="C156" i="8"/>
  <c r="F35" i="20"/>
  <c r="E36" i="20"/>
  <c r="F36" i="20" s="1"/>
  <c r="C127" i="17"/>
  <c r="D175" i="17"/>
  <c r="C306" i="18"/>
  <c r="E303" i="18"/>
  <c r="E36" i="22"/>
  <c r="E111" i="22"/>
  <c r="E46" i="22"/>
  <c r="E41" i="4"/>
  <c r="F41" i="4" s="1"/>
  <c r="D89" i="17"/>
  <c r="E88" i="17"/>
  <c r="F88" i="17" s="1"/>
  <c r="D199" i="17"/>
  <c r="E199" i="17" s="1"/>
  <c r="F199" i="17" s="1"/>
  <c r="E198" i="17"/>
  <c r="F198" i="17" s="1"/>
  <c r="D290" i="17"/>
  <c r="E290" i="17" s="1"/>
  <c r="F290" i="17" s="1"/>
  <c r="D200" i="17"/>
  <c r="E200" i="17" s="1"/>
  <c r="E41" i="11"/>
  <c r="F41" i="11" s="1"/>
  <c r="E264" i="17"/>
  <c r="F264" i="17" s="1"/>
  <c r="F206" i="17"/>
  <c r="E124" i="17"/>
  <c r="F124" i="17" s="1"/>
  <c r="C282" i="17"/>
  <c r="C266" i="17"/>
  <c r="E193" i="17"/>
  <c r="F193" i="17" s="1"/>
  <c r="C36" i="22"/>
  <c r="C40" i="22"/>
  <c r="C30" i="22"/>
  <c r="C54" i="22"/>
  <c r="F68" i="17"/>
  <c r="F159" i="17"/>
  <c r="C161" i="17"/>
  <c r="C160" i="17"/>
  <c r="E160" i="17" s="1"/>
  <c r="E159" i="17"/>
  <c r="C207" i="17"/>
  <c r="E172" i="17"/>
  <c r="F172" i="17"/>
  <c r="E188" i="17"/>
  <c r="F188" i="17" s="1"/>
  <c r="C277" i="17"/>
  <c r="C261" i="17"/>
  <c r="C190" i="17"/>
  <c r="C214" i="17"/>
  <c r="C254" i="17"/>
  <c r="E254" i="17" s="1"/>
  <c r="C283" i="17"/>
  <c r="C205" i="17"/>
  <c r="F203" i="17"/>
  <c r="E29" i="22"/>
  <c r="E39" i="22"/>
  <c r="E53" i="22"/>
  <c r="E35" i="22"/>
  <c r="E110" i="22"/>
  <c r="D268" i="17"/>
  <c r="D263" i="17"/>
  <c r="D62" i="17"/>
  <c r="E35" i="5"/>
  <c r="F35" i="5" s="1"/>
  <c r="C43" i="5"/>
  <c r="C300" i="17"/>
  <c r="E300" i="17" s="1"/>
  <c r="D330" i="18"/>
  <c r="E330" i="18" s="1"/>
  <c r="F274" i="17"/>
  <c r="F173" i="17"/>
  <c r="E24" i="7"/>
  <c r="F24" i="7" s="1"/>
  <c r="C75" i="11"/>
  <c r="E56" i="11"/>
  <c r="F56" i="11" s="1"/>
  <c r="E48" i="17"/>
  <c r="F48" i="17" s="1"/>
  <c r="D49" i="17"/>
  <c r="F43" i="6"/>
  <c r="D95" i="6"/>
  <c r="E85" i="6"/>
  <c r="F85" i="6" s="1"/>
  <c r="E166" i="9"/>
  <c r="F166" i="9"/>
  <c r="F96" i="10"/>
  <c r="E96" i="10"/>
  <c r="D20" i="12"/>
  <c r="D181" i="17"/>
  <c r="E228" i="18"/>
  <c r="E101" i="22"/>
  <c r="E102" i="22"/>
  <c r="F198" i="9"/>
  <c r="F41" i="6"/>
  <c r="F46" i="6"/>
  <c r="F86" i="6"/>
  <c r="E92" i="6"/>
  <c r="F92" i="6" s="1"/>
  <c r="D95" i="7"/>
  <c r="C239" i="18"/>
  <c r="E239" i="18" s="1"/>
  <c r="E215" i="18"/>
  <c r="F200" i="17"/>
  <c r="E152" i="8"/>
  <c r="C25" i="13"/>
  <c r="C27" i="13" s="1"/>
  <c r="C15" i="13"/>
  <c r="F16" i="15"/>
  <c r="F23" i="16"/>
  <c r="C31" i="17"/>
  <c r="F66" i="17"/>
  <c r="D102" i="22"/>
  <c r="D103" i="22" s="1"/>
  <c r="D77" i="22"/>
  <c r="E153" i="6"/>
  <c r="F153" i="6" s="1"/>
  <c r="E33" i="18"/>
  <c r="F30" i="17"/>
  <c r="E43" i="20"/>
  <c r="F38" i="6"/>
  <c r="F48" i="6"/>
  <c r="E15" i="8"/>
  <c r="E25" i="8"/>
  <c r="E27" i="8" s="1"/>
  <c r="E95" i="10"/>
  <c r="F95" i="10"/>
  <c r="E121" i="10"/>
  <c r="E23" i="15"/>
  <c r="F23" i="15" s="1"/>
  <c r="E36" i="18"/>
  <c r="E287" i="18"/>
  <c r="F36" i="9"/>
  <c r="E36" i="9"/>
  <c r="E21" i="5"/>
  <c r="F21" i="5" s="1"/>
  <c r="D75" i="4"/>
  <c r="E75" i="4" s="1"/>
  <c r="F75" i="4" s="1"/>
  <c r="F166" i="6"/>
  <c r="E166" i="6"/>
  <c r="C95" i="7"/>
  <c r="D188" i="7"/>
  <c r="F115" i="9"/>
  <c r="C207" i="9"/>
  <c r="E207" i="9" s="1"/>
  <c r="E232" i="18"/>
  <c r="E280" i="18"/>
  <c r="F45" i="6"/>
  <c r="F88" i="6"/>
  <c r="E91" i="6"/>
  <c r="F91" i="6" s="1"/>
  <c r="F30" i="7"/>
  <c r="F88" i="9"/>
  <c r="F114" i="9"/>
  <c r="E47" i="10"/>
  <c r="F47" i="10"/>
  <c r="D24" i="13"/>
  <c r="D17" i="13"/>
  <c r="D28" i="13" s="1"/>
  <c r="E19" i="16"/>
  <c r="F19" i="16" s="1"/>
  <c r="F223" i="17"/>
  <c r="E39" i="18"/>
  <c r="E42" i="18"/>
  <c r="D163" i="18"/>
  <c r="E163" i="18" s="1"/>
  <c r="E151" i="18"/>
  <c r="F90" i="6"/>
  <c r="E111" i="6"/>
  <c r="F111" i="6" s="1"/>
  <c r="E115" i="10"/>
  <c r="C295" i="18"/>
  <c r="F49" i="6"/>
  <c r="E90" i="6"/>
  <c r="E93" i="6"/>
  <c r="E37" i="9"/>
  <c r="F37" i="9"/>
  <c r="E92" i="15"/>
  <c r="F107" i="15"/>
  <c r="E38" i="18"/>
  <c r="E19" i="21"/>
  <c r="F19" i="21" s="1"/>
  <c r="C52" i="6"/>
  <c r="C79" i="8"/>
  <c r="C149" i="8"/>
  <c r="F63" i="9"/>
  <c r="E63" i="9"/>
  <c r="E114" i="9"/>
  <c r="D59" i="13"/>
  <c r="D61" i="13" s="1"/>
  <c r="D57" i="13" s="1"/>
  <c r="D149" i="8"/>
  <c r="E24" i="10"/>
  <c r="F24" i="10"/>
  <c r="D42" i="13"/>
  <c r="F70" i="15"/>
  <c r="E40" i="20"/>
  <c r="F35" i="7"/>
  <c r="E114" i="10"/>
  <c r="C80" i="13"/>
  <c r="C77" i="13" s="1"/>
  <c r="E45" i="15"/>
  <c r="E60" i="15"/>
  <c r="E29" i="17"/>
  <c r="F29" i="17"/>
  <c r="C60" i="19"/>
  <c r="E79" i="8"/>
  <c r="E192" i="9"/>
  <c r="F192" i="9" s="1"/>
  <c r="E120" i="10"/>
  <c r="F58" i="17"/>
  <c r="D240" i="18"/>
  <c r="E240" i="18" s="1"/>
  <c r="E216" i="18"/>
  <c r="D222" i="18"/>
  <c r="C65" i="19"/>
  <c r="C114" i="19" s="1"/>
  <c r="C116" i="19" s="1"/>
  <c r="C119" i="19" s="1"/>
  <c r="C123" i="19" s="1"/>
  <c r="C77" i="22"/>
  <c r="D166" i="8"/>
  <c r="E140" i="9"/>
  <c r="F140" i="9" s="1"/>
  <c r="F193" i="9"/>
  <c r="C122" i="10"/>
  <c r="F113" i="10"/>
  <c r="F20" i="17"/>
  <c r="E52" i="17"/>
  <c r="F52" i="17" s="1"/>
  <c r="F67" i="17"/>
  <c r="C43" i="18"/>
  <c r="C44" i="18" s="1"/>
  <c r="D76" i="18"/>
  <c r="C39" i="20"/>
  <c r="E39" i="20" s="1"/>
  <c r="F25" i="20"/>
  <c r="C40" i="20"/>
  <c r="E21" i="21"/>
  <c r="F21" i="21" s="1"/>
  <c r="F141" i="9"/>
  <c r="E193" i="9"/>
  <c r="F32" i="12"/>
  <c r="F100" i="15"/>
  <c r="F53" i="17"/>
  <c r="E37" i="18"/>
  <c r="E324" i="18"/>
  <c r="E44" i="20"/>
  <c r="F44" i="20" s="1"/>
  <c r="D294" i="18" l="1"/>
  <c r="E294" i="18" s="1"/>
  <c r="D66" i="18"/>
  <c r="E65" i="18"/>
  <c r="E155" i="8"/>
  <c r="E157" i="8"/>
  <c r="E153" i="8"/>
  <c r="E158" i="8" s="1"/>
  <c r="E156" i="8"/>
  <c r="D17" i="8"/>
  <c r="D24" i="8"/>
  <c r="D20" i="8" s="1"/>
  <c r="E154" i="8"/>
  <c r="D84" i="18"/>
  <c r="E282" i="17"/>
  <c r="C115" i="18"/>
  <c r="D75" i="11"/>
  <c r="E75" i="11" s="1"/>
  <c r="F75" i="11" s="1"/>
  <c r="E65" i="11"/>
  <c r="F65" i="11" s="1"/>
  <c r="E181" i="17"/>
  <c r="E95" i="6"/>
  <c r="F95" i="6" s="1"/>
  <c r="C154" i="8"/>
  <c r="D103" i="17"/>
  <c r="E102" i="17"/>
  <c r="F102" i="17" s="1"/>
  <c r="D96" i="18"/>
  <c r="D86" i="18"/>
  <c r="D87" i="18"/>
  <c r="D95" i="18"/>
  <c r="D89" i="18"/>
  <c r="D99" i="18"/>
  <c r="D88" i="18"/>
  <c r="D90" i="18" s="1"/>
  <c r="D101" i="18"/>
  <c r="D97" i="18"/>
  <c r="D258" i="18"/>
  <c r="D100" i="18"/>
  <c r="D98" i="18"/>
  <c r="D253" i="18"/>
  <c r="E266" i="17"/>
  <c r="F266" i="17" s="1"/>
  <c r="D194" i="17"/>
  <c r="D282" i="17"/>
  <c r="D281" i="17" s="1"/>
  <c r="D266" i="17"/>
  <c r="D265" i="17" s="1"/>
  <c r="E157" i="18"/>
  <c r="D169" i="18"/>
  <c r="E169" i="18" s="1"/>
  <c r="E188" i="7"/>
  <c r="F188" i="7" s="1"/>
  <c r="E95" i="7"/>
  <c r="E17" i="12"/>
  <c r="F17" i="12" s="1"/>
  <c r="C125" i="17"/>
  <c r="E125" i="17" s="1"/>
  <c r="F125" i="17" s="1"/>
  <c r="E60" i="17"/>
  <c r="F60" i="17" s="1"/>
  <c r="C61" i="17"/>
  <c r="C110" i="18"/>
  <c r="C126" i="18"/>
  <c r="C128" i="18" s="1"/>
  <c r="C129" i="18" s="1"/>
  <c r="C123" i="18"/>
  <c r="C113" i="18"/>
  <c r="C111" i="18"/>
  <c r="C125" i="18"/>
  <c r="C114" i="18"/>
  <c r="C127" i="18"/>
  <c r="C122" i="18"/>
  <c r="D83" i="18"/>
  <c r="E83" i="18" s="1"/>
  <c r="E43" i="4"/>
  <c r="F43" i="4" s="1"/>
  <c r="C153" i="8"/>
  <c r="C152" i="8"/>
  <c r="D161" i="17"/>
  <c r="D162" i="17" s="1"/>
  <c r="E21" i="17"/>
  <c r="F21" i="17" s="1"/>
  <c r="E217" i="18"/>
  <c r="D241" i="18"/>
  <c r="E241" i="18" s="1"/>
  <c r="D20" i="13"/>
  <c r="C109" i="18"/>
  <c r="E243" i="18"/>
  <c r="D252" i="18"/>
  <c r="E252" i="18" s="1"/>
  <c r="E55" i="18"/>
  <c r="D284" i="18"/>
  <c r="E284" i="18" s="1"/>
  <c r="D235" i="18"/>
  <c r="E235" i="18" s="1"/>
  <c r="C95" i="18"/>
  <c r="C100" i="18"/>
  <c r="C88" i="18"/>
  <c r="C96" i="18"/>
  <c r="C86" i="18"/>
  <c r="E86" i="18" s="1"/>
  <c r="C89" i="18"/>
  <c r="C98" i="18"/>
  <c r="E98" i="18" s="1"/>
  <c r="C97" i="18"/>
  <c r="C99" i="18"/>
  <c r="C84" i="18"/>
  <c r="C83" i="18"/>
  <c r="C258" i="18"/>
  <c r="C101" i="18"/>
  <c r="E101" i="18" s="1"/>
  <c r="C87" i="18"/>
  <c r="C85" i="18"/>
  <c r="E44" i="18"/>
  <c r="C268" i="17"/>
  <c r="C271" i="17"/>
  <c r="C263" i="17"/>
  <c r="E263" i="17" s="1"/>
  <c r="E89" i="17"/>
  <c r="F89" i="17" s="1"/>
  <c r="D91" i="17"/>
  <c r="E52" i="6"/>
  <c r="E222" i="18"/>
  <c r="D246" i="18"/>
  <c r="E246" i="18" s="1"/>
  <c r="D223" i="18"/>
  <c r="E253" i="18"/>
  <c r="E126" i="17"/>
  <c r="F126" i="17" s="1"/>
  <c r="D127" i="17"/>
  <c r="C41" i="20"/>
  <c r="F39" i="20"/>
  <c r="C259" i="18"/>
  <c r="C263" i="18" s="1"/>
  <c r="E43" i="18"/>
  <c r="D155" i="8"/>
  <c r="D154" i="8"/>
  <c r="D152" i="8"/>
  <c r="D156" i="8"/>
  <c r="D153" i="8"/>
  <c r="D157" i="8"/>
  <c r="E24" i="8"/>
  <c r="E17" i="8"/>
  <c r="C17" i="13"/>
  <c r="C28" i="13" s="1"/>
  <c r="C70" i="13" s="1"/>
  <c r="C72" i="13" s="1"/>
  <c r="C69" i="13" s="1"/>
  <c r="C24" i="13"/>
  <c r="C20" i="13" s="1"/>
  <c r="C265" i="17"/>
  <c r="E190" i="17"/>
  <c r="F190" i="17" s="1"/>
  <c r="F160" i="17"/>
  <c r="D176" i="17"/>
  <c r="C197" i="17"/>
  <c r="D320" i="18"/>
  <c r="E320" i="18" s="1"/>
  <c r="E316" i="18"/>
  <c r="C21" i="13"/>
  <c r="C22" i="13"/>
  <c r="C162" i="17"/>
  <c r="D110" i="22"/>
  <c r="D109" i="22"/>
  <c r="D108" i="22"/>
  <c r="D112" i="22"/>
  <c r="D111" i="22"/>
  <c r="C284" i="17"/>
  <c r="C287" i="17"/>
  <c r="C279" i="17"/>
  <c r="E277" i="17"/>
  <c r="F277" i="17" s="1"/>
  <c r="E43" i="11"/>
  <c r="F43" i="11" s="1"/>
  <c r="E46" i="20"/>
  <c r="F46" i="20" s="1"/>
  <c r="F43" i="20"/>
  <c r="E49" i="17"/>
  <c r="F49" i="17" s="1"/>
  <c r="D50" i="17"/>
  <c r="D56" i="22"/>
  <c r="D38" i="22"/>
  <c r="D48" i="22"/>
  <c r="D113" i="22"/>
  <c r="C50" i="5"/>
  <c r="E43" i="5"/>
  <c r="F43" i="5" s="1"/>
  <c r="C29" i="22"/>
  <c r="C39" i="22"/>
  <c r="C110" i="22"/>
  <c r="C45" i="22"/>
  <c r="C53" i="22"/>
  <c r="C35" i="22"/>
  <c r="D312" i="17"/>
  <c r="F122" i="10"/>
  <c r="E122" i="10"/>
  <c r="C32" i="17"/>
  <c r="E31" i="17"/>
  <c r="F31" i="17" s="1"/>
  <c r="E84" i="18"/>
  <c r="D90" i="17"/>
  <c r="E90" i="17" s="1"/>
  <c r="F90" i="17" s="1"/>
  <c r="C286" i="17"/>
  <c r="E283" i="17"/>
  <c r="F283" i="17" s="1"/>
  <c r="C48" i="22"/>
  <c r="C38" i="22"/>
  <c r="C113" i="22"/>
  <c r="C56" i="22"/>
  <c r="F52" i="6"/>
  <c r="E112" i="22"/>
  <c r="E47" i="22"/>
  <c r="E37" i="22"/>
  <c r="E55" i="22"/>
  <c r="E103" i="22"/>
  <c r="C281" i="17"/>
  <c r="F282" i="17"/>
  <c r="E41" i="20"/>
  <c r="E205" i="17"/>
  <c r="F205" i="17" s="1"/>
  <c r="F300" i="17"/>
  <c r="F254" i="17"/>
  <c r="E207" i="17"/>
  <c r="F207" i="17" s="1"/>
  <c r="C208" i="17"/>
  <c r="C24" i="8"/>
  <c r="C20" i="8" s="1"/>
  <c r="C17" i="8"/>
  <c r="C108" i="22"/>
  <c r="C109" i="22"/>
  <c r="C111" i="22"/>
  <c r="D138" i="8"/>
  <c r="D137" i="8"/>
  <c r="D136" i="8"/>
  <c r="D139" i="8"/>
  <c r="D135" i="8"/>
  <c r="D140" i="8"/>
  <c r="F40" i="20"/>
  <c r="F207" i="9"/>
  <c r="E85" i="18"/>
  <c r="D259" i="18"/>
  <c r="E76" i="18"/>
  <c r="C136" i="8"/>
  <c r="C137" i="8"/>
  <c r="C135" i="8"/>
  <c r="C138" i="8"/>
  <c r="C140" i="8"/>
  <c r="C139" i="8"/>
  <c r="D77" i="18"/>
  <c r="D70" i="13"/>
  <c r="D72" i="13" s="1"/>
  <c r="D69" i="13" s="1"/>
  <c r="D22" i="13"/>
  <c r="F95" i="7"/>
  <c r="E21" i="8"/>
  <c r="E20" i="8"/>
  <c r="E20" i="12"/>
  <c r="F20" i="12" s="1"/>
  <c r="D34" i="12"/>
  <c r="E261" i="17"/>
  <c r="F261" i="17" s="1"/>
  <c r="D63" i="17"/>
  <c r="E214" i="17"/>
  <c r="F214" i="17" s="1"/>
  <c r="C304" i="17"/>
  <c r="C216" i="17"/>
  <c r="C310" i="18"/>
  <c r="E310" i="18" s="1"/>
  <c r="E306" i="18"/>
  <c r="C21" i="8"/>
  <c r="E194" i="17" l="1"/>
  <c r="F194" i="17" s="1"/>
  <c r="D195" i="17"/>
  <c r="E195" i="17" s="1"/>
  <c r="F195" i="17" s="1"/>
  <c r="E103" i="17"/>
  <c r="F103" i="17" s="1"/>
  <c r="D105" i="17"/>
  <c r="D106" i="17" s="1"/>
  <c r="D104" i="17"/>
  <c r="E88" i="18"/>
  <c r="C117" i="18"/>
  <c r="C131" i="18" s="1"/>
  <c r="C158" i="8"/>
  <c r="D254" i="18"/>
  <c r="E254" i="18" s="1"/>
  <c r="C90" i="18"/>
  <c r="E90" i="18" s="1"/>
  <c r="E100" i="18"/>
  <c r="E99" i="18"/>
  <c r="E66" i="18"/>
  <c r="D295" i="18"/>
  <c r="E295" i="18" s="1"/>
  <c r="E97" i="18"/>
  <c r="C116" i="18"/>
  <c r="D158" i="8"/>
  <c r="E161" i="17"/>
  <c r="F161" i="17" s="1"/>
  <c r="D196" i="17"/>
  <c r="C139" i="17"/>
  <c r="E139" i="17" s="1"/>
  <c r="F139" i="17" s="1"/>
  <c r="C104" i="17"/>
  <c r="C174" i="17"/>
  <c r="E61" i="17"/>
  <c r="F61" i="17" s="1"/>
  <c r="D102" i="18"/>
  <c r="D103" i="18" s="1"/>
  <c r="D28" i="8"/>
  <c r="D112" i="8"/>
  <c r="D111" i="8" s="1"/>
  <c r="E87" i="18"/>
  <c r="E89" i="18"/>
  <c r="E281" i="17"/>
  <c r="F281" i="17" s="1"/>
  <c r="D121" i="18"/>
  <c r="D112" i="18"/>
  <c r="E112" i="18" s="1"/>
  <c r="D115" i="18"/>
  <c r="E115" i="18" s="1"/>
  <c r="D124" i="18"/>
  <c r="E124" i="18" s="1"/>
  <c r="D122" i="18"/>
  <c r="D127" i="18"/>
  <c r="E127" i="18" s="1"/>
  <c r="D126" i="18"/>
  <c r="E126" i="18" s="1"/>
  <c r="D109" i="18"/>
  <c r="D125" i="18"/>
  <c r="E125" i="18" s="1"/>
  <c r="D114" i="18"/>
  <c r="E114" i="18" s="1"/>
  <c r="D111" i="18"/>
  <c r="E111" i="18" s="1"/>
  <c r="E77" i="18"/>
  <c r="D110" i="18"/>
  <c r="D113" i="18"/>
  <c r="E113" i="18" s="1"/>
  <c r="D123" i="18"/>
  <c r="E123" i="18" s="1"/>
  <c r="E304" i="17"/>
  <c r="F304" i="17" s="1"/>
  <c r="C209" i="17"/>
  <c r="E208" i="17"/>
  <c r="F208" i="17" s="1"/>
  <c r="E286" i="17"/>
  <c r="F286" i="17" s="1"/>
  <c r="C55" i="22"/>
  <c r="C37" i="22"/>
  <c r="C47" i="22"/>
  <c r="C112" i="22"/>
  <c r="E50" i="17"/>
  <c r="F50" i="17" s="1"/>
  <c r="D70" i="17"/>
  <c r="C289" i="17"/>
  <c r="E287" i="17"/>
  <c r="F287" i="17" s="1"/>
  <c r="C291" i="17"/>
  <c r="F41" i="20"/>
  <c r="D42" i="12"/>
  <c r="E34" i="12"/>
  <c r="F34" i="12" s="1"/>
  <c r="D313" i="17"/>
  <c r="F162" i="17"/>
  <c r="E162" i="17"/>
  <c r="E284" i="17"/>
  <c r="F284" i="17"/>
  <c r="E127" i="17"/>
  <c r="F127" i="17" s="1"/>
  <c r="D148" i="17"/>
  <c r="D91" i="18"/>
  <c r="F263" i="17"/>
  <c r="C264" i="18"/>
  <c r="C266" i="18" s="1"/>
  <c r="C267" i="18"/>
  <c r="E258" i="18"/>
  <c r="C102" i="18"/>
  <c r="E102" i="18" s="1"/>
  <c r="E96" i="18"/>
  <c r="C28" i="8"/>
  <c r="C112" i="8"/>
  <c r="C111" i="8" s="1"/>
  <c r="D183" i="17"/>
  <c r="D323" i="17"/>
  <c r="E112" i="8"/>
  <c r="E111" i="8" s="1"/>
  <c r="E28" i="8"/>
  <c r="C273" i="17"/>
  <c r="E271" i="17"/>
  <c r="F271" i="17" s="1"/>
  <c r="C91" i="18"/>
  <c r="E265" i="17"/>
  <c r="F265" i="17" s="1"/>
  <c r="D92" i="17"/>
  <c r="E91" i="17"/>
  <c r="F91" i="17" s="1"/>
  <c r="D141" i="8"/>
  <c r="E50" i="5"/>
  <c r="F50" i="5" s="1"/>
  <c r="D247" i="18"/>
  <c r="E247" i="18" s="1"/>
  <c r="E223" i="18"/>
  <c r="E259" i="18"/>
  <c r="D263" i="18"/>
  <c r="C210" i="17"/>
  <c r="C175" i="17"/>
  <c r="C62" i="17"/>
  <c r="E32" i="17"/>
  <c r="F32" i="17"/>
  <c r="C140" i="17"/>
  <c r="C105" i="17"/>
  <c r="E216" i="17"/>
  <c r="F216" i="17" s="1"/>
  <c r="C141" i="8"/>
  <c r="E268" i="17"/>
  <c r="F268" i="17" s="1"/>
  <c r="E279" i="17"/>
  <c r="F279" i="17" s="1"/>
  <c r="C103" i="18"/>
  <c r="E103" i="18" s="1"/>
  <c r="E95" i="18"/>
  <c r="C105" i="18" l="1"/>
  <c r="E104" i="17"/>
  <c r="F104" i="17" s="1"/>
  <c r="D197" i="17"/>
  <c r="E197" i="17" s="1"/>
  <c r="F197" i="17" s="1"/>
  <c r="E196" i="17"/>
  <c r="F196" i="17" s="1"/>
  <c r="E174" i="17"/>
  <c r="F174" i="17" s="1"/>
  <c r="D99" i="8"/>
  <c r="D101" i="8" s="1"/>
  <c r="D98" i="8" s="1"/>
  <c r="D22" i="8"/>
  <c r="E210" i="17"/>
  <c r="F210" i="17" s="1"/>
  <c r="C305" i="17"/>
  <c r="E291" i="17"/>
  <c r="F291" i="17" s="1"/>
  <c r="C268" i="18"/>
  <c r="C269" i="18"/>
  <c r="E110" i="18"/>
  <c r="D116" i="18"/>
  <c r="E116" i="18" s="1"/>
  <c r="C176" i="17"/>
  <c r="E175" i="17"/>
  <c r="F175" i="17" s="1"/>
  <c r="E263" i="18"/>
  <c r="D264" i="18"/>
  <c r="E273" i="17"/>
  <c r="F273" i="17" s="1"/>
  <c r="C99" i="8"/>
  <c r="C101" i="8" s="1"/>
  <c r="C98" i="8" s="1"/>
  <c r="C22" i="8"/>
  <c r="E121" i="18"/>
  <c r="C63" i="17"/>
  <c r="E62" i="17"/>
  <c r="F62" i="17" s="1"/>
  <c r="E209" i="17"/>
  <c r="F209" i="17" s="1"/>
  <c r="C106" i="17"/>
  <c r="E105" i="17"/>
  <c r="F105" i="17" s="1"/>
  <c r="E91" i="18"/>
  <c r="D105" i="18"/>
  <c r="E105" i="18" s="1"/>
  <c r="E289" i="17"/>
  <c r="F289" i="17" s="1"/>
  <c r="E109" i="18"/>
  <c r="E92" i="17"/>
  <c r="F92" i="17" s="1"/>
  <c r="D113" i="17"/>
  <c r="D324" i="17"/>
  <c r="D128" i="18"/>
  <c r="E128" i="18" s="1"/>
  <c r="E122" i="18"/>
  <c r="E42" i="12"/>
  <c r="F42" i="12" s="1"/>
  <c r="D49" i="12"/>
  <c r="E49" i="12" s="1"/>
  <c r="F49" i="12" s="1"/>
  <c r="C141" i="17"/>
  <c r="E140" i="17"/>
  <c r="F140" i="17" s="1"/>
  <c r="E99" i="8"/>
  <c r="E101" i="8" s="1"/>
  <c r="E98" i="8" s="1"/>
  <c r="E22" i="8"/>
  <c r="D315" i="17"/>
  <c r="D314" i="17"/>
  <c r="D251" i="17"/>
  <c r="D256" i="17"/>
  <c r="D117" i="18" l="1"/>
  <c r="C271" i="18"/>
  <c r="D129" i="18"/>
  <c r="E129" i="18" s="1"/>
  <c r="C309" i="17"/>
  <c r="E305" i="17"/>
  <c r="F305" i="17" s="1"/>
  <c r="D318" i="17"/>
  <c r="F176" i="17"/>
  <c r="C183" i="17"/>
  <c r="E176" i="17"/>
  <c r="C323" i="17"/>
  <c r="E264" i="18"/>
  <c r="D266" i="18"/>
  <c r="C211" i="17"/>
  <c r="C322" i="17"/>
  <c r="E141" i="17"/>
  <c r="F141" i="17" s="1"/>
  <c r="C148" i="17"/>
  <c r="C324" i="17"/>
  <c r="C113" i="17"/>
  <c r="E106" i="17"/>
  <c r="F106" i="17" s="1"/>
  <c r="D131" i="18"/>
  <c r="E131" i="18" s="1"/>
  <c r="E117" i="18"/>
  <c r="D257" i="17"/>
  <c r="C70" i="17"/>
  <c r="E63" i="17"/>
  <c r="F63" i="17" s="1"/>
  <c r="E324" i="17"/>
  <c r="D325" i="17"/>
  <c r="E322" i="17" l="1"/>
  <c r="F322" i="17" s="1"/>
  <c r="E266" i="18"/>
  <c r="D267" i="18"/>
  <c r="F323" i="17"/>
  <c r="E323" i="17"/>
  <c r="E309" i="17"/>
  <c r="F309" i="17" s="1"/>
  <c r="C310" i="17"/>
  <c r="F183" i="17"/>
  <c r="E183" i="17"/>
  <c r="E211" i="17"/>
  <c r="F211" i="17" s="1"/>
  <c r="C325" i="17"/>
  <c r="F324" i="17"/>
  <c r="E70" i="17"/>
  <c r="F70" i="17" s="1"/>
  <c r="E148" i="17"/>
  <c r="F148" i="17" s="1"/>
  <c r="E113" i="17"/>
  <c r="F113" i="17" s="1"/>
  <c r="C312" i="17" l="1"/>
  <c r="E310" i="17"/>
  <c r="F310" i="17" s="1"/>
  <c r="E267" i="18"/>
  <c r="D269" i="18"/>
  <c r="E269" i="18" s="1"/>
  <c r="D268" i="18"/>
  <c r="E325" i="17"/>
  <c r="F325" i="17" s="1"/>
  <c r="E268" i="18" l="1"/>
  <c r="D271" i="18"/>
  <c r="E271" i="18" s="1"/>
  <c r="C313" i="17"/>
  <c r="E312" i="17"/>
  <c r="F312" i="17" s="1"/>
  <c r="C314" i="17" l="1"/>
  <c r="C251" i="17"/>
  <c r="C256" i="17"/>
  <c r="C315" i="17"/>
  <c r="E313" i="17"/>
  <c r="F313" i="17" s="1"/>
  <c r="E251" i="17" l="1"/>
  <c r="F251" i="17" s="1"/>
  <c r="E315" i="17"/>
  <c r="F315" i="17" s="1"/>
  <c r="C257" i="17"/>
  <c r="E256" i="17"/>
  <c r="F256" i="17" s="1"/>
  <c r="C318" i="17"/>
  <c r="E314" i="17"/>
  <c r="F314" i="17" s="1"/>
  <c r="E257" i="17" l="1"/>
  <c r="F257" i="17" s="1"/>
  <c r="E318" i="17"/>
  <c r="F318" i="17" s="1"/>
</calcChain>
</file>

<file path=xl/sharedStrings.xml><?xml version="1.0" encoding="utf-8"?>
<sst xmlns="http://schemas.openxmlformats.org/spreadsheetml/2006/main" count="2335" uniqueCount="1010">
  <si>
    <t>JOHNSON MEMORIAL HOSPITAL</t>
  </si>
  <si>
    <t>TWELVE MONTHS ACTUAL FILING</t>
  </si>
  <si>
    <t>FISCAL YEAR 2016</t>
  </si>
  <si>
    <t>REPORT 100 - HOSPITAL BALANCE SHEET INFORMATION</t>
  </si>
  <si>
    <t>FY 2015</t>
  </si>
  <si>
    <t>FY 2016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</si>
  <si>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</si>
  <si>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</si>
  <si>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</si>
  <si>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</si>
  <si>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</si>
  <si>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</si>
  <si>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</si>
  <si>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</si>
  <si>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</si>
  <si>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</si>
  <si>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</si>
  <si>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</si>
  <si>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</si>
  <si>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</si>
  <si>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</si>
  <si>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</si>
  <si>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</si>
  <si>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</si>
  <si>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</si>
  <si>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</si>
  <si>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</si>
  <si>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</si>
  <si>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</si>
  <si>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</si>
  <si>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</si>
  <si>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</si>
  <si>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</si>
  <si>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</si>
  <si>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</si>
  <si>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</si>
  <si>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</si>
  <si>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</si>
  <si>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</si>
  <si>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</si>
  <si>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</si>
  <si>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</si>
  <si>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</si>
  <si>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</si>
  <si>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</si>
  <si>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</si>
  <si>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</si>
  <si>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</si>
  <si>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</si>
  <si>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</si>
  <si>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</si>
  <si>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</si>
  <si>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</si>
  <si>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</si>
  <si>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</si>
  <si>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</si>
  <si>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</si>
  <si>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</si>
  <si>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</si>
  <si>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</si>
  <si>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</si>
  <si>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</si>
  <si>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</si>
  <si>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</si>
  <si>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</si>
  <si>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</si>
  <si>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</si>
  <si>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</si>
  <si>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</si>
  <si>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</si>
  <si>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</si>
  <si>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</si>
  <si>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</si>
  <si>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</si>
  <si>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</si>
  <si>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</si>
  <si>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</si>
  <si>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</si>
  <si>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</si>
  <si>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</si>
  <si>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</si>
  <si>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</si>
  <si>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</si>
  <si>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</si>
  <si>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</si>
  <si>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</si>
  <si>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</si>
  <si>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</si>
  <si>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</si>
  <si>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</si>
  <si>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</si>
  <si>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</si>
  <si>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</si>
  <si>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</si>
  <si>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</si>
  <si>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</si>
  <si>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</si>
  <si>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</si>
  <si>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</si>
  <si>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</si>
  <si>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</si>
  <si>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</si>
  <si>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</si>
  <si>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</si>
  <si>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</si>
  <si>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</si>
  <si>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</si>
  <si>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2015                ACTUAL</t>
  </si>
  <si>
    <t>FY 2016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</si>
  <si>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</si>
  <si>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</si>
  <si>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</si>
  <si>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</si>
  <si>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</si>
  <si>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</si>
  <si>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</si>
  <si>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</si>
  <si>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</si>
  <si>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</si>
  <si>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</si>
  <si>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</si>
  <si>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</si>
  <si>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</si>
  <si>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</si>
  <si>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</si>
  <si>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</si>
  <si>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</si>
  <si>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</si>
  <si>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</si>
  <si>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</si>
  <si>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</si>
  <si>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</si>
  <si>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</si>
  <si>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</si>
  <si>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</si>
  <si>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</si>
  <si>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</si>
  <si>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</si>
  <si>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</si>
  <si>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</si>
  <si>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</si>
  <si>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</si>
  <si>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</si>
  <si>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</si>
  <si>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</si>
  <si>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</si>
  <si>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</si>
  <si>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</si>
  <si>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</si>
  <si>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</si>
  <si>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</si>
  <si>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</si>
  <si>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</si>
  <si>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</si>
  <si>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</si>
  <si>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</si>
  <si>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</si>
  <si>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</si>
  <si>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</si>
  <si>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</si>
  <si>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</si>
  <si>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</si>
  <si>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</si>
  <si>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</si>
  <si>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</si>
  <si>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</si>
  <si>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</si>
  <si>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</si>
  <si>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</si>
  <si>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</si>
  <si>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</si>
  <si>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</si>
  <si>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</si>
  <si>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</si>
  <si>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</si>
  <si>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</si>
  <si>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</si>
  <si>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</si>
  <si>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</si>
  <si>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</si>
  <si>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</si>
  <si>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</si>
  <si>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</si>
  <si>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</si>
  <si>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</si>
  <si>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</si>
  <si>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</si>
  <si>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</si>
  <si>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</si>
  <si>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</si>
  <si>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</si>
  <si>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</si>
  <si>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</si>
  <si>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</si>
  <si>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</si>
  <si>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</si>
  <si>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</si>
  <si>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</si>
  <si>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</si>
  <si>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</si>
  <si>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</si>
  <si>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</si>
  <si>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</si>
  <si>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</si>
  <si>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</si>
  <si>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</si>
  <si>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</si>
  <si>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</si>
  <si>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</si>
  <si>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</si>
  <si>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</si>
  <si>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</si>
  <si>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</si>
  <si>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</si>
  <si>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</si>
  <si>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</si>
  <si>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</si>
  <si>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</si>
  <si>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</si>
  <si>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</si>
  <si>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</si>
  <si>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</si>
  <si>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</si>
  <si>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</si>
  <si>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</si>
  <si>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</si>
  <si>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</si>
  <si>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</si>
  <si>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</si>
  <si>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</si>
  <si>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</si>
  <si>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</si>
  <si>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</si>
  <si>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</si>
  <si>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</si>
  <si>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</si>
  <si>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</si>
  <si>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</si>
  <si>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</si>
  <si>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</si>
  <si>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</si>
  <si>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</si>
  <si>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</si>
  <si>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</si>
  <si>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</si>
  <si>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</si>
  <si>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</si>
  <si>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</si>
  <si>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</si>
  <si>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</si>
  <si>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</si>
  <si>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</si>
  <si>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</si>
  <si>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</si>
  <si>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</si>
  <si>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</si>
  <si>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</si>
  <si>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</si>
  <si>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</si>
  <si>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</si>
  <si>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</si>
  <si>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</si>
  <si>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</si>
  <si>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</si>
  <si>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</si>
  <si>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</si>
  <si>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</si>
  <si>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</si>
  <si>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</si>
  <si>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</si>
  <si>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</si>
  <si>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</si>
  <si>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</si>
  <si>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</si>
  <si>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</si>
  <si>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</si>
  <si>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</si>
  <si>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</si>
  <si>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</si>
  <si>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</si>
  <si>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</si>
  <si>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</si>
  <si>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</si>
  <si>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</si>
  <si>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</si>
  <si>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</si>
  <si>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</si>
  <si>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</si>
  <si>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</si>
  <si>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</si>
  <si>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</si>
  <si>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</si>
  <si>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</si>
  <si>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</si>
  <si>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</si>
  <si>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</si>
  <si>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</si>
  <si>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</si>
  <si>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</si>
  <si>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</si>
  <si>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</si>
  <si>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</si>
  <si>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</si>
  <si>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</si>
  <si>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</si>
  <si>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</si>
  <si>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</si>
  <si>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</si>
  <si>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</si>
  <si>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</si>
  <si>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</si>
  <si>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</si>
  <si>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</si>
  <si>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</si>
  <si>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2016</t>
  </si>
  <si>
    <t>REPORT 185 - HOSPITAL FINANCIAL AND STATISTICAL DATA ANALYSIS</t>
  </si>
  <si>
    <t xml:space="preserve">      FY 2014</t>
  </si>
  <si>
    <t xml:space="preserve">      FY 2015</t>
  </si>
  <si>
    <t xml:space="preserve">      FY 2016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</si>
  <si>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</si>
  <si>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</si>
  <si>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</si>
  <si>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</si>
  <si>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</si>
  <si>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</si>
  <si>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</si>
  <si>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</si>
  <si>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</si>
  <si>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</si>
  <si>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</si>
  <si>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</si>
  <si>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</si>
  <si>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</si>
  <si>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</si>
  <si>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</si>
  <si>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</si>
  <si>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</si>
  <si>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</si>
  <si>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</si>
  <si>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</si>
  <si>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</si>
  <si>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</si>
  <si>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</si>
  <si>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</si>
  <si>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</si>
  <si>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</si>
  <si>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</si>
  <si>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</si>
  <si>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</si>
  <si>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</si>
  <si>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</si>
  <si>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</si>
  <si>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</si>
  <si>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</si>
  <si>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</si>
  <si>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</si>
  <si>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</si>
  <si>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</si>
  <si>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</si>
  <si>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</si>
  <si>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</si>
  <si>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</si>
  <si>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</si>
  <si>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</si>
  <si>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</si>
  <si>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</si>
  <si>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</si>
  <si>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</si>
  <si>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</si>
  <si>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</si>
  <si>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</si>
  <si>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</si>
  <si>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</si>
  <si>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</si>
  <si>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</si>
  <si>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</si>
  <si>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</si>
  <si>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</si>
  <si>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</si>
  <si>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</si>
  <si>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</si>
  <si>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</si>
  <si>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</si>
  <si>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</si>
  <si>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</si>
  <si>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</si>
  <si>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</si>
  <si>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</si>
  <si>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</si>
  <si>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</si>
  <si>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</si>
  <si>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</si>
  <si>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</si>
  <si>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</si>
  <si>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</si>
  <si>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</si>
  <si>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</si>
  <si>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</si>
  <si>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</si>
  <si>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</si>
  <si>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</si>
  <si>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</si>
  <si>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</si>
  <si>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</si>
  <si>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</si>
  <si>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</si>
  <si>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</si>
  <si>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</si>
  <si>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</si>
  <si>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</si>
  <si>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</si>
  <si>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</si>
  <si>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</si>
  <si>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</si>
  <si>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</si>
  <si>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</si>
  <si>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</si>
  <si>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</si>
  <si>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</si>
  <si>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</si>
  <si>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</si>
  <si>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</si>
  <si>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</si>
  <si>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</si>
  <si>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</si>
  <si>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</si>
  <si>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</si>
  <si>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</si>
  <si>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</si>
  <si>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</si>
  <si>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</si>
  <si>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</si>
  <si>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</si>
  <si>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</si>
  <si>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</si>
  <si>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</si>
  <si>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2015 ACTUAL</t>
  </si>
  <si>
    <t>FY 2016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</si>
  <si>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</si>
  <si>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</si>
  <si>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</si>
  <si>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</si>
  <si>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</si>
  <si>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</si>
  <si>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</si>
  <si>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</si>
  <si>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</si>
  <si>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</si>
  <si>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</si>
  <si>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</si>
  <si>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</si>
  <si>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</si>
  <si>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</si>
  <si>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</si>
  <si>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</si>
  <si>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</si>
  <si>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</si>
  <si>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</si>
  <si>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</si>
  <si>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</si>
  <si>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</si>
  <si>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</si>
  <si>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</si>
  <si>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</si>
  <si>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</si>
  <si>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</si>
  <si>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</si>
  <si>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</si>
  <si>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</si>
  <si>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</si>
  <si>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</si>
  <si>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</si>
  <si>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</si>
  <si>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</si>
  <si>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2015 ACTUAL     </t>
  </si>
  <si>
    <t xml:space="preserve">      FY 2016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</si>
  <si>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</si>
  <si>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</si>
  <si>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</si>
  <si>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</si>
  <si>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</si>
  <si>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</si>
  <si>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</si>
  <si>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</si>
  <si>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</si>
  <si>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</si>
  <si>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</si>
  <si>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</si>
  <si>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</si>
  <si>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</si>
  <si>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</si>
  <si>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</si>
  <si>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</si>
  <si>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</si>
  <si>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</si>
  <si>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</si>
  <si>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</si>
  <si>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</si>
  <si>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</si>
  <si>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</si>
  <si>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TRINITY HEALTH - NEW ENGLAND, INC. (FORMERLY SAINT FRANCIS CARE, INC.)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</si>
  <si>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</si>
  <si>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</si>
  <si>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</si>
  <si>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</si>
  <si>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2014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</si>
  <si>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</si>
  <si>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</si>
  <si>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</si>
  <si>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</si>
  <si>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</si>
  <si>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</si>
  <si>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</si>
  <si>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</si>
  <si>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</si>
  <si>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</si>
  <si>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</si>
  <si>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</si>
  <si>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</si>
  <si>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</si>
  <si>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</si>
  <si>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</si>
  <si>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</si>
  <si>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</si>
  <si>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</si>
  <si>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</si>
  <si>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</si>
  <si>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</si>
  <si>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</si>
  <si>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</si>
  <si>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</si>
  <si>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</si>
  <si>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</si>
  <si>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</si>
  <si>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</si>
  <si>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</si>
  <si>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</si>
  <si>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</si>
  <si>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</si>
  <si>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</si>
  <si>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</si>
  <si>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</si>
  <si>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</si>
  <si>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</si>
  <si>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</si>
  <si>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</si>
  <si>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</si>
  <si>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</si>
  <si>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</si>
  <si>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</si>
  <si>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</si>
  <si>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</si>
  <si>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</si>
  <si>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</si>
  <si>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</si>
  <si>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</si>
  <si>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</si>
  <si>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</si>
  <si>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</si>
  <si>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</si>
  <si>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</si>
  <si>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</si>
  <si>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</si>
  <si>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</si>
  <si>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</si>
  <si>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</si>
  <si>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</si>
  <si>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</si>
  <si>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</si>
  <si>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</si>
  <si>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</si>
  <si>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</si>
  <si>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</si>
  <si>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</si>
  <si>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</si>
  <si>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</si>
  <si>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</si>
  <si>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</si>
  <si>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</si>
  <si>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</si>
  <si>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</si>
  <si>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</si>
  <si>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</si>
  <si>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</si>
  <si>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</si>
  <si>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</si>
  <si>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</si>
  <si>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</si>
  <si>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</si>
  <si>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</si>
  <si>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</si>
  <si>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</si>
  <si>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</si>
  <si>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</si>
  <si>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</si>
  <si>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</si>
  <si>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</si>
  <si>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</si>
  <si>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</si>
  <si>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</si>
  <si>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</si>
  <si>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</si>
  <si>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</si>
  <si>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</si>
  <si>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</si>
  <si>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</si>
  <si>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</si>
  <si>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</si>
  <si>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</si>
  <si>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</si>
  <si>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</si>
  <si>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</si>
  <si>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</si>
  <si>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</si>
  <si>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</si>
  <si>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</si>
  <si>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</si>
  <si>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</si>
  <si>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</si>
  <si>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</si>
  <si>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</si>
  <si>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Johnson Memorial Hospital</t>
  </si>
  <si>
    <t>Offsite Surgery Department - Enfield, CT</t>
  </si>
  <si>
    <t>Total Outpatient Surgical Procedures(A)</t>
  </si>
  <si>
    <t>Offsite Surgical Department - Enfield, CT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</si>
  <si>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</si>
  <si>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</si>
  <si>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</si>
  <si>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</si>
  <si>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</si>
  <si>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</si>
  <si>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</si>
  <si>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</si>
  <si>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</si>
  <si>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</si>
  <si>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</si>
  <si>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</si>
  <si>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</si>
  <si>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</si>
  <si>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</si>
  <si>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</si>
  <si>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</si>
  <si>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</si>
  <si>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</si>
  <si>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</si>
  <si>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</si>
  <si>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</si>
  <si>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</si>
  <si>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</si>
  <si>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</si>
  <si>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</si>
  <si>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</si>
  <si>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</si>
  <si>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</si>
  <si>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</si>
  <si>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</si>
  <si>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</si>
  <si>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</si>
  <si>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</si>
  <si>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</si>
  <si>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</si>
  <si>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</si>
  <si>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</si>
  <si>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</si>
  <si>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</si>
  <si>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</si>
  <si>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</si>
  <si>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</si>
  <si>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</si>
  <si>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</si>
  <si>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</si>
  <si>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</si>
  <si>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</si>
  <si>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</si>
  <si>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</si>
  <si>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</si>
  <si>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</si>
  <si>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</si>
  <si>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</si>
  <si>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</si>
  <si>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</si>
  <si>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</si>
  <si>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</si>
  <si>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</si>
  <si>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</si>
  <si>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</si>
  <si>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</si>
  <si>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</si>
  <si>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</si>
  <si>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</si>
  <si>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</si>
  <si>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</si>
  <si>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</si>
  <si>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</si>
  <si>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</si>
  <si>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</si>
  <si>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</si>
  <si>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</si>
  <si>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</si>
  <si>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</si>
  <si>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</si>
  <si>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</si>
  <si>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</si>
  <si>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</si>
  <si>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</si>
  <si>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</si>
  <si>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</si>
  <si>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</si>
  <si>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</si>
  <si>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</si>
  <si>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</si>
  <si>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</si>
  <si>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</si>
  <si>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</si>
  <si>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</si>
  <si>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</si>
  <si>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</si>
  <si>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</si>
  <si>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</si>
  <si>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</si>
  <si>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</si>
  <si>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</si>
  <si>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</si>
  <si>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</si>
  <si>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</si>
  <si>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</si>
  <si>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</si>
  <si>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</si>
  <si>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</si>
  <si>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</si>
  <si>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</si>
  <si>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</si>
  <si>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</si>
  <si>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</si>
  <si>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</si>
  <si>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</si>
  <si>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</si>
  <si>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</si>
  <si>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</si>
  <si>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</si>
  <si>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</si>
  <si>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</si>
  <si>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</si>
  <si>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</si>
  <si>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</si>
  <si>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</si>
  <si>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</si>
  <si>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</si>
  <si>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</si>
  <si>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</si>
  <si>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</si>
  <si>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</si>
  <si>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</si>
  <si>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</si>
  <si>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</si>
  <si>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</si>
  <si>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</si>
  <si>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</si>
  <si>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</si>
  <si>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</si>
  <si>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</si>
  <si>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</si>
  <si>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</si>
  <si>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</si>
  <si>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</si>
  <si>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</si>
  <si>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</si>
  <si>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</si>
  <si>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</si>
  <si>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</si>
  <si>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</si>
  <si>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2016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</si>
  <si>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</si>
  <si>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</si>
  <si>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</si>
  <si>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ACTUAL            </t>
    </r>
    <r>
      <rPr>
        <b/>
        <u/>
        <sz val="12"/>
        <rFont val="Arial"/>
        <family val="2"/>
      </rPr>
      <t>FY 2016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</si>
  <si>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</si>
  <si>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</si>
  <si>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</si>
  <si>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</si>
  <si>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</si>
  <si>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</si>
  <si>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</si>
  <si>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</si>
  <si>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</si>
  <si>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</si>
  <si>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</si>
  <si>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</si>
  <si>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</si>
  <si>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</si>
  <si>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</si>
  <si>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</si>
  <si>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</si>
  <si>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</si>
  <si>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</si>
  <si>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</si>
  <si>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</si>
  <si>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</si>
  <si>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</si>
  <si>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</si>
  <si>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</si>
  <si>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</si>
  <si>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</si>
  <si>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</si>
  <si>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</si>
  <si>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</si>
  <si>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</si>
  <si>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</si>
  <si>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</si>
  <si>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</si>
  <si>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</si>
  <si>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</si>
  <si>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</si>
  <si>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</si>
  <si>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</si>
  <si>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</si>
  <si>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</si>
  <si>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</si>
  <si>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</si>
  <si>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</si>
  <si>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</si>
  <si>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</si>
  <si>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</si>
  <si>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</si>
  <si>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</si>
  <si>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</si>
  <si>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</si>
  <si>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</si>
  <si>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</si>
  <si>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</si>
  <si>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</si>
  <si>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</si>
  <si>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</si>
  <si>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</si>
  <si>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</si>
  <si>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</si>
  <si>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</si>
  <si>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</si>
  <si>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</si>
  <si>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</si>
  <si>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</si>
  <si>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</si>
  <si>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</si>
  <si>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</si>
  <si>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</si>
  <si>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</si>
  <si>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</si>
  <si>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</si>
  <si>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</si>
  <si>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</si>
  <si>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</si>
  <si>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</si>
  <si>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</si>
  <si>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</si>
  <si>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</si>
  <si>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</si>
  <si>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</si>
  <si>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</si>
  <si>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</si>
  <si>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</si>
  <si>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</si>
  <si>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</si>
  <si>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</si>
  <si>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</si>
  <si>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</si>
  <si>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</si>
  <si>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</si>
  <si>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</si>
  <si>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</si>
  <si>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</si>
  <si>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</si>
  <si>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</si>
  <si>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</si>
  <si>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2016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</si>
  <si>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</si>
  <si>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</si>
  <si>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</si>
  <si>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</si>
  <si>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</si>
  <si>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</si>
  <si>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</si>
  <si>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</si>
  <si>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</si>
  <si>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</si>
  <si>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</si>
  <si>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</si>
  <si>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</si>
  <si>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</si>
  <si>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</si>
  <si>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</si>
  <si>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</si>
  <si>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</si>
  <si>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</si>
  <si>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</si>
  <si>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</si>
  <si>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</si>
  <si>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</si>
  <si>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</si>
  <si>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</si>
  <si>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</si>
  <si>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</si>
  <si>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</si>
  <si>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</si>
  <si>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</si>
  <si>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</si>
  <si>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</si>
  <si>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</si>
  <si>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</si>
  <si>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</si>
  <si>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</si>
  <si>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</si>
  <si>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</si>
  <si>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</si>
  <si>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</si>
  <si>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</si>
  <si>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</si>
  <si>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</si>
  <si>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</si>
  <si>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</si>
  <si>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</si>
  <si>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</si>
  <si>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</si>
  <si>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</si>
  <si>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</si>
  <si>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</si>
  <si>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</si>
  <si>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</si>
  <si>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</si>
  <si>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</si>
  <si>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</si>
  <si>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</si>
  <si>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r>
      <t xml:space="preserve">ACTUAL          </t>
    </r>
    <r>
      <rPr>
        <b/>
        <u/>
        <sz val="14"/>
        <rFont val="Arial"/>
        <family val="2"/>
      </rPr>
      <t>FY 2016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</si>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</sst>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activeCell="M25" sqref="M25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1675853</v>
      </c>
      <c r="D13" s="22">
        <v>85944</v>
      </c>
      <c r="E13" s="22">
        <f t="shared" ref="E13:E22" si="0">D13-C13</f>
        <v>-1589909</v>
      </c>
      <c r="F13" s="23">
        <f t="shared" ref="F13:F22" si="1">IF(C13=0,0,E13/C13)</f>
        <v>-0.94871626568678757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1067756</v>
      </c>
      <c r="E14" s="22">
        <f t="shared" si="0"/>
        <v>1067756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9554938</v>
      </c>
      <c r="D15" s="22">
        <v>17416699</v>
      </c>
      <c r="E15" s="22">
        <f t="shared" si="0"/>
        <v>7861761</v>
      </c>
      <c r="F15" s="23">
        <f t="shared" si="1"/>
        <v>0.82279560579042998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1506354</v>
      </c>
      <c r="D19" s="22">
        <v>1513473</v>
      </c>
      <c r="E19" s="22">
        <f t="shared" si="0"/>
        <v>7119</v>
      </c>
      <c r="F19" s="23">
        <f t="shared" si="1"/>
        <v>4.7259807455618001E-3</v>
      </c>
    </row>
    <row r="20" spans="1:11" ht="24" customHeight="1" x14ac:dyDescent="0.2">
      <c r="A20" s="20">
        <v>8</v>
      </c>
      <c r="B20" s="21" t="s">
        <v>23</v>
      </c>
      <c r="C20" s="22">
        <v>1497131</v>
      </c>
      <c r="D20" s="22">
        <v>676712</v>
      </c>
      <c r="E20" s="22">
        <f t="shared" si="0"/>
        <v>-820419</v>
      </c>
      <c r="F20" s="23">
        <f t="shared" si="1"/>
        <v>-0.54799413010618314</v>
      </c>
    </row>
    <row r="21" spans="1:11" ht="24" customHeight="1" x14ac:dyDescent="0.2">
      <c r="A21" s="20">
        <v>9</v>
      </c>
      <c r="B21" s="21" t="s">
        <v>24</v>
      </c>
      <c r="C21" s="22">
        <v>329908</v>
      </c>
      <c r="D21" s="22">
        <v>3525137</v>
      </c>
      <c r="E21" s="22">
        <f t="shared" si="0"/>
        <v>3195229</v>
      </c>
      <c r="F21" s="23">
        <f t="shared" si="1"/>
        <v>9.6852122409883972</v>
      </c>
    </row>
    <row r="22" spans="1:11" ht="24" customHeight="1" x14ac:dyDescent="0.25">
      <c r="A22" s="24"/>
      <c r="B22" s="25" t="s">
        <v>25</v>
      </c>
      <c r="C22" s="26">
        <f>SUM(C13:C21)</f>
        <v>14564184</v>
      </c>
      <c r="D22" s="26">
        <f>SUM(D13:D21)</f>
        <v>24285721</v>
      </c>
      <c r="E22" s="26">
        <f t="shared" si="0"/>
        <v>9721537</v>
      </c>
      <c r="F22" s="27">
        <f t="shared" si="1"/>
        <v>0.66749616731016304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3425921</v>
      </c>
      <c r="D25" s="22">
        <v>542472</v>
      </c>
      <c r="E25" s="22">
        <f>D25-C25</f>
        <v>-2883449</v>
      </c>
      <c r="F25" s="23">
        <f>IF(C25=0,0,E25/C25)</f>
        <v>-0.841656593949481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224917</v>
      </c>
      <c r="D27" s="22">
        <v>0</v>
      </c>
      <c r="E27" s="22">
        <f>D27-C27</f>
        <v>-224917</v>
      </c>
      <c r="F27" s="23">
        <f>IF(C27=0,0,E27/C27)</f>
        <v>-1</v>
      </c>
    </row>
    <row r="28" spans="1:11" ht="24" customHeight="1" x14ac:dyDescent="0.2">
      <c r="A28" s="20">
        <v>4</v>
      </c>
      <c r="B28" s="21" t="s">
        <v>31</v>
      </c>
      <c r="C28" s="22">
        <v>843587</v>
      </c>
      <c r="D28" s="22">
        <v>0</v>
      </c>
      <c r="E28" s="22">
        <f>D28-C28</f>
        <v>-843587</v>
      </c>
      <c r="F28" s="23">
        <f>IF(C28=0,0,E28/C28)</f>
        <v>-1</v>
      </c>
    </row>
    <row r="29" spans="1:11" ht="24" customHeight="1" x14ac:dyDescent="0.25">
      <c r="A29" s="24"/>
      <c r="B29" s="25" t="s">
        <v>32</v>
      </c>
      <c r="C29" s="26">
        <f>SUM(C25:C28)</f>
        <v>4494425</v>
      </c>
      <c r="D29" s="26">
        <f>SUM(D25:D28)</f>
        <v>542472</v>
      </c>
      <c r="E29" s="26">
        <f>D29-C29</f>
        <v>-3951953</v>
      </c>
      <c r="F29" s="27">
        <f>IF(C29=0,0,E29/C29)</f>
        <v>-0.87930113418290434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3467074</v>
      </c>
      <c r="D32" s="22">
        <v>3202165</v>
      </c>
      <c r="E32" s="22">
        <f>D32-C32</f>
        <v>-264909</v>
      </c>
      <c r="F32" s="23">
        <f>IF(C32=0,0,E32/C32)</f>
        <v>-7.6407079860424096E-2</v>
      </c>
    </row>
    <row r="33" spans="1:8" ht="24" customHeight="1" x14ac:dyDescent="0.2">
      <c r="A33" s="20">
        <v>7</v>
      </c>
      <c r="B33" s="21" t="s">
        <v>35</v>
      </c>
      <c r="C33" s="22">
        <v>8986456</v>
      </c>
      <c r="D33" s="22">
        <v>805530</v>
      </c>
      <c r="E33" s="22">
        <f>D33-C33</f>
        <v>-8180926</v>
      </c>
      <c r="F33" s="23">
        <f>IF(C33=0,0,E33/C33)</f>
        <v>-0.91036177109196326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66495422</v>
      </c>
      <c r="D36" s="22">
        <v>20747175</v>
      </c>
      <c r="E36" s="22">
        <f>D36-C36</f>
        <v>-45748247</v>
      </c>
      <c r="F36" s="23">
        <f>IF(C36=0,0,E36/C36)</f>
        <v>-0.6879909266535672</v>
      </c>
    </row>
    <row r="37" spans="1:8" ht="24" customHeight="1" x14ac:dyDescent="0.2">
      <c r="A37" s="20">
        <v>2</v>
      </c>
      <c r="B37" s="21" t="s">
        <v>39</v>
      </c>
      <c r="C37" s="22">
        <v>45821926</v>
      </c>
      <c r="D37" s="22">
        <v>861533</v>
      </c>
      <c r="E37" s="22">
        <f>D37-C37</f>
        <v>-44960393</v>
      </c>
      <c r="F37" s="23">
        <f>IF(C37=0,0,E37/C37)</f>
        <v>-0.98119823684408203</v>
      </c>
    </row>
    <row r="38" spans="1:8" ht="24" customHeight="1" x14ac:dyDescent="0.25">
      <c r="A38" s="24"/>
      <c r="B38" s="25" t="s">
        <v>40</v>
      </c>
      <c r="C38" s="26">
        <f>C36-C37</f>
        <v>20673496</v>
      </c>
      <c r="D38" s="26">
        <f>D36-D37</f>
        <v>19885642</v>
      </c>
      <c r="E38" s="26">
        <f>D38-C38</f>
        <v>-787854</v>
      </c>
      <c r="F38" s="27">
        <f>IF(C38=0,0,E38/C38)</f>
        <v>-3.810937443768582E-2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0</v>
      </c>
      <c r="D40" s="22">
        <v>870370</v>
      </c>
      <c r="E40" s="22">
        <f>D40-C40</f>
        <v>870370</v>
      </c>
      <c r="F40" s="23">
        <f>IF(C40=0,0,E40/C40)</f>
        <v>0</v>
      </c>
    </row>
    <row r="41" spans="1:8" ht="24" customHeight="1" x14ac:dyDescent="0.25">
      <c r="A41" s="24"/>
      <c r="B41" s="25" t="s">
        <v>42</v>
      </c>
      <c r="C41" s="26">
        <f>+C38+C40</f>
        <v>20673496</v>
      </c>
      <c r="D41" s="26">
        <f>+D38+D40</f>
        <v>20756012</v>
      </c>
      <c r="E41" s="26">
        <f>D41-C41</f>
        <v>82516</v>
      </c>
      <c r="F41" s="27">
        <f>IF(C41=0,0,E41/C41)</f>
        <v>3.991390715919552E-3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52185635</v>
      </c>
      <c r="D43" s="26">
        <f>D22+D29+D31+D32+D33+D41</f>
        <v>49591900</v>
      </c>
      <c r="E43" s="26">
        <f>D43-C43</f>
        <v>-2593735</v>
      </c>
      <c r="F43" s="27">
        <f>IF(C43=0,0,E43/C43)</f>
        <v>-4.9702087557236777E-2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8861782</v>
      </c>
      <c r="D49" s="22">
        <v>4482470</v>
      </c>
      <c r="E49" s="22">
        <f t="shared" ref="E49:E56" si="2">D49-C49</f>
        <v>-4379312</v>
      </c>
      <c r="F49" s="23">
        <f t="shared" ref="F49:F56" si="3">IF(C49=0,0,E49/C49)</f>
        <v>-0.4941796130845918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1895078</v>
      </c>
      <c r="D50" s="22">
        <v>2489512</v>
      </c>
      <c r="E50" s="22">
        <f t="shared" si="2"/>
        <v>594434</v>
      </c>
      <c r="F50" s="23">
        <f t="shared" si="3"/>
        <v>0.3136725770654295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2212362</v>
      </c>
      <c r="D51" s="22">
        <v>843823</v>
      </c>
      <c r="E51" s="22">
        <f t="shared" si="2"/>
        <v>-1368539</v>
      </c>
      <c r="F51" s="23">
        <f t="shared" si="3"/>
        <v>-0.61858728363622228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23268975</v>
      </c>
      <c r="E52" s="22">
        <f t="shared" si="2"/>
        <v>23268975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11987500</v>
      </c>
      <c r="D53" s="22">
        <v>388912</v>
      </c>
      <c r="E53" s="22">
        <f t="shared" si="2"/>
        <v>-11598588</v>
      </c>
      <c r="F53" s="23">
        <f t="shared" si="3"/>
        <v>-0.96755687174139726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838274</v>
      </c>
      <c r="D54" s="22">
        <v>0</v>
      </c>
      <c r="E54" s="22">
        <f t="shared" si="2"/>
        <v>-838274</v>
      </c>
      <c r="F54" s="23">
        <f t="shared" si="3"/>
        <v>-1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10142734</v>
      </c>
      <c r="D55" s="22">
        <v>531683</v>
      </c>
      <c r="E55" s="22">
        <f t="shared" si="2"/>
        <v>-9611051</v>
      </c>
      <c r="F55" s="23">
        <f t="shared" si="3"/>
        <v>-0.94757991287161825</v>
      </c>
    </row>
    <row r="56" spans="1:6" ht="24" customHeight="1" x14ac:dyDescent="0.25">
      <c r="A56" s="24"/>
      <c r="B56" s="25" t="s">
        <v>54</v>
      </c>
      <c r="C56" s="26">
        <f>SUM(C49:C55)</f>
        <v>35937730</v>
      </c>
      <c r="D56" s="26">
        <f>SUM(D49:D55)</f>
        <v>32005375</v>
      </c>
      <c r="E56" s="26">
        <f t="shared" si="2"/>
        <v>-3932355</v>
      </c>
      <c r="F56" s="27">
        <f t="shared" si="3"/>
        <v>-0.10942135187726103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0</v>
      </c>
      <c r="D59" s="22">
        <v>0</v>
      </c>
      <c r="E59" s="22">
        <f>D59-C59</f>
        <v>0</v>
      </c>
      <c r="F59" s="23">
        <f>IF(C59=0,0,E59/C59)</f>
        <v>0</v>
      </c>
    </row>
    <row r="60" spans="1:6" ht="24" customHeight="1" x14ac:dyDescent="0.2">
      <c r="A60" s="20">
        <v>2</v>
      </c>
      <c r="B60" s="21" t="s">
        <v>57</v>
      </c>
      <c r="C60" s="22">
        <v>4572057</v>
      </c>
      <c r="D60" s="22">
        <v>4367427</v>
      </c>
      <c r="E60" s="22">
        <f>D60-C60</f>
        <v>-204630</v>
      </c>
      <c r="F60" s="23">
        <f>IF(C60=0,0,E60/C60)</f>
        <v>-4.475665985791516E-2</v>
      </c>
    </row>
    <row r="61" spans="1:6" ht="24" customHeight="1" x14ac:dyDescent="0.25">
      <c r="A61" s="24"/>
      <c r="B61" s="25" t="s">
        <v>58</v>
      </c>
      <c r="C61" s="26">
        <f>SUM(C59:C60)</f>
        <v>4572057</v>
      </c>
      <c r="D61" s="26">
        <f>SUM(D59:D60)</f>
        <v>4367427</v>
      </c>
      <c r="E61" s="26">
        <f>D61-C61</f>
        <v>-204630</v>
      </c>
      <c r="F61" s="27">
        <f>IF(C61=0,0,E61/C61)</f>
        <v>-4.475665985791516E-2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0</v>
      </c>
      <c r="D63" s="22">
        <v>0</v>
      </c>
      <c r="E63" s="22">
        <f>D63-C63</f>
        <v>0</v>
      </c>
      <c r="F63" s="23">
        <f>IF(C63=0,0,E63/C63)</f>
        <v>0</v>
      </c>
    </row>
    <row r="64" spans="1:6" ht="24" customHeight="1" x14ac:dyDescent="0.2">
      <c r="A64" s="20">
        <v>4</v>
      </c>
      <c r="B64" s="21" t="s">
        <v>60</v>
      </c>
      <c r="C64" s="22">
        <v>7433424</v>
      </c>
      <c r="D64" s="22">
        <v>18845314</v>
      </c>
      <c r="E64" s="22">
        <f>D64-C64</f>
        <v>11411890</v>
      </c>
      <c r="F64" s="23">
        <f>IF(C64=0,0,E64/C64)</f>
        <v>1.535213113095661</v>
      </c>
    </row>
    <row r="65" spans="1:6" ht="24" customHeight="1" x14ac:dyDescent="0.25">
      <c r="A65" s="24"/>
      <c r="B65" s="25" t="s">
        <v>61</v>
      </c>
      <c r="C65" s="26">
        <f>SUM(C61:C64)</f>
        <v>12005481</v>
      </c>
      <c r="D65" s="26">
        <f>SUM(D61:D64)</f>
        <v>23212741</v>
      </c>
      <c r="E65" s="26">
        <f>D65-C65</f>
        <v>11207260</v>
      </c>
      <c r="F65" s="27">
        <f>IF(C65=0,0,E65/C65)</f>
        <v>0.93351195174937185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-498600</v>
      </c>
      <c r="D70" s="22">
        <v>-6168689</v>
      </c>
      <c r="E70" s="22">
        <f>D70-C70</f>
        <v>-5670089</v>
      </c>
      <c r="F70" s="23">
        <f>IF(C70=0,0,E70/C70)</f>
        <v>11.372019655034096</v>
      </c>
    </row>
    <row r="71" spans="1:6" ht="24" customHeight="1" x14ac:dyDescent="0.2">
      <c r="A71" s="20">
        <v>2</v>
      </c>
      <c r="B71" s="21" t="s">
        <v>65</v>
      </c>
      <c r="C71" s="22">
        <v>471516</v>
      </c>
      <c r="D71" s="22">
        <v>542473</v>
      </c>
      <c r="E71" s="22">
        <f>D71-C71</f>
        <v>70957</v>
      </c>
      <c r="F71" s="23">
        <f>IF(C71=0,0,E71/C71)</f>
        <v>0.15048693999779436</v>
      </c>
    </row>
    <row r="72" spans="1:6" ht="24" customHeight="1" x14ac:dyDescent="0.2">
      <c r="A72" s="20">
        <v>3</v>
      </c>
      <c r="B72" s="21" t="s">
        <v>66</v>
      </c>
      <c r="C72" s="22">
        <v>4269508</v>
      </c>
      <c r="D72" s="22">
        <v>0</v>
      </c>
      <c r="E72" s="22">
        <f>D72-C72</f>
        <v>-4269508</v>
      </c>
      <c r="F72" s="23">
        <f>IF(C72=0,0,E72/C72)</f>
        <v>-1</v>
      </c>
    </row>
    <row r="73" spans="1:6" ht="24" customHeight="1" x14ac:dyDescent="0.25">
      <c r="A73" s="20"/>
      <c r="B73" s="25" t="s">
        <v>67</v>
      </c>
      <c r="C73" s="26">
        <f>SUM(C70:C72)</f>
        <v>4242424</v>
      </c>
      <c r="D73" s="26">
        <f>SUM(D70:D72)</f>
        <v>-5626216</v>
      </c>
      <c r="E73" s="26">
        <f>D73-C73</f>
        <v>-9868640</v>
      </c>
      <c r="F73" s="27">
        <f>IF(C73=0,0,E73/C73)</f>
        <v>-2.3261795614959748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52185635</v>
      </c>
      <c r="D75" s="26">
        <f>D56+D65+D67+D73</f>
        <v>49591900</v>
      </c>
      <c r="E75" s="26">
        <f>D75-C75</f>
        <v>-2593735</v>
      </c>
      <c r="F75" s="27">
        <f>IF(C75=0,0,E75/C75)</f>
        <v>-4.9702087557236777E-2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70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M25" sqref="M25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92077182</v>
      </c>
      <c r="D11" s="76">
        <v>89233234</v>
      </c>
      <c r="E11" s="76">
        <v>20877506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1321902</v>
      </c>
      <c r="D12" s="185">
        <v>1227015</v>
      </c>
      <c r="E12" s="185">
        <v>574379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93399084</v>
      </c>
      <c r="D13" s="76">
        <f>+D11+D12</f>
        <v>90460249</v>
      </c>
      <c r="E13" s="76">
        <f>+E11+E12</f>
        <v>21451885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94695856</v>
      </c>
      <c r="D14" s="185">
        <v>97291661</v>
      </c>
      <c r="E14" s="185">
        <v>24188620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-1296772</v>
      </c>
      <c r="D15" s="76">
        <f>+D13-D14</f>
        <v>-6831412</v>
      </c>
      <c r="E15" s="76">
        <f>+E13-E14</f>
        <v>-2736735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-2067392</v>
      </c>
      <c r="D16" s="185">
        <v>228655</v>
      </c>
      <c r="E16" s="185">
        <v>-737970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-3364164</v>
      </c>
      <c r="D17" s="76">
        <f>D15+D16</f>
        <v>-6602757</v>
      </c>
      <c r="E17" s="76">
        <f>E15+E16</f>
        <v>-3474705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-1.4198488734885148E-2</v>
      </c>
      <c r="D20" s="189">
        <f>IF(+D27=0,0,+D24/+D27)</f>
        <v>-7.5327980587349477E-2</v>
      </c>
      <c r="E20" s="189">
        <f>IF(+E27=0,0,+E24/+E27)</f>
        <v>-0.13212060588256735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-2.2636085620750354E-2</v>
      </c>
      <c r="D21" s="189">
        <f>IF(+D27=0,0,+D26/+D27)</f>
        <v>2.5213117582719934E-3</v>
      </c>
      <c r="E21" s="189">
        <f>IF(+E27=0,0,+E26/+E27)</f>
        <v>-3.5626775527465473E-2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-3.6834574355635502E-2</v>
      </c>
      <c r="D22" s="189">
        <f>IF(+D27=0,0,+D28/+D27)</f>
        <v>-7.2806668829077478E-2</v>
      </c>
      <c r="E22" s="189">
        <f>IF(+E27=0,0,+E28/+E27)</f>
        <v>-0.16774738141003281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-1296772</v>
      </c>
      <c r="D24" s="76">
        <f>+D15</f>
        <v>-6831412</v>
      </c>
      <c r="E24" s="76">
        <f>+E15</f>
        <v>-2736735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93399084</v>
      </c>
      <c r="D25" s="76">
        <f>+D13</f>
        <v>90460249</v>
      </c>
      <c r="E25" s="76">
        <f>+E13</f>
        <v>21451885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-2067392</v>
      </c>
      <c r="D26" s="76">
        <f>+D16</f>
        <v>228655</v>
      </c>
      <c r="E26" s="76">
        <f>+E16</f>
        <v>-737970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91331692</v>
      </c>
      <c r="D27" s="76">
        <f>SUM(D25:D26)</f>
        <v>90688904</v>
      </c>
      <c r="E27" s="76">
        <f>SUM(E25:E26)</f>
        <v>20713915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-3364164</v>
      </c>
      <c r="D28" s="76">
        <f>+D17</f>
        <v>-6602757</v>
      </c>
      <c r="E28" s="76">
        <f>+E17</f>
        <v>-3474705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-12121840</v>
      </c>
      <c r="D31" s="76">
        <v>-18535995</v>
      </c>
      <c r="E31" s="76">
        <v>123226000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-6904100</v>
      </c>
      <c r="D32" s="76">
        <v>-13542977</v>
      </c>
      <c r="E32" s="76">
        <v>228727000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-3217352</v>
      </c>
      <c r="D33" s="76">
        <f>+D32-C32</f>
        <v>-6638877</v>
      </c>
      <c r="E33" s="76">
        <f>+E32-D32</f>
        <v>242269977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1.8726</v>
      </c>
      <c r="D34" s="193">
        <f>IF(C32=0,0,+D33/C32)</f>
        <v>0.96158471053432015</v>
      </c>
      <c r="E34" s="193">
        <f>IF(D32=0,0,+E33/D32)</f>
        <v>-17.888975001582001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0.35611222344536098</v>
      </c>
      <c r="D38" s="338">
        <f>IF(+D40=0,0,+D39/+D40)</f>
        <v>0.3049795223992593</v>
      </c>
      <c r="E38" s="338">
        <f>IF(+E40=0,0,+E39/+E40)</f>
        <v>1.649544389336985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17849528</v>
      </c>
      <c r="D39" s="341">
        <v>17993815</v>
      </c>
      <c r="E39" s="341">
        <v>296339000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50123323</v>
      </c>
      <c r="D40" s="341">
        <v>59000076</v>
      </c>
      <c r="E40" s="341">
        <v>179649000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6.1003443877513366</v>
      </c>
      <c r="D42" s="343">
        <f>IF((D48/365)=0,0,+D45/(D48/365))</f>
        <v>6.9466348194388052</v>
      </c>
      <c r="E42" s="343">
        <f>IF((E48/365)=0,0,+E45/(E48/365))</f>
        <v>1884.363159957227</v>
      </c>
    </row>
    <row r="43" spans="1:14" ht="24" customHeight="1" x14ac:dyDescent="0.2">
      <c r="A43" s="339">
        <v>5</v>
      </c>
      <c r="B43" s="344" t="s">
        <v>16</v>
      </c>
      <c r="C43" s="345">
        <v>1528751</v>
      </c>
      <c r="D43" s="345">
        <v>1805602</v>
      </c>
      <c r="E43" s="345">
        <v>72316000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49401000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1528751</v>
      </c>
      <c r="D45" s="341">
        <f>+D43+D44</f>
        <v>1805602</v>
      </c>
      <c r="E45" s="341">
        <f>+E43+E44</f>
        <v>121717000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94695856</v>
      </c>
      <c r="D46" s="341">
        <f>+D14</f>
        <v>97291661</v>
      </c>
      <c r="E46" s="341">
        <f>+E14</f>
        <v>24188620</v>
      </c>
    </row>
    <row r="47" spans="1:14" ht="24" customHeight="1" x14ac:dyDescent="0.2">
      <c r="A47" s="339">
        <v>9</v>
      </c>
      <c r="B47" s="340" t="s">
        <v>356</v>
      </c>
      <c r="C47" s="341">
        <v>3226575</v>
      </c>
      <c r="D47" s="341">
        <v>2419144</v>
      </c>
      <c r="E47" s="341">
        <v>612111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91469281</v>
      </c>
      <c r="D48" s="341">
        <f>+D46-D47</f>
        <v>94872517</v>
      </c>
      <c r="E48" s="341">
        <f>+E46-E47</f>
        <v>23576509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34.671359838097565</v>
      </c>
      <c r="D50" s="350">
        <f>IF((D55/365)=0,0,+D54/(D55/365))</f>
        <v>40.086861583432025</v>
      </c>
      <c r="E50" s="350">
        <f>IF((E55/365)=0,0,+E54/(E55/365))</f>
        <v>1989.1729404843663</v>
      </c>
    </row>
    <row r="51" spans="1:5" ht="24" customHeight="1" x14ac:dyDescent="0.2">
      <c r="A51" s="339">
        <v>12</v>
      </c>
      <c r="B51" s="344" t="s">
        <v>359</v>
      </c>
      <c r="C51" s="351">
        <v>11658028</v>
      </c>
      <c r="D51" s="351">
        <v>12246951</v>
      </c>
      <c r="E51" s="351">
        <v>124168000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5513000</v>
      </c>
    </row>
    <row r="53" spans="1:5" ht="24" customHeight="1" x14ac:dyDescent="0.2">
      <c r="A53" s="339">
        <v>14</v>
      </c>
      <c r="B53" s="344" t="s">
        <v>49</v>
      </c>
      <c r="C53" s="341">
        <v>2911614</v>
      </c>
      <c r="D53" s="341">
        <v>2446731</v>
      </c>
      <c r="E53" s="341">
        <v>15903000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8746414</v>
      </c>
      <c r="D54" s="352">
        <f>+D51+D52-D53</f>
        <v>9800220</v>
      </c>
      <c r="E54" s="352">
        <f>+E51+E52-E53</f>
        <v>113778000</v>
      </c>
    </row>
    <row r="55" spans="1:5" ht="24" customHeight="1" x14ac:dyDescent="0.2">
      <c r="A55" s="339">
        <v>16</v>
      </c>
      <c r="B55" s="340" t="s">
        <v>75</v>
      </c>
      <c r="C55" s="341">
        <f>+C11</f>
        <v>92077182</v>
      </c>
      <c r="D55" s="341">
        <f>+D11</f>
        <v>89233234</v>
      </c>
      <c r="E55" s="341">
        <f>+E11</f>
        <v>20877506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200.01264572091694</v>
      </c>
      <c r="D57" s="355">
        <f>IF((D61/365)=0,0,+D58/(D61/365))</f>
        <v>226.98910517995427</v>
      </c>
      <c r="E57" s="355">
        <f>IF((E61/365)=0,0,+E58/(E61/365))</f>
        <v>2781.2380959369348</v>
      </c>
    </row>
    <row r="58" spans="1:5" ht="24" customHeight="1" x14ac:dyDescent="0.2">
      <c r="A58" s="339">
        <v>18</v>
      </c>
      <c r="B58" s="340" t="s">
        <v>54</v>
      </c>
      <c r="C58" s="353">
        <f>+C40</f>
        <v>50123323</v>
      </c>
      <c r="D58" s="353">
        <f>+D40</f>
        <v>59000076</v>
      </c>
      <c r="E58" s="353">
        <f>+E40</f>
        <v>179649000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94695856</v>
      </c>
      <c r="D59" s="353">
        <f t="shared" si="0"/>
        <v>97291661</v>
      </c>
      <c r="E59" s="353">
        <f t="shared" si="0"/>
        <v>24188620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3226575</v>
      </c>
      <c r="D60" s="356">
        <f t="shared" si="0"/>
        <v>2419144</v>
      </c>
      <c r="E60" s="356">
        <f t="shared" si="0"/>
        <v>612111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91469281</v>
      </c>
      <c r="D61" s="353">
        <f>+D59-D60</f>
        <v>94872517</v>
      </c>
      <c r="E61" s="353">
        <f>+E59-E60</f>
        <v>23576509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-13.415264488387521</v>
      </c>
      <c r="D65" s="357">
        <f>IF(D67=0,0,(D66/D67)*100)</f>
        <v>-24.640687118089623</v>
      </c>
      <c r="E65" s="357">
        <f>IF(E67=0,0,(E66/E67)*100)</f>
        <v>21.624164017932607</v>
      </c>
    </row>
    <row r="66" spans="1:5" ht="24" customHeight="1" x14ac:dyDescent="0.2">
      <c r="A66" s="339">
        <v>2</v>
      </c>
      <c r="B66" s="340" t="s">
        <v>67</v>
      </c>
      <c r="C66" s="353">
        <f>+C32</f>
        <v>-6904100</v>
      </c>
      <c r="D66" s="353">
        <f>+D32</f>
        <v>-13542977</v>
      </c>
      <c r="E66" s="353">
        <f>+E32</f>
        <v>228727000</v>
      </c>
    </row>
    <row r="67" spans="1:5" ht="24" customHeight="1" x14ac:dyDescent="0.2">
      <c r="A67" s="339">
        <v>3</v>
      </c>
      <c r="B67" s="340" t="s">
        <v>43</v>
      </c>
      <c r="C67" s="353">
        <v>51464509</v>
      </c>
      <c r="D67" s="353">
        <v>54961848</v>
      </c>
      <c r="E67" s="353">
        <v>1057738000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-0.27450095437606958</v>
      </c>
      <c r="D69" s="357">
        <f>IF(D75=0,0,(D72/D75)*100)</f>
        <v>-6.5808913474713835</v>
      </c>
      <c r="E69" s="357">
        <f>IF(E75=0,0,(E72/E75)*100)</f>
        <v>-0.65685203244570389</v>
      </c>
    </row>
    <row r="70" spans="1:5" ht="24" customHeight="1" x14ac:dyDescent="0.2">
      <c r="A70" s="339">
        <v>5</v>
      </c>
      <c r="B70" s="340" t="s">
        <v>366</v>
      </c>
      <c r="C70" s="353">
        <f>+C28</f>
        <v>-3364164</v>
      </c>
      <c r="D70" s="353">
        <f>+D28</f>
        <v>-6602757</v>
      </c>
      <c r="E70" s="353">
        <f>+E28</f>
        <v>-3474705</v>
      </c>
    </row>
    <row r="71" spans="1:5" ht="24" customHeight="1" x14ac:dyDescent="0.2">
      <c r="A71" s="339">
        <v>6</v>
      </c>
      <c r="B71" s="340" t="s">
        <v>356</v>
      </c>
      <c r="C71" s="356">
        <f>+C47</f>
        <v>3226575</v>
      </c>
      <c r="D71" s="356">
        <f>+D47</f>
        <v>2419144</v>
      </c>
      <c r="E71" s="356">
        <f>+E47</f>
        <v>612111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-137589</v>
      </c>
      <c r="D72" s="353">
        <f>+D70+D71</f>
        <v>-4183613</v>
      </c>
      <c r="E72" s="353">
        <f>+E70+E71</f>
        <v>-2862594</v>
      </c>
    </row>
    <row r="73" spans="1:5" ht="24" customHeight="1" x14ac:dyDescent="0.2">
      <c r="A73" s="339">
        <v>8</v>
      </c>
      <c r="B73" s="340" t="s">
        <v>54</v>
      </c>
      <c r="C73" s="341">
        <f>+C40</f>
        <v>50123323</v>
      </c>
      <c r="D73" s="341">
        <f>+D40</f>
        <v>59000076</v>
      </c>
      <c r="E73" s="341">
        <f>+E40</f>
        <v>179649000</v>
      </c>
    </row>
    <row r="74" spans="1:5" ht="24" customHeight="1" x14ac:dyDescent="0.2">
      <c r="A74" s="339">
        <v>9</v>
      </c>
      <c r="B74" s="340" t="s">
        <v>58</v>
      </c>
      <c r="C74" s="353">
        <v>0</v>
      </c>
      <c r="D74" s="353">
        <v>4572057</v>
      </c>
      <c r="E74" s="353">
        <v>256156000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50123323</v>
      </c>
      <c r="D75" s="341">
        <f>+D73+D74</f>
        <v>63572133</v>
      </c>
      <c r="E75" s="341">
        <f>+E73+E74</f>
        <v>435805000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0</v>
      </c>
      <c r="D77" s="359">
        <f>IF(D80=0,0,(D78/D80)*100)</f>
        <v>-50.965307905989576</v>
      </c>
      <c r="E77" s="359">
        <f>IF(E80=0,0,(E78/E80)*100)</f>
        <v>52.828414277258638</v>
      </c>
    </row>
    <row r="78" spans="1:5" ht="24" customHeight="1" x14ac:dyDescent="0.2">
      <c r="A78" s="339">
        <v>12</v>
      </c>
      <c r="B78" s="340" t="s">
        <v>58</v>
      </c>
      <c r="C78" s="341">
        <f>+C74</f>
        <v>0</v>
      </c>
      <c r="D78" s="341">
        <f>+D74</f>
        <v>4572057</v>
      </c>
      <c r="E78" s="341">
        <f>+E74</f>
        <v>256156000</v>
      </c>
    </row>
    <row r="79" spans="1:5" ht="24" customHeight="1" x14ac:dyDescent="0.2">
      <c r="A79" s="339">
        <v>13</v>
      </c>
      <c r="B79" s="340" t="s">
        <v>67</v>
      </c>
      <c r="C79" s="341">
        <f>+C32</f>
        <v>-6904100</v>
      </c>
      <c r="D79" s="341">
        <f>+D32</f>
        <v>-13542977</v>
      </c>
      <c r="E79" s="341">
        <f>+E32</f>
        <v>228727000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-6904100</v>
      </c>
      <c r="D80" s="341">
        <f>+D78+D79</f>
        <v>-8970920</v>
      </c>
      <c r="E80" s="341">
        <f>+E78+E79</f>
        <v>484883000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75" bottom="0.75" header="0.3" footer="0.3"/>
  <pageSetup scale="78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abSelected="1" zoomScale="75" zoomScaleSheetLayoutView="75" workbookViewId="0">
      <selection activeCell="H31" sqref="H31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7775</v>
      </c>
      <c r="D11" s="376">
        <v>1932</v>
      </c>
      <c r="E11" s="376">
        <v>1921</v>
      </c>
      <c r="F11" s="377">
        <v>36</v>
      </c>
      <c r="G11" s="377">
        <v>59</v>
      </c>
      <c r="H11" s="378">
        <f>IF(F11=0,0,$C11/(F11*365))</f>
        <v>0.59170471841704719</v>
      </c>
      <c r="I11" s="378">
        <f>IF(G11=0,0,$C11/(G11*365))</f>
        <v>0.3610401671697237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1180</v>
      </c>
      <c r="D13" s="376">
        <v>103</v>
      </c>
      <c r="E13" s="376">
        <v>0</v>
      </c>
      <c r="F13" s="377">
        <v>6</v>
      </c>
      <c r="G13" s="377">
        <v>7</v>
      </c>
      <c r="H13" s="378">
        <f>IF(F13=0,0,$C13/(F13*365))</f>
        <v>0.53881278538812782</v>
      </c>
      <c r="I13" s="378">
        <f>IF(G13=0,0,$C13/(G13*365))</f>
        <v>0.46183953033268099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5355</v>
      </c>
      <c r="D16" s="376">
        <v>815</v>
      </c>
      <c r="E16" s="376">
        <v>812</v>
      </c>
      <c r="F16" s="377">
        <v>20</v>
      </c>
      <c r="G16" s="377">
        <v>20</v>
      </c>
      <c r="H16" s="378">
        <f t="shared" si="0"/>
        <v>0.73356164383561639</v>
      </c>
      <c r="I16" s="378">
        <f t="shared" si="0"/>
        <v>0.73356164383561639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5355</v>
      </c>
      <c r="D17" s="381">
        <f>SUM(D15:D16)</f>
        <v>815</v>
      </c>
      <c r="E17" s="381">
        <f>SUM(E15:E16)</f>
        <v>812</v>
      </c>
      <c r="F17" s="381">
        <f>SUM(F15:F16)</f>
        <v>20</v>
      </c>
      <c r="G17" s="381">
        <f>SUM(G15:G16)</f>
        <v>20</v>
      </c>
      <c r="H17" s="382">
        <f t="shared" si="0"/>
        <v>0.73356164383561639</v>
      </c>
      <c r="I17" s="382">
        <f t="shared" si="0"/>
        <v>0.73356164383561639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559</v>
      </c>
      <c r="D21" s="376">
        <v>196</v>
      </c>
      <c r="E21" s="376">
        <v>198</v>
      </c>
      <c r="F21" s="377">
        <v>6</v>
      </c>
      <c r="G21" s="377">
        <v>6</v>
      </c>
      <c r="H21" s="378">
        <f>IF(F21=0,0,$C21/(F21*365))</f>
        <v>0.25525114155251144</v>
      </c>
      <c r="I21" s="378">
        <f>IF(G21=0,0,$C21/(G21*365))</f>
        <v>0.25525114155251144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495</v>
      </c>
      <c r="D23" s="376">
        <v>195</v>
      </c>
      <c r="E23" s="376">
        <v>198</v>
      </c>
      <c r="F23" s="377">
        <v>6</v>
      </c>
      <c r="G23" s="377">
        <v>6</v>
      </c>
      <c r="H23" s="378">
        <f>IF(F23=0,0,$C23/(F23*365))</f>
        <v>0.22602739726027396</v>
      </c>
      <c r="I23" s="378">
        <f>IF(G23=0,0,$C23/(G23*365))</f>
        <v>0.22602739726027396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14869</v>
      </c>
      <c r="D31" s="384">
        <f>SUM(D10:D29)-D13-D17-D23</f>
        <v>2943</v>
      </c>
      <c r="E31" s="384">
        <f>SUM(E10:E29)-E17-E23</f>
        <v>2931</v>
      </c>
      <c r="F31" s="384">
        <f>SUM(F10:F29)-F17-F23</f>
        <v>68</v>
      </c>
      <c r="G31" s="384">
        <f>SUM(G10:G29)-G17-G23</f>
        <v>92</v>
      </c>
      <c r="H31" s="385">
        <f>IF(F31=0,0,$C31/(F31*365))</f>
        <v>0.59907332796132151</v>
      </c>
      <c r="I31" s="385">
        <f>IF(G31=0,0,$C31/(G31*365))</f>
        <v>0.44279332936271593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15364</v>
      </c>
      <c r="D33" s="384">
        <f>SUM(D10:D29)-D13-D17</f>
        <v>3138</v>
      </c>
      <c r="E33" s="384">
        <f>SUM(E10:E29)-E17</f>
        <v>3129</v>
      </c>
      <c r="F33" s="384">
        <f>SUM(F10:F29)-F17</f>
        <v>74</v>
      </c>
      <c r="G33" s="384">
        <f>SUM(G10:G29)-G17</f>
        <v>98</v>
      </c>
      <c r="H33" s="385">
        <f>IF(F33=0,0,$C33/(F33*365))</f>
        <v>0.5688263606071825</v>
      </c>
      <c r="I33" s="385">
        <f>IF(G33=0,0,$C33/(G33*365))</f>
        <v>0.42952194576460723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15364</v>
      </c>
      <c r="D36" s="384">
        <f t="shared" si="1"/>
        <v>3138</v>
      </c>
      <c r="E36" s="384">
        <f t="shared" si="1"/>
        <v>3129</v>
      </c>
      <c r="F36" s="384">
        <f t="shared" si="1"/>
        <v>74</v>
      </c>
      <c r="G36" s="384">
        <f t="shared" si="1"/>
        <v>98</v>
      </c>
      <c r="H36" s="387">
        <f t="shared" si="1"/>
        <v>0.5688263606071825</v>
      </c>
      <c r="I36" s="387">
        <f t="shared" si="1"/>
        <v>0.42952194576460723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15091</v>
      </c>
      <c r="D37" s="384">
        <v>3036</v>
      </c>
      <c r="E37" s="384">
        <v>2747</v>
      </c>
      <c r="F37" s="386">
        <v>70</v>
      </c>
      <c r="G37" s="386">
        <v>95</v>
      </c>
      <c r="H37" s="385">
        <f>IF(F37=0,0,$C37/(F37*365))</f>
        <v>0.59064579256360084</v>
      </c>
      <c r="I37" s="385">
        <f>IF(G37=0,0,$C37/(G37*365))</f>
        <v>0.43521268925739004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273</v>
      </c>
      <c r="D38" s="384">
        <f t="shared" si="2"/>
        <v>102</v>
      </c>
      <c r="E38" s="384">
        <f t="shared" si="2"/>
        <v>382</v>
      </c>
      <c r="F38" s="384">
        <f t="shared" si="2"/>
        <v>4</v>
      </c>
      <c r="G38" s="384">
        <f t="shared" si="2"/>
        <v>3</v>
      </c>
      <c r="H38" s="387">
        <f t="shared" si="2"/>
        <v>-2.1819431956418334E-2</v>
      </c>
      <c r="I38" s="387">
        <f t="shared" si="2"/>
        <v>-5.6907434927828127E-3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1.8090252468358624E-2</v>
      </c>
      <c r="D40" s="389">
        <f t="shared" si="3"/>
        <v>3.3596837944664032E-2</v>
      </c>
      <c r="E40" s="389">
        <f t="shared" si="3"/>
        <v>0.13906079359301055</v>
      </c>
      <c r="F40" s="389">
        <f t="shared" si="3"/>
        <v>5.7142857142857141E-2</v>
      </c>
      <c r="G40" s="389">
        <f t="shared" si="3"/>
        <v>3.1578947368421054E-2</v>
      </c>
      <c r="H40" s="389">
        <f t="shared" si="3"/>
        <v>-3.6941653070471696E-2</v>
      </c>
      <c r="I40" s="389">
        <f t="shared" si="3"/>
        <v>-1.3075775668427807E-2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101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75" bottom="0.75" header="0.3" footer="0.3"/>
  <pageSetup scale="68" fitToWidth="0" orientation="landscape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activeCell="M25" sqref="M25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1638</v>
      </c>
      <c r="D12" s="409">
        <v>1533</v>
      </c>
      <c r="E12" s="409">
        <f>+D12-C12</f>
        <v>-105</v>
      </c>
      <c r="F12" s="410">
        <f>IF(C12=0,0,+E12/C12)</f>
        <v>-6.4102564102564097E-2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1850</v>
      </c>
      <c r="D13" s="409">
        <v>1703</v>
      </c>
      <c r="E13" s="409">
        <f>+D13-C13</f>
        <v>-147</v>
      </c>
      <c r="F13" s="410">
        <f>IF(C13=0,0,+E13/C13)</f>
        <v>-7.9459459459459453E-2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3556</v>
      </c>
      <c r="D14" s="409">
        <v>3601</v>
      </c>
      <c r="E14" s="409">
        <f>+D14-C14</f>
        <v>45</v>
      </c>
      <c r="F14" s="410">
        <f>IF(C14=0,0,+E14/C14)</f>
        <v>1.2654668166479191E-2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7044</v>
      </c>
      <c r="D16" s="401">
        <f>SUM(D12:D15)</f>
        <v>6837</v>
      </c>
      <c r="E16" s="401">
        <f>+D16-C16</f>
        <v>-207</v>
      </c>
      <c r="F16" s="402">
        <f>IF(C16=0,0,+E16/C16)</f>
        <v>-2.9386712095400339E-2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164</v>
      </c>
      <c r="D19" s="409">
        <v>148</v>
      </c>
      <c r="E19" s="409">
        <f>+D19-C19</f>
        <v>-16</v>
      </c>
      <c r="F19" s="410">
        <f>IF(C19=0,0,+E19/C19)</f>
        <v>-9.7560975609756101E-2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1070</v>
      </c>
      <c r="D20" s="409">
        <v>921</v>
      </c>
      <c r="E20" s="409">
        <f>+D20-C20</f>
        <v>-149</v>
      </c>
      <c r="F20" s="410">
        <f>IF(C20=0,0,+E20/C20)</f>
        <v>-0.13925233644859814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53</v>
      </c>
      <c r="D21" s="409">
        <v>43</v>
      </c>
      <c r="E21" s="409">
        <f>+D21-C21</f>
        <v>-10</v>
      </c>
      <c r="F21" s="410">
        <f>IF(C21=0,0,+E21/C21)</f>
        <v>-0.18867924528301888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1287</v>
      </c>
      <c r="D23" s="401">
        <f>SUM(D19:D22)</f>
        <v>1112</v>
      </c>
      <c r="E23" s="401">
        <f>+D23-C23</f>
        <v>-175</v>
      </c>
      <c r="F23" s="402">
        <f>IF(C23=0,0,+E23/C23)</f>
        <v>-0.13597513597513597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453</v>
      </c>
      <c r="D63" s="409">
        <v>369</v>
      </c>
      <c r="E63" s="409">
        <f>+D63-C63</f>
        <v>-84</v>
      </c>
      <c r="F63" s="410">
        <f>IF(C63=0,0,+E63/C63)</f>
        <v>-0.18543046357615894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2059</v>
      </c>
      <c r="D64" s="409">
        <v>2022</v>
      </c>
      <c r="E64" s="409">
        <f>+D64-C64</f>
        <v>-37</v>
      </c>
      <c r="F64" s="410">
        <f>IF(C64=0,0,+E64/C64)</f>
        <v>-1.7969888295288974E-2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2512</v>
      </c>
      <c r="D65" s="401">
        <f>SUM(D63:D64)</f>
        <v>2391</v>
      </c>
      <c r="E65" s="401">
        <f>+D65-C65</f>
        <v>-121</v>
      </c>
      <c r="F65" s="402">
        <f>IF(C65=0,0,+E65/C65)</f>
        <v>-4.8168789808917201E-2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86</v>
      </c>
      <c r="D68" s="409">
        <v>47</v>
      </c>
      <c r="E68" s="409">
        <f>+D68-C68</f>
        <v>-39</v>
      </c>
      <c r="F68" s="410">
        <f>IF(C68=0,0,+E68/C68)</f>
        <v>-0.45348837209302323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2021</v>
      </c>
      <c r="D69" s="409">
        <v>1557</v>
      </c>
      <c r="E69" s="409">
        <f>+D69-C69</f>
        <v>-464</v>
      </c>
      <c r="F69" s="412">
        <f>IF(C69=0,0,+E69/C69)</f>
        <v>-0.22958931222167245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2107</v>
      </c>
      <c r="D70" s="401">
        <f>SUM(D68:D69)</f>
        <v>1604</v>
      </c>
      <c r="E70" s="401">
        <f>+D70-C70</f>
        <v>-503</v>
      </c>
      <c r="F70" s="402">
        <f>IF(C70=0,0,+E70/C70)</f>
        <v>-0.2387280493592786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2297</v>
      </c>
      <c r="D73" s="376">
        <v>2304</v>
      </c>
      <c r="E73" s="409">
        <f>+D73-C73</f>
        <v>7</v>
      </c>
      <c r="F73" s="410">
        <f>IF(C73=0,0,+E73/C73)</f>
        <v>3.0474531998258597E-3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16629</v>
      </c>
      <c r="D74" s="376">
        <v>16750</v>
      </c>
      <c r="E74" s="409">
        <f>+D74-C74</f>
        <v>121</v>
      </c>
      <c r="F74" s="410">
        <f>IF(C74=0,0,+E74/C74)</f>
        <v>7.2764447651692829E-3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18926</v>
      </c>
      <c r="D75" s="401">
        <f>SUM(D73:D74)</f>
        <v>19054</v>
      </c>
      <c r="E75" s="401">
        <f>SUM(E73:E74)</f>
        <v>128</v>
      </c>
      <c r="F75" s="402">
        <f>IF(C75=0,0,+E75/C75)</f>
        <v>6.7631829229631195E-3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0</v>
      </c>
      <c r="D92" s="381">
        <f>SUM(D79:D91)</f>
        <v>0</v>
      </c>
      <c r="E92" s="401">
        <f t="shared" si="0"/>
        <v>0</v>
      </c>
      <c r="F92" s="402">
        <f t="shared" si="1"/>
        <v>0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2201</v>
      </c>
      <c r="D95" s="414">
        <v>2236</v>
      </c>
      <c r="E95" s="415">
        <f t="shared" ref="E95:E100" si="2">+D95-C95</f>
        <v>35</v>
      </c>
      <c r="F95" s="412">
        <f t="shared" ref="F95:F100" si="3">IF(C95=0,0,+E95/C95)</f>
        <v>1.5901862789641071E-2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2843</v>
      </c>
      <c r="D96" s="414">
        <v>3247</v>
      </c>
      <c r="E96" s="409">
        <f t="shared" si="2"/>
        <v>404</v>
      </c>
      <c r="F96" s="410">
        <f t="shared" si="3"/>
        <v>0.14210341188884981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1665</v>
      </c>
      <c r="D97" s="414">
        <v>1149</v>
      </c>
      <c r="E97" s="409">
        <f t="shared" si="2"/>
        <v>-516</v>
      </c>
      <c r="F97" s="410">
        <f t="shared" si="3"/>
        <v>-0.30990990990990991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959</v>
      </c>
      <c r="D98" s="414">
        <v>196</v>
      </c>
      <c r="E98" s="409">
        <f t="shared" si="2"/>
        <v>-763</v>
      </c>
      <c r="F98" s="410">
        <f t="shared" si="3"/>
        <v>-0.79562043795620441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73156</v>
      </c>
      <c r="D99" s="414">
        <v>45399</v>
      </c>
      <c r="E99" s="409">
        <f t="shared" si="2"/>
        <v>-27757</v>
      </c>
      <c r="F99" s="410">
        <f t="shared" si="3"/>
        <v>-0.37942205697413744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80824</v>
      </c>
      <c r="D100" s="381">
        <f>SUM(D95:D99)</f>
        <v>52227</v>
      </c>
      <c r="E100" s="401">
        <f t="shared" si="2"/>
        <v>-28597</v>
      </c>
      <c r="F100" s="402">
        <f t="shared" si="3"/>
        <v>-0.35381817281995448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113.6</v>
      </c>
      <c r="D104" s="416">
        <v>111.6</v>
      </c>
      <c r="E104" s="417">
        <f>+D104-C104</f>
        <v>-2</v>
      </c>
      <c r="F104" s="410">
        <f>IF(C104=0,0,+E104/C104)</f>
        <v>-1.7605633802816902E-2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0</v>
      </c>
      <c r="D105" s="416">
        <v>0</v>
      </c>
      <c r="E105" s="417">
        <f>+D105-C105</f>
        <v>0</v>
      </c>
      <c r="F105" s="410">
        <f>IF(C105=0,0,+E105/C105)</f>
        <v>0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337.7</v>
      </c>
      <c r="D106" s="416">
        <v>344.7</v>
      </c>
      <c r="E106" s="417">
        <f>+D106-C106</f>
        <v>7</v>
      </c>
      <c r="F106" s="410">
        <f>IF(C106=0,0,+E106/C106)</f>
        <v>2.0728457210541902E-2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451.29999999999995</v>
      </c>
      <c r="D107" s="418">
        <f>SUM(D104:D106)</f>
        <v>456.29999999999995</v>
      </c>
      <c r="E107" s="418">
        <f>+D107-C107</f>
        <v>5</v>
      </c>
      <c r="F107" s="402">
        <f>IF(C107=0,0,+E107/C107)</f>
        <v>1.1079104808331488E-2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75" bottom="0.75" header="0.3" footer="0.3"/>
  <pageSetup scale="74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opLeftCell="A4" zoomScale="75" zoomScaleSheetLayoutView="90" workbookViewId="0">
      <selection activeCell="M25" sqref="M25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871</v>
      </c>
      <c r="D12" s="409">
        <v>645</v>
      </c>
      <c r="E12" s="409">
        <f>+D12-C12</f>
        <v>-226</v>
      </c>
      <c r="F12" s="410">
        <f>IF(C12=0,0,+E12/C12)</f>
        <v>-0.25947187141216993</v>
      </c>
    </row>
    <row r="13" spans="1:6" ht="15.75" customHeight="1" x14ac:dyDescent="0.2">
      <c r="A13" s="374">
        <v>2</v>
      </c>
      <c r="B13" s="408" t="s">
        <v>622</v>
      </c>
      <c r="C13" s="409">
        <v>1188</v>
      </c>
      <c r="D13" s="409">
        <v>1377</v>
      </c>
      <c r="E13" s="409">
        <f>+D13-C13</f>
        <v>189</v>
      </c>
      <c r="F13" s="410">
        <f>IF(C13=0,0,+E13/C13)</f>
        <v>0.15909090909090909</v>
      </c>
    </row>
    <row r="14" spans="1:6" ht="15.75" customHeight="1" x14ac:dyDescent="0.25">
      <c r="A14" s="374"/>
      <c r="B14" s="399" t="s">
        <v>623</v>
      </c>
      <c r="C14" s="401">
        <f>SUM(C11:C13)</f>
        <v>2059</v>
      </c>
      <c r="D14" s="401">
        <f>SUM(D11:D13)</f>
        <v>2022</v>
      </c>
      <c r="E14" s="401">
        <f>+D14-C14</f>
        <v>-37</v>
      </c>
      <c r="F14" s="402">
        <f>IF(C14=0,0,+E14/C14)</f>
        <v>-1.7969888295288974E-2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621</v>
      </c>
      <c r="C17" s="409">
        <v>1208</v>
      </c>
      <c r="D17" s="409">
        <v>966</v>
      </c>
      <c r="E17" s="409">
        <f>+D17-C17</f>
        <v>-242</v>
      </c>
      <c r="F17" s="410">
        <f>IF(C17=0,0,+E17/C17)</f>
        <v>-0.20033112582781457</v>
      </c>
    </row>
    <row r="18" spans="1:6" ht="15.75" customHeight="1" x14ac:dyDescent="0.2">
      <c r="A18" s="374">
        <v>2</v>
      </c>
      <c r="B18" s="408" t="s">
        <v>624</v>
      </c>
      <c r="C18" s="409">
        <v>813</v>
      </c>
      <c r="D18" s="409">
        <v>591</v>
      </c>
      <c r="E18" s="409">
        <f>+D18-C18</f>
        <v>-222</v>
      </c>
      <c r="F18" s="410">
        <f>IF(C18=0,0,+E18/C18)</f>
        <v>-0.27306273062730629</v>
      </c>
    </row>
    <row r="19" spans="1:6" ht="15.75" customHeight="1" x14ac:dyDescent="0.25">
      <c r="A19" s="374"/>
      <c r="B19" s="399" t="s">
        <v>625</v>
      </c>
      <c r="C19" s="401">
        <f>SUM(C16:C18)</f>
        <v>2021</v>
      </c>
      <c r="D19" s="401">
        <f>SUM(D16:D18)</f>
        <v>1557</v>
      </c>
      <c r="E19" s="401">
        <f>+D19-C19</f>
        <v>-464</v>
      </c>
      <c r="F19" s="402">
        <f>IF(C19=0,0,+E19/C19)</f>
        <v>-0.22958931222167245</v>
      </c>
    </row>
    <row r="20" spans="1:6" ht="15.75" customHeight="1" x14ac:dyDescent="0.25">
      <c r="A20" s="136"/>
      <c r="B20" s="399"/>
      <c r="C20" s="401"/>
      <c r="D20" s="401"/>
      <c r="E20" s="401"/>
      <c r="F20" s="402"/>
    </row>
    <row r="21" spans="1:6" ht="15.75" customHeight="1" x14ac:dyDescent="0.25">
      <c r="A21" s="136" t="s">
        <v>36</v>
      </c>
      <c r="B21" s="406" t="s">
        <v>626</v>
      </c>
      <c r="C21" s="409"/>
      <c r="D21" s="409"/>
      <c r="E21" s="409"/>
      <c r="F21" s="410"/>
    </row>
    <row r="22" spans="1:6" ht="15.75" customHeight="1" x14ac:dyDescent="0.2">
      <c r="A22" s="374">
        <v>1</v>
      </c>
      <c r="B22" s="408" t="s">
        <v>621</v>
      </c>
      <c r="C22" s="409">
        <v>16629</v>
      </c>
      <c r="D22" s="409">
        <v>16750</v>
      </c>
      <c r="E22" s="409">
        <f>+D22-C22</f>
        <v>121</v>
      </c>
      <c r="F22" s="410">
        <f>IF(C22=0,0,+E22/C22)</f>
        <v>7.2764447651692829E-3</v>
      </c>
    </row>
    <row r="23" spans="1:6" ht="15.75" customHeight="1" x14ac:dyDescent="0.25">
      <c r="A23" s="374"/>
      <c r="B23" s="399" t="s">
        <v>627</v>
      </c>
      <c r="C23" s="401">
        <f>SUM(C21:C22)</f>
        <v>16629</v>
      </c>
      <c r="D23" s="401">
        <f>SUM(D21:D22)</f>
        <v>16750</v>
      </c>
      <c r="E23" s="401">
        <f>+D23-C23</f>
        <v>121</v>
      </c>
      <c r="F23" s="402">
        <f>IF(C23=0,0,+E23/C23)</f>
        <v>7.2764447651692829E-3</v>
      </c>
    </row>
    <row r="24" spans="1:6" ht="15.75" customHeight="1" x14ac:dyDescent="0.25">
      <c r="A24" s="136"/>
      <c r="B24" s="399"/>
      <c r="C24" s="401"/>
      <c r="D24" s="401"/>
      <c r="E24" s="401"/>
      <c r="F24" s="402"/>
    </row>
    <row r="25" spans="1:6" ht="15.75" customHeight="1" x14ac:dyDescent="0.25">
      <c r="B25" s="810" t="s">
        <v>628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629</v>
      </c>
      <c r="C27" s="811"/>
      <c r="D27" s="811"/>
      <c r="E27" s="811"/>
      <c r="F27" s="812"/>
    </row>
    <row r="28" spans="1:6" ht="15.75" customHeight="1" x14ac:dyDescent="0.25">
      <c r="A28" s="392"/>
    </row>
    <row r="29" spans="1:6" ht="15.75" customHeight="1" x14ac:dyDescent="0.25">
      <c r="B29" s="810" t="s">
        <v>630</v>
      </c>
      <c r="C29" s="811"/>
      <c r="D29" s="811"/>
      <c r="E29" s="811"/>
      <c r="F29" s="812"/>
    </row>
    <row r="30" spans="1:6" ht="15.75" customHeight="1" x14ac:dyDescent="0.25">
      <c r="A30" s="392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75" bottom="0.75" header="0.3" footer="0.3"/>
  <pageSetup scale="82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M25" sqref="M25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631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632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633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634</v>
      </c>
      <c r="D7" s="426" t="s">
        <v>634</v>
      </c>
      <c r="E7" s="426" t="s">
        <v>635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636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637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638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639</v>
      </c>
      <c r="C15" s="448">
        <v>35193711</v>
      </c>
      <c r="D15" s="448">
        <v>32649626</v>
      </c>
      <c r="E15" s="448">
        <f t="shared" ref="E15:E24" si="0">D15-C15</f>
        <v>-2544085</v>
      </c>
      <c r="F15" s="449">
        <f t="shared" ref="F15:F24" si="1">IF(C15=0,0,E15/C15)</f>
        <v>-7.2288057374796308E-2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640</v>
      </c>
      <c r="C16" s="448">
        <v>12879364</v>
      </c>
      <c r="D16" s="448">
        <v>11059539</v>
      </c>
      <c r="E16" s="448">
        <f t="shared" si="0"/>
        <v>-1819825</v>
      </c>
      <c r="F16" s="449">
        <f t="shared" si="1"/>
        <v>-0.14129773799389472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641</v>
      </c>
      <c r="C17" s="453">
        <f>IF(C15=0,0,C16/C15)</f>
        <v>0.36595640624542264</v>
      </c>
      <c r="D17" s="453">
        <f>IF(LN_IA1=0,0,LN_IA2/LN_IA1)</f>
        <v>0.33873401796394237</v>
      </c>
      <c r="E17" s="454">
        <f t="shared" si="0"/>
        <v>-2.722238828148027E-2</v>
      </c>
      <c r="F17" s="449">
        <f t="shared" si="1"/>
        <v>-7.4386970187984694E-2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1477</v>
      </c>
      <c r="D18" s="456">
        <v>1433</v>
      </c>
      <c r="E18" s="456">
        <f t="shared" si="0"/>
        <v>-44</v>
      </c>
      <c r="F18" s="449">
        <f t="shared" si="1"/>
        <v>-2.979011509817197E-2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642</v>
      </c>
      <c r="C19" s="459">
        <v>1.2758</v>
      </c>
      <c r="D19" s="459">
        <v>1.2533000000000001</v>
      </c>
      <c r="E19" s="460">
        <f t="shared" si="0"/>
        <v>-2.2499999999999964E-2</v>
      </c>
      <c r="F19" s="449">
        <f t="shared" si="1"/>
        <v>-1.7635993102367114E-2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643</v>
      </c>
      <c r="C20" s="463">
        <f>C18*C19</f>
        <v>1884.3566000000001</v>
      </c>
      <c r="D20" s="463">
        <f>LN_IA4*LN_IA5</f>
        <v>1795.9789000000001</v>
      </c>
      <c r="E20" s="463">
        <f t="shared" si="0"/>
        <v>-88.377700000000004</v>
      </c>
      <c r="F20" s="449">
        <f t="shared" si="1"/>
        <v>-4.6900729936149028E-2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644</v>
      </c>
      <c r="C21" s="465">
        <f>IF(C20=0,0,C16/C20)</f>
        <v>6834.8867724930615</v>
      </c>
      <c r="D21" s="465">
        <f>IF(LN_IA6=0,0,LN_IA2/LN_IA6)</f>
        <v>6157.9448399978419</v>
      </c>
      <c r="E21" s="465">
        <f t="shared" si="0"/>
        <v>-676.94193249521959</v>
      </c>
      <c r="F21" s="449">
        <f t="shared" si="1"/>
        <v>-9.9042157540863165E-2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8276</v>
      </c>
      <c r="D22" s="456">
        <v>7675</v>
      </c>
      <c r="E22" s="456">
        <f t="shared" si="0"/>
        <v>-601</v>
      </c>
      <c r="F22" s="449">
        <f t="shared" si="1"/>
        <v>-7.2619623006283232E-2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645</v>
      </c>
      <c r="C23" s="465">
        <f>IF(C22=0,0,C16/C22)</f>
        <v>1556.230546157564</v>
      </c>
      <c r="D23" s="465">
        <f>IF(LN_IA8=0,0,LN_IA2/LN_IA8)</f>
        <v>1440.9822801302932</v>
      </c>
      <c r="E23" s="465">
        <f t="shared" si="0"/>
        <v>-115.2482660272708</v>
      </c>
      <c r="F23" s="449">
        <f t="shared" si="1"/>
        <v>-7.4056036434849828E-2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646</v>
      </c>
      <c r="C24" s="466">
        <f>IF(C18=0,0,C22/C18)</f>
        <v>5.6032498307379823</v>
      </c>
      <c r="D24" s="466">
        <f>IF(LN_IA4=0,0,LN_IA8/LN_IA4)</f>
        <v>5.3558967201674808</v>
      </c>
      <c r="E24" s="466">
        <f t="shared" si="0"/>
        <v>-0.24735311057050158</v>
      </c>
      <c r="F24" s="449">
        <f t="shared" si="1"/>
        <v>-4.4144580028109094E-2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647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648</v>
      </c>
      <c r="C27" s="448">
        <v>43468093</v>
      </c>
      <c r="D27" s="448">
        <v>47610438</v>
      </c>
      <c r="E27" s="448">
        <f t="shared" ref="E27:E32" si="2">D27-C27</f>
        <v>4142345</v>
      </c>
      <c r="F27" s="449">
        <f t="shared" ref="F27:F32" si="3">IF(C27=0,0,E27/C27)</f>
        <v>9.5296221069555542E-2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649</v>
      </c>
      <c r="C28" s="448">
        <v>10142326</v>
      </c>
      <c r="D28" s="448">
        <v>10840227</v>
      </c>
      <c r="E28" s="448">
        <f t="shared" si="2"/>
        <v>697901</v>
      </c>
      <c r="F28" s="449">
        <f t="shared" si="3"/>
        <v>6.8810744202069618E-2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650</v>
      </c>
      <c r="C29" s="453">
        <f>IF(C27=0,0,C28/C27)</f>
        <v>0.23332806433445333</v>
      </c>
      <c r="D29" s="453">
        <f>IF(LN_IA11=0,0,LN_IA12/LN_IA11)</f>
        <v>0.2276859330720713</v>
      </c>
      <c r="E29" s="454">
        <f t="shared" si="2"/>
        <v>-5.6421312623820274E-3</v>
      </c>
      <c r="F29" s="449">
        <f t="shared" si="3"/>
        <v>-2.4181108596926324E-2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651</v>
      </c>
      <c r="C30" s="453">
        <f>IF(C15=0,0,C27/C15)</f>
        <v>1.2351096762714224</v>
      </c>
      <c r="D30" s="453">
        <f>IF(LN_IA1=0,0,LN_IA11/LN_IA1)</f>
        <v>1.4582230742857514</v>
      </c>
      <c r="E30" s="454">
        <f t="shared" si="2"/>
        <v>0.22311339801432895</v>
      </c>
      <c r="F30" s="449">
        <f t="shared" si="3"/>
        <v>0.18064257960302668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652</v>
      </c>
      <c r="C31" s="463">
        <f>C30*C18</f>
        <v>1824.2569918528909</v>
      </c>
      <c r="D31" s="463">
        <f>LN_IA14*LN_IA4</f>
        <v>2089.6336654514816</v>
      </c>
      <c r="E31" s="463">
        <f t="shared" si="2"/>
        <v>265.37667359859074</v>
      </c>
      <c r="F31" s="449">
        <f t="shared" si="3"/>
        <v>0.14547110126684984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653</v>
      </c>
      <c r="C32" s="465">
        <f>IF(C31=0,0,C28/C31)</f>
        <v>5559.702413254</v>
      </c>
      <c r="D32" s="465">
        <f>IF(LN_IA15=0,0,LN_IA12/LN_IA15)</f>
        <v>5187.6207678047167</v>
      </c>
      <c r="E32" s="465">
        <f t="shared" si="2"/>
        <v>-372.08164544928331</v>
      </c>
      <c r="F32" s="449">
        <f t="shared" si="3"/>
        <v>-6.692474125274453E-2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654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655</v>
      </c>
      <c r="C35" s="448">
        <f>C15+C27</f>
        <v>78661804</v>
      </c>
      <c r="D35" s="448">
        <f>LN_IA1+LN_IA11</f>
        <v>80260064</v>
      </c>
      <c r="E35" s="448">
        <f>D35-C35</f>
        <v>1598260</v>
      </c>
      <c r="F35" s="449">
        <f>IF(C35=0,0,E35/C35)</f>
        <v>2.031812034211674E-2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656</v>
      </c>
      <c r="C36" s="448">
        <f>C16+C28</f>
        <v>23021690</v>
      </c>
      <c r="D36" s="448">
        <f>LN_IA2+LN_IA12</f>
        <v>21899766</v>
      </c>
      <c r="E36" s="448">
        <f>D36-C36</f>
        <v>-1121924</v>
      </c>
      <c r="F36" s="449">
        <f>IF(C36=0,0,E36/C36)</f>
        <v>-4.8733346683062798E-2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657</v>
      </c>
      <c r="C37" s="448">
        <f>C35-C36</f>
        <v>55640114</v>
      </c>
      <c r="D37" s="448">
        <f>LN_IA17-LN_IA18</f>
        <v>58360298</v>
      </c>
      <c r="E37" s="448">
        <f>D37-C37</f>
        <v>2720184</v>
      </c>
      <c r="F37" s="449">
        <f>IF(C37=0,0,E37/C37)</f>
        <v>4.8888900551138335E-2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658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659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639</v>
      </c>
      <c r="C42" s="448">
        <v>13017227</v>
      </c>
      <c r="D42" s="448">
        <v>11001032</v>
      </c>
      <c r="E42" s="448">
        <f t="shared" ref="E42:E53" si="4">D42-C42</f>
        <v>-2016195</v>
      </c>
      <c r="F42" s="449">
        <f t="shared" ref="F42:F53" si="5">IF(C42=0,0,E42/C42)</f>
        <v>-0.15488667440461781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640</v>
      </c>
      <c r="C43" s="448">
        <v>8287534</v>
      </c>
      <c r="D43" s="448">
        <v>7240604</v>
      </c>
      <c r="E43" s="448">
        <f t="shared" si="4"/>
        <v>-1046930</v>
      </c>
      <c r="F43" s="449">
        <f t="shared" si="5"/>
        <v>-0.12632587691344616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641</v>
      </c>
      <c r="C44" s="453">
        <f>IF(C42=0,0,C43/C42)</f>
        <v>0.63665894433584047</v>
      </c>
      <c r="D44" s="453">
        <f>IF(LN_IB1=0,0,LN_IB2/LN_IB1)</f>
        <v>0.65817497849292683</v>
      </c>
      <c r="E44" s="454">
        <f t="shared" si="4"/>
        <v>2.1516034157086361E-2</v>
      </c>
      <c r="F44" s="449">
        <f t="shared" si="5"/>
        <v>3.3795227960759719E-2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831</v>
      </c>
      <c r="D45" s="456">
        <v>793</v>
      </c>
      <c r="E45" s="456">
        <f t="shared" si="4"/>
        <v>-38</v>
      </c>
      <c r="F45" s="449">
        <f t="shared" si="5"/>
        <v>-4.5728038507821901E-2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642</v>
      </c>
      <c r="C46" s="459">
        <v>1.0250999999999999</v>
      </c>
      <c r="D46" s="459">
        <v>1.0099</v>
      </c>
      <c r="E46" s="460">
        <f t="shared" si="4"/>
        <v>-1.519999999999988E-2</v>
      </c>
      <c r="F46" s="449">
        <f t="shared" si="5"/>
        <v>-1.482782167593394E-2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643</v>
      </c>
      <c r="C47" s="463">
        <f>C45*C46</f>
        <v>851.85809999999992</v>
      </c>
      <c r="D47" s="463">
        <f>LN_IB4*LN_IB5</f>
        <v>800.85069999999996</v>
      </c>
      <c r="E47" s="463">
        <f t="shared" si="4"/>
        <v>-51.007399999999961</v>
      </c>
      <c r="F47" s="449">
        <f t="shared" si="5"/>
        <v>-5.9877812983171685E-2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644</v>
      </c>
      <c r="C48" s="465">
        <f>IF(C47=0,0,C43/C47)</f>
        <v>9728.7729024352775</v>
      </c>
      <c r="D48" s="465">
        <f>IF(LN_IB6=0,0,LN_IB2/LN_IB6)</f>
        <v>9041.1408768201127</v>
      </c>
      <c r="E48" s="465">
        <f t="shared" si="4"/>
        <v>-687.63202561516482</v>
      </c>
      <c r="F48" s="449">
        <f t="shared" si="5"/>
        <v>-7.0680242257791709E-2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660</v>
      </c>
      <c r="C49" s="465">
        <f>C21-C48</f>
        <v>-2893.886129942216</v>
      </c>
      <c r="D49" s="465">
        <f>LN_IA7-LN_IB7</f>
        <v>-2883.1960368222708</v>
      </c>
      <c r="E49" s="465">
        <f t="shared" si="4"/>
        <v>10.690093119945232</v>
      </c>
      <c r="F49" s="449">
        <f t="shared" si="5"/>
        <v>-3.6940268690387923E-3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661</v>
      </c>
      <c r="C50" s="479">
        <f>C49*C47</f>
        <v>-2465180.340268929</v>
      </c>
      <c r="D50" s="479">
        <f>LN_IB8*LN_IB6</f>
        <v>-2309009.5643263413</v>
      </c>
      <c r="E50" s="479">
        <f t="shared" si="4"/>
        <v>156170.77594258776</v>
      </c>
      <c r="F50" s="449">
        <f t="shared" si="5"/>
        <v>-6.3350649602191347E-2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3460</v>
      </c>
      <c r="D51" s="456">
        <v>3167</v>
      </c>
      <c r="E51" s="456">
        <f t="shared" si="4"/>
        <v>-293</v>
      </c>
      <c r="F51" s="449">
        <f t="shared" si="5"/>
        <v>-8.4682080924855491E-2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645</v>
      </c>
      <c r="C52" s="465">
        <f>IF(C51=0,0,C43/C51)</f>
        <v>2395.2410404624279</v>
      </c>
      <c r="D52" s="465">
        <f>IF(LN_IB10=0,0,LN_IB2/LN_IB10)</f>
        <v>2286.2658667508686</v>
      </c>
      <c r="E52" s="465">
        <f t="shared" si="4"/>
        <v>-108.97517371155936</v>
      </c>
      <c r="F52" s="449">
        <f t="shared" si="5"/>
        <v>-4.5496537455170065E-2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646</v>
      </c>
      <c r="C53" s="466">
        <f>IF(C45=0,0,C51/C45)</f>
        <v>4.1636582430806257</v>
      </c>
      <c r="D53" s="466">
        <f>IF(LN_IB4=0,0,LN_IB10/LN_IB4)</f>
        <v>3.9936948297604036</v>
      </c>
      <c r="E53" s="466">
        <f t="shared" si="4"/>
        <v>-0.16996341332022213</v>
      </c>
      <c r="F53" s="449">
        <f t="shared" si="5"/>
        <v>-4.0820692621128495E-2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662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648</v>
      </c>
      <c r="C56" s="448">
        <v>46103906</v>
      </c>
      <c r="D56" s="448">
        <v>43727752</v>
      </c>
      <c r="E56" s="448">
        <f t="shared" ref="E56:E63" si="6">D56-C56</f>
        <v>-2376154</v>
      </c>
      <c r="F56" s="449">
        <f t="shared" ref="F56:F63" si="7">IF(C56=0,0,E56/C56)</f>
        <v>-5.1539103866817704E-2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649</v>
      </c>
      <c r="C57" s="448">
        <v>24852890</v>
      </c>
      <c r="D57" s="448">
        <v>22676889</v>
      </c>
      <c r="E57" s="448">
        <f t="shared" si="6"/>
        <v>-2176001</v>
      </c>
      <c r="F57" s="449">
        <f t="shared" si="7"/>
        <v>-8.7555250113769467E-2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650</v>
      </c>
      <c r="C58" s="453">
        <f>IF(C56=0,0,C57/C56)</f>
        <v>0.53906256879840075</v>
      </c>
      <c r="D58" s="453">
        <f>IF(LN_IB13=0,0,LN_IB14/LN_IB13)</f>
        <v>0.51859260910554017</v>
      </c>
      <c r="E58" s="454">
        <f t="shared" si="6"/>
        <v>-2.0469959692860584E-2</v>
      </c>
      <c r="F58" s="449">
        <f t="shared" si="7"/>
        <v>-3.797325371429372E-2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651</v>
      </c>
      <c r="C59" s="453">
        <f>IF(C42=0,0,C56/C42)</f>
        <v>3.5417609295743246</v>
      </c>
      <c r="D59" s="453">
        <f>IF(LN_IB1=0,0,LN_IB13/LN_IB1)</f>
        <v>3.9748772660601297</v>
      </c>
      <c r="E59" s="454">
        <f t="shared" si="6"/>
        <v>0.43311633648580505</v>
      </c>
      <c r="F59" s="449">
        <f t="shared" si="7"/>
        <v>0.1222884167220909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652</v>
      </c>
      <c r="C60" s="463">
        <f>C59*C45</f>
        <v>2943.2033324762638</v>
      </c>
      <c r="D60" s="463">
        <f>LN_IB16*LN_IB4</f>
        <v>3152.0776719856826</v>
      </c>
      <c r="E60" s="463">
        <f t="shared" si="6"/>
        <v>208.87433950941886</v>
      </c>
      <c r="F60" s="449">
        <f t="shared" si="7"/>
        <v>7.0968368785340588E-2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653</v>
      </c>
      <c r="C61" s="465">
        <f>IF(C60=0,0,C57/C60)</f>
        <v>8444.1634479565582</v>
      </c>
      <c r="D61" s="465">
        <f>IF(LN_IB17=0,0,LN_IB14/LN_IB17)</f>
        <v>7194.2671976463289</v>
      </c>
      <c r="E61" s="465">
        <f t="shared" si="6"/>
        <v>-1249.8962503102293</v>
      </c>
      <c r="F61" s="449">
        <f t="shared" si="7"/>
        <v>-0.14801895510593147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663</v>
      </c>
      <c r="C62" s="465">
        <f>C32-C61</f>
        <v>-2884.4610347025582</v>
      </c>
      <c r="D62" s="465">
        <f>LN_IA16-LN_IB18</f>
        <v>-2006.6464298416122</v>
      </c>
      <c r="E62" s="465">
        <f t="shared" si="6"/>
        <v>877.81460486094602</v>
      </c>
      <c r="F62" s="449">
        <f t="shared" si="7"/>
        <v>-0.30432534684992374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664</v>
      </c>
      <c r="C63" s="448">
        <f>C62*C60</f>
        <v>-8489555.3297345005</v>
      </c>
      <c r="D63" s="448">
        <f>LN_IB19*LN_IB17</f>
        <v>-6325105.4070735304</v>
      </c>
      <c r="E63" s="448">
        <f t="shared" si="6"/>
        <v>2164449.9226609701</v>
      </c>
      <c r="F63" s="449">
        <f t="shared" si="7"/>
        <v>-0.25495445151055518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665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655</v>
      </c>
      <c r="C66" s="448">
        <f>C42+C56</f>
        <v>59121133</v>
      </c>
      <c r="D66" s="448">
        <f>LN_IB1+LN_IB13</f>
        <v>54728784</v>
      </c>
      <c r="E66" s="448">
        <f>D66-C66</f>
        <v>-4392349</v>
      </c>
      <c r="F66" s="449">
        <f>IF(C66=0,0,E66/C66)</f>
        <v>-7.4294059959913145E-2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656</v>
      </c>
      <c r="C67" s="448">
        <f>C43+C57</f>
        <v>33140424</v>
      </c>
      <c r="D67" s="448">
        <f>LN_IB2+LN_IB14</f>
        <v>29917493</v>
      </c>
      <c r="E67" s="448">
        <f>D67-C67</f>
        <v>-3222931</v>
      </c>
      <c r="F67" s="449">
        <f>IF(C67=0,0,E67/C67)</f>
        <v>-9.7250747304862481E-2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657</v>
      </c>
      <c r="C68" s="448">
        <f>C66-C67</f>
        <v>25980709</v>
      </c>
      <c r="D68" s="448">
        <f>LN_IB21-LN_IB22</f>
        <v>24811291</v>
      </c>
      <c r="E68" s="448">
        <f>D68-C68</f>
        <v>-1169418</v>
      </c>
      <c r="F68" s="449">
        <f>IF(C68=0,0,E68/C68)</f>
        <v>-4.5011011824196173E-2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666</v>
      </c>
      <c r="C70" s="441">
        <f>C50+C63</f>
        <v>-10954735.670003429</v>
      </c>
      <c r="D70" s="441">
        <f>LN_IB9+LN_IB20</f>
        <v>-8634114.9713998716</v>
      </c>
      <c r="E70" s="448">
        <f>D70-C70</f>
        <v>2320620.6986035574</v>
      </c>
      <c r="F70" s="449">
        <f>IF(C70=0,0,E70/C70)</f>
        <v>-0.21183721529292099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667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668</v>
      </c>
      <c r="C73" s="488">
        <v>54974285</v>
      </c>
      <c r="D73" s="488">
        <v>48576137</v>
      </c>
      <c r="E73" s="488">
        <f>D73-C73</f>
        <v>-6398148</v>
      </c>
      <c r="F73" s="489">
        <f>IF(C73=0,0,E73/C73)</f>
        <v>-0.11638437862356918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669</v>
      </c>
      <c r="C74" s="488">
        <v>35230262</v>
      </c>
      <c r="D74" s="488">
        <v>28275272</v>
      </c>
      <c r="E74" s="488">
        <f>D74-C74</f>
        <v>-6954990</v>
      </c>
      <c r="F74" s="489">
        <f>IF(C74=0,0,E74/C74)</f>
        <v>-0.19741522217461793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670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671</v>
      </c>
      <c r="C76" s="441">
        <f>C73-C74</f>
        <v>19744023</v>
      </c>
      <c r="D76" s="441">
        <f>LN_IB32-LN_IB33</f>
        <v>20300865</v>
      </c>
      <c r="E76" s="488">
        <f>D76-C76</f>
        <v>556842</v>
      </c>
      <c r="F76" s="489">
        <f>IF(E76=0,0,E76/C76)</f>
        <v>2.8203066821792095E-2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672</v>
      </c>
      <c r="C77" s="453">
        <f>IF(C73=0,0,C76/C73)</f>
        <v>0.35915015538628653</v>
      </c>
      <c r="D77" s="453">
        <f>IF(LN_IB32=0,0,LN_IB34/LN_IB32)</f>
        <v>0.4179184730148468</v>
      </c>
      <c r="E77" s="493">
        <f>D77-C77</f>
        <v>5.8768317628560274E-2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673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674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639</v>
      </c>
      <c r="C83" s="448">
        <v>706618</v>
      </c>
      <c r="D83" s="448">
        <v>566385</v>
      </c>
      <c r="E83" s="448">
        <f t="shared" ref="E83:E95" si="8">D83-C83</f>
        <v>-140233</v>
      </c>
      <c r="F83" s="449">
        <f t="shared" ref="F83:F95" si="9">IF(C83=0,0,E83/C83)</f>
        <v>-0.19845659182188963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640</v>
      </c>
      <c r="C84" s="448">
        <v>13345</v>
      </c>
      <c r="D84" s="448">
        <v>14173</v>
      </c>
      <c r="E84" s="448">
        <f t="shared" si="8"/>
        <v>828</v>
      </c>
      <c r="F84" s="449">
        <f t="shared" si="9"/>
        <v>6.2045710003746722E-2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641</v>
      </c>
      <c r="C85" s="453">
        <f>IF(C83=0,0,C84/C83)</f>
        <v>1.8885734583608118E-2</v>
      </c>
      <c r="D85" s="453">
        <f>IF(LN_IC1=0,0,LN_IC2/LN_IC1)</f>
        <v>2.5023614679061064E-2</v>
      </c>
      <c r="E85" s="454">
        <f t="shared" si="8"/>
        <v>6.137880095452946E-3</v>
      </c>
      <c r="F85" s="449">
        <f t="shared" si="9"/>
        <v>0.32500086603887368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39</v>
      </c>
      <c r="D86" s="456">
        <v>47</v>
      </c>
      <c r="E86" s="456">
        <f t="shared" si="8"/>
        <v>8</v>
      </c>
      <c r="F86" s="449">
        <f t="shared" si="9"/>
        <v>0.20512820512820512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642</v>
      </c>
      <c r="C87" s="459">
        <v>0.94589999999999996</v>
      </c>
      <c r="D87" s="459">
        <v>1.1941999999999999</v>
      </c>
      <c r="E87" s="460">
        <f t="shared" si="8"/>
        <v>0.24829999999999997</v>
      </c>
      <c r="F87" s="449">
        <f t="shared" si="9"/>
        <v>0.26250132149275818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643</v>
      </c>
      <c r="C88" s="463">
        <f>C86*C87</f>
        <v>36.890099999999997</v>
      </c>
      <c r="D88" s="463">
        <f>LN_IC4*LN_IC5</f>
        <v>56.127399999999994</v>
      </c>
      <c r="E88" s="463">
        <f t="shared" si="8"/>
        <v>19.237299999999998</v>
      </c>
      <c r="F88" s="449">
        <f t="shared" si="9"/>
        <v>0.52147595154255477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644</v>
      </c>
      <c r="C89" s="465">
        <f>IF(C88=0,0,C84/C88)</f>
        <v>361.75017145521429</v>
      </c>
      <c r="D89" s="465">
        <f>IF(LN_IC6=0,0,LN_IC2/LN_IC6)</f>
        <v>252.51481451127259</v>
      </c>
      <c r="E89" s="465">
        <f t="shared" si="8"/>
        <v>-109.2353569439417</v>
      </c>
      <c r="F89" s="449">
        <f t="shared" si="9"/>
        <v>-0.30196352500544799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675</v>
      </c>
      <c r="C90" s="465">
        <f>C48-C89</f>
        <v>9367.022730980063</v>
      </c>
      <c r="D90" s="465">
        <f>LN_IB7-LN_IC7</f>
        <v>8788.6260623088401</v>
      </c>
      <c r="E90" s="465">
        <f t="shared" si="8"/>
        <v>-578.39666867122287</v>
      </c>
      <c r="F90" s="449">
        <f t="shared" si="9"/>
        <v>-6.17481867272789E-2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676</v>
      </c>
      <c r="C91" s="465">
        <f>C21-C89</f>
        <v>6473.136601037847</v>
      </c>
      <c r="D91" s="465">
        <f>LN_IA7-LN_IC7</f>
        <v>5905.4300254865693</v>
      </c>
      <c r="E91" s="465">
        <f t="shared" si="8"/>
        <v>-567.70657555127764</v>
      </c>
      <c r="F91" s="449">
        <f t="shared" si="9"/>
        <v>-8.7701930384144283E-2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661</v>
      </c>
      <c r="C92" s="441">
        <f>C91*C88</f>
        <v>238794.65652594625</v>
      </c>
      <c r="D92" s="441">
        <f>LN_IC9*LN_IC6</f>
        <v>331456.43321249483</v>
      </c>
      <c r="E92" s="441">
        <f t="shared" si="8"/>
        <v>92661.776686548576</v>
      </c>
      <c r="F92" s="449">
        <f t="shared" si="9"/>
        <v>0.38803957355921992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228</v>
      </c>
      <c r="D93" s="456">
        <v>148</v>
      </c>
      <c r="E93" s="456">
        <f t="shared" si="8"/>
        <v>-80</v>
      </c>
      <c r="F93" s="449">
        <f t="shared" si="9"/>
        <v>-0.35087719298245612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645</v>
      </c>
      <c r="C94" s="499">
        <f>IF(C93=0,0,C84/C93)</f>
        <v>58.530701754385966</v>
      </c>
      <c r="D94" s="499">
        <f>IF(LN_IC11=0,0,LN_IC2/LN_IC11)</f>
        <v>95.763513513513516</v>
      </c>
      <c r="E94" s="499">
        <f t="shared" si="8"/>
        <v>37.23281175912755</v>
      </c>
      <c r="F94" s="449">
        <f t="shared" si="9"/>
        <v>0.63612447216793411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646</v>
      </c>
      <c r="C95" s="466">
        <f>IF(C86=0,0,C93/C86)</f>
        <v>5.8461538461538458</v>
      </c>
      <c r="D95" s="466">
        <f>IF(LN_IC4=0,0,LN_IC11/LN_IC4)</f>
        <v>3.1489361702127661</v>
      </c>
      <c r="E95" s="466">
        <f t="shared" si="8"/>
        <v>-2.6972176759410798</v>
      </c>
      <c r="F95" s="449">
        <f t="shared" si="9"/>
        <v>-0.46136618141097419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677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648</v>
      </c>
      <c r="C98" s="448">
        <v>1457778</v>
      </c>
      <c r="D98" s="448">
        <v>1676126</v>
      </c>
      <c r="E98" s="448">
        <f t="shared" ref="E98:E106" si="10">D98-C98</f>
        <v>218348</v>
      </c>
      <c r="F98" s="449">
        <f t="shared" ref="F98:F106" si="11">IF(C98=0,0,E98/C98)</f>
        <v>0.14978137960649701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649</v>
      </c>
      <c r="C99" s="448">
        <v>112504</v>
      </c>
      <c r="D99" s="448">
        <v>218130</v>
      </c>
      <c r="E99" s="448">
        <f t="shared" si="10"/>
        <v>105626</v>
      </c>
      <c r="F99" s="449">
        <f t="shared" si="11"/>
        <v>0.93886439593258908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650</v>
      </c>
      <c r="C100" s="453">
        <f>IF(C98=0,0,C99/C98)</f>
        <v>7.7174988235520089E-2</v>
      </c>
      <c r="D100" s="453">
        <f>IF(LN_IC14=0,0,LN_IC15/LN_IC14)</f>
        <v>0.13013938092959598</v>
      </c>
      <c r="E100" s="454">
        <f t="shared" si="10"/>
        <v>5.2964392694075893E-2</v>
      </c>
      <c r="F100" s="449">
        <f t="shared" si="11"/>
        <v>0.68628961150523149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651</v>
      </c>
      <c r="C101" s="453">
        <f>IF(C83=0,0,C98/C83)</f>
        <v>2.0630354731976825</v>
      </c>
      <c r="D101" s="453">
        <f>IF(LN_IC1=0,0,LN_IC14/LN_IC1)</f>
        <v>2.9593403780114231</v>
      </c>
      <c r="E101" s="454">
        <f t="shared" si="10"/>
        <v>0.89630490481374059</v>
      </c>
      <c r="F101" s="449">
        <f t="shared" si="11"/>
        <v>0.43445927927961303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652</v>
      </c>
      <c r="C102" s="463">
        <f>C101*C86</f>
        <v>80.458383454709619</v>
      </c>
      <c r="D102" s="463">
        <f>LN_IC17*LN_IC4</f>
        <v>139.08899776653689</v>
      </c>
      <c r="E102" s="463">
        <f t="shared" si="10"/>
        <v>58.630614311827273</v>
      </c>
      <c r="F102" s="449">
        <f t="shared" si="11"/>
        <v>0.72870733656773889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653</v>
      </c>
      <c r="C103" s="465">
        <f>IF(C102=0,0,C99/C102)</f>
        <v>1398.2880983847879</v>
      </c>
      <c r="D103" s="465">
        <f>IF(LN_IC18=0,0,LN_IC15/LN_IC18)</f>
        <v>1568.2764525065793</v>
      </c>
      <c r="E103" s="465">
        <f t="shared" si="10"/>
        <v>169.98835412179142</v>
      </c>
      <c r="F103" s="449">
        <f t="shared" si="11"/>
        <v>0.12156890580571414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678</v>
      </c>
      <c r="C104" s="465">
        <f>C61-C103</f>
        <v>7045.8753495717701</v>
      </c>
      <c r="D104" s="465">
        <f>LN_IB18-LN_IC19</f>
        <v>5625.9907451397494</v>
      </c>
      <c r="E104" s="465">
        <f t="shared" si="10"/>
        <v>-1419.8846044320208</v>
      </c>
      <c r="F104" s="449">
        <f t="shared" si="11"/>
        <v>-0.20151997218036474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679</v>
      </c>
      <c r="C105" s="465">
        <f>C32-C103</f>
        <v>4161.4143148692119</v>
      </c>
      <c r="D105" s="465">
        <f>LN_IA16-LN_IC19</f>
        <v>3619.3443152981372</v>
      </c>
      <c r="E105" s="465">
        <f t="shared" si="10"/>
        <v>-542.06999957107473</v>
      </c>
      <c r="F105" s="449">
        <f t="shared" si="11"/>
        <v>-0.1302610022833334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664</v>
      </c>
      <c r="C106" s="448">
        <f>C105*C102</f>
        <v>334820.66865966475</v>
      </c>
      <c r="D106" s="448">
        <f>LN_IC21*LN_IC18</f>
        <v>503410.97338683059</v>
      </c>
      <c r="E106" s="448">
        <f t="shared" si="10"/>
        <v>168590.30472716584</v>
      </c>
      <c r="F106" s="449">
        <f t="shared" si="11"/>
        <v>0.50352418625187345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680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655</v>
      </c>
      <c r="C109" s="448">
        <f>C83+C98</f>
        <v>2164396</v>
      </c>
      <c r="D109" s="448">
        <f>LN_IC1+LN_IC14</f>
        <v>2242511</v>
      </c>
      <c r="E109" s="448">
        <f>D109-C109</f>
        <v>78115</v>
      </c>
      <c r="F109" s="449">
        <f>IF(C109=0,0,E109/C109)</f>
        <v>3.6090900186472347E-2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656</v>
      </c>
      <c r="C110" s="448">
        <f>C84+C99</f>
        <v>125849</v>
      </c>
      <c r="D110" s="448">
        <f>LN_IC2+LN_IC15</f>
        <v>232303</v>
      </c>
      <c r="E110" s="448">
        <f>D110-C110</f>
        <v>106454</v>
      </c>
      <c r="F110" s="449">
        <f>IF(C110=0,0,E110/C110)</f>
        <v>0.84588673728039154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657</v>
      </c>
      <c r="C111" s="448">
        <f>C109-C110</f>
        <v>2038547</v>
      </c>
      <c r="D111" s="448">
        <f>LN_IC23-LN_IC24</f>
        <v>2010208</v>
      </c>
      <c r="E111" s="448">
        <f>D111-C111</f>
        <v>-28339</v>
      </c>
      <c r="F111" s="449">
        <f>IF(C111=0,0,E111/C111)</f>
        <v>-1.3901568126709857E-2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666</v>
      </c>
      <c r="C113" s="448">
        <f>C92+C106</f>
        <v>573615.32518561103</v>
      </c>
      <c r="D113" s="448">
        <f>LN_IC10+LN_IC22</f>
        <v>834867.40659932536</v>
      </c>
      <c r="E113" s="448">
        <f>D113-C113</f>
        <v>261252.08141371433</v>
      </c>
      <c r="F113" s="449">
        <f>IF(C113=0,0,E113/C113)</f>
        <v>0.45544822452081124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681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682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639</v>
      </c>
      <c r="C118" s="448">
        <v>10212033</v>
      </c>
      <c r="D118" s="448">
        <v>12596038</v>
      </c>
      <c r="E118" s="448">
        <f t="shared" ref="E118:E130" si="12">D118-C118</f>
        <v>2384005</v>
      </c>
      <c r="F118" s="449">
        <f t="shared" ref="F118:F130" si="13">IF(C118=0,0,E118/C118)</f>
        <v>0.23345057737279148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640</v>
      </c>
      <c r="C119" s="448">
        <v>3942846</v>
      </c>
      <c r="D119" s="448">
        <v>3771267</v>
      </c>
      <c r="E119" s="448">
        <f t="shared" si="12"/>
        <v>-171579</v>
      </c>
      <c r="F119" s="449">
        <f t="shared" si="13"/>
        <v>-4.3516536024993113E-2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641</v>
      </c>
      <c r="C120" s="453">
        <f>IF(C118=0,0,C119/C118)</f>
        <v>0.3860980472742303</v>
      </c>
      <c r="D120" s="453">
        <f>IF(LN_ID1=0,0,LN_1D2/LN_ID1)</f>
        <v>0.29940104975866222</v>
      </c>
      <c r="E120" s="454">
        <f t="shared" si="12"/>
        <v>-8.6696997515568086E-2</v>
      </c>
      <c r="F120" s="449">
        <f t="shared" si="13"/>
        <v>-0.22454658376966774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678</v>
      </c>
      <c r="D121" s="456">
        <v>892</v>
      </c>
      <c r="E121" s="456">
        <f t="shared" si="12"/>
        <v>214</v>
      </c>
      <c r="F121" s="449">
        <f t="shared" si="13"/>
        <v>0.31563421828908556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642</v>
      </c>
      <c r="C122" s="459">
        <v>0.93925999999999998</v>
      </c>
      <c r="D122" s="459">
        <v>0.95630000000000004</v>
      </c>
      <c r="E122" s="460">
        <f t="shared" si="12"/>
        <v>1.7040000000000055E-2</v>
      </c>
      <c r="F122" s="449">
        <f t="shared" si="13"/>
        <v>1.8141941528437341E-2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643</v>
      </c>
      <c r="C123" s="463">
        <f>C121*C122</f>
        <v>636.81827999999996</v>
      </c>
      <c r="D123" s="463">
        <f>LN_ID4*LN_ID5</f>
        <v>853.01960000000008</v>
      </c>
      <c r="E123" s="463">
        <f t="shared" si="12"/>
        <v>216.20132000000012</v>
      </c>
      <c r="F123" s="449">
        <f t="shared" si="13"/>
        <v>0.33950237735009764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644</v>
      </c>
      <c r="C124" s="465">
        <f>IF(C123=0,0,C119/C123)</f>
        <v>6191.4774180163304</v>
      </c>
      <c r="D124" s="465">
        <f>IF(LN_ID6=0,0,LN_1D2/LN_ID6)</f>
        <v>4421.078952933789</v>
      </c>
      <c r="E124" s="465">
        <f t="shared" si="12"/>
        <v>-1770.3984650825414</v>
      </c>
      <c r="F124" s="449">
        <f t="shared" si="13"/>
        <v>-0.28594119715771399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683</v>
      </c>
      <c r="C125" s="465">
        <f>C48-C124</f>
        <v>3537.2954844189471</v>
      </c>
      <c r="D125" s="465">
        <f>LN_IB7-LN_ID7</f>
        <v>4620.0619238863237</v>
      </c>
      <c r="E125" s="465">
        <f t="shared" si="12"/>
        <v>1082.7664394673766</v>
      </c>
      <c r="F125" s="449">
        <f t="shared" si="13"/>
        <v>0.30610008246038201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684</v>
      </c>
      <c r="C126" s="465">
        <f>C21-C124</f>
        <v>643.4093544767311</v>
      </c>
      <c r="D126" s="465">
        <f>LN_IA7-LN_ID7</f>
        <v>1736.8658870640529</v>
      </c>
      <c r="E126" s="465">
        <f t="shared" si="12"/>
        <v>1093.4565325873218</v>
      </c>
      <c r="F126" s="449">
        <f t="shared" si="13"/>
        <v>1.6994725441575262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661</v>
      </c>
      <c r="C127" s="479">
        <f>C126*C123</f>
        <v>409734.8384537822</v>
      </c>
      <c r="D127" s="479">
        <f>LN_ID9*LN_ID6</f>
        <v>1481580.6442370238</v>
      </c>
      <c r="E127" s="479">
        <f t="shared" si="12"/>
        <v>1071845.8057832415</v>
      </c>
      <c r="F127" s="449">
        <f t="shared" si="13"/>
        <v>2.6159498904903224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3070</v>
      </c>
      <c r="D128" s="456">
        <v>4464</v>
      </c>
      <c r="E128" s="456">
        <f t="shared" si="12"/>
        <v>1394</v>
      </c>
      <c r="F128" s="449">
        <f t="shared" si="13"/>
        <v>0.45407166123778503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645</v>
      </c>
      <c r="C129" s="465">
        <f>IF(C128=0,0,C119/C128)</f>
        <v>1284.3146579804561</v>
      </c>
      <c r="D129" s="465">
        <f>IF(LN_ID11=0,0,LN_1D2/LN_ID11)</f>
        <v>844.81787634408602</v>
      </c>
      <c r="E129" s="465">
        <f t="shared" si="12"/>
        <v>-439.49678163637009</v>
      </c>
      <c r="F129" s="449">
        <f t="shared" si="13"/>
        <v>-0.34220335250822781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646</v>
      </c>
      <c r="C130" s="466">
        <f>IF(C121=0,0,C128/C121)</f>
        <v>4.5280235988200586</v>
      </c>
      <c r="D130" s="466">
        <f>IF(LN_ID4=0,0,LN_ID11/LN_ID4)</f>
        <v>5.0044843049327357</v>
      </c>
      <c r="E130" s="466">
        <f t="shared" si="12"/>
        <v>0.4764607061126771</v>
      </c>
      <c r="F130" s="449">
        <f t="shared" si="13"/>
        <v>0.10522487255517755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685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648</v>
      </c>
      <c r="C133" s="448">
        <v>21840217</v>
      </c>
      <c r="D133" s="448">
        <v>19887280</v>
      </c>
      <c r="E133" s="448">
        <f t="shared" ref="E133:E141" si="14">D133-C133</f>
        <v>-1952937</v>
      </c>
      <c r="F133" s="449">
        <f t="shared" ref="F133:F141" si="15">IF(C133=0,0,E133/C133)</f>
        <v>-8.9419303846660497E-2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649</v>
      </c>
      <c r="C134" s="448">
        <v>4752140</v>
      </c>
      <c r="D134" s="448">
        <v>3399841</v>
      </c>
      <c r="E134" s="448">
        <f t="shared" si="14"/>
        <v>-1352299</v>
      </c>
      <c r="F134" s="449">
        <f t="shared" si="15"/>
        <v>-0.28456632169927654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650</v>
      </c>
      <c r="C135" s="453">
        <f>IF(C133=0,0,C134/C133)</f>
        <v>0.21758666592003184</v>
      </c>
      <c r="D135" s="453">
        <f>IF(LN_ID14=0,0,LN_ID15/LN_ID14)</f>
        <v>0.1709555555108592</v>
      </c>
      <c r="E135" s="454">
        <f t="shared" si="14"/>
        <v>-4.6631110409172644E-2</v>
      </c>
      <c r="F135" s="449">
        <f t="shared" si="15"/>
        <v>-0.21431051490218919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651</v>
      </c>
      <c r="C136" s="453">
        <f>IF(C118=0,0,C133/C118)</f>
        <v>2.1386747379292643</v>
      </c>
      <c r="D136" s="453">
        <f>IF(LN_ID1=0,0,LN_ID14/LN_ID1)</f>
        <v>1.5788520168008384</v>
      </c>
      <c r="E136" s="454">
        <f t="shared" si="14"/>
        <v>-0.5598227211284259</v>
      </c>
      <c r="F136" s="449">
        <f t="shared" si="15"/>
        <v>-0.26176150641329632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652</v>
      </c>
      <c r="C137" s="463">
        <f>C136*C121</f>
        <v>1450.0214723160411</v>
      </c>
      <c r="D137" s="463">
        <f>LN_ID17*LN_ID4</f>
        <v>1408.3359989863479</v>
      </c>
      <c r="E137" s="463">
        <f t="shared" si="14"/>
        <v>-41.685473329693195</v>
      </c>
      <c r="F137" s="449">
        <f t="shared" si="15"/>
        <v>-2.8748176579144885E-2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653</v>
      </c>
      <c r="C138" s="465">
        <f>IF(C137=0,0,C134/C137)</f>
        <v>3277.2893993146618</v>
      </c>
      <c r="D138" s="465">
        <f>IF(LN_ID18=0,0,LN_ID15/LN_ID18)</f>
        <v>2414.0837147151256</v>
      </c>
      <c r="E138" s="465">
        <f t="shared" si="14"/>
        <v>-863.2056845995362</v>
      </c>
      <c r="F138" s="449">
        <f t="shared" si="15"/>
        <v>-0.26339013111873721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686</v>
      </c>
      <c r="C139" s="465">
        <f>C61-C138</f>
        <v>5166.8740486418965</v>
      </c>
      <c r="D139" s="465">
        <f>LN_IB18-LN_ID19</f>
        <v>4780.1834829312029</v>
      </c>
      <c r="E139" s="465">
        <f t="shared" si="14"/>
        <v>-386.69056571069359</v>
      </c>
      <c r="F139" s="449">
        <f t="shared" si="15"/>
        <v>-7.4840331324185175E-2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687</v>
      </c>
      <c r="C140" s="465">
        <f>C32-C138</f>
        <v>2282.4130139393383</v>
      </c>
      <c r="D140" s="465">
        <f>LN_IA16-LN_ID19</f>
        <v>2773.5370530895912</v>
      </c>
      <c r="E140" s="465">
        <f t="shared" si="14"/>
        <v>491.12403915025288</v>
      </c>
      <c r="F140" s="449">
        <f t="shared" si="15"/>
        <v>0.21517754944035994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664</v>
      </c>
      <c r="C141" s="441">
        <f>C140*C137</f>
        <v>3309547.878905612</v>
      </c>
      <c r="D141" s="441">
        <f>LN_ID21*LN_ID18</f>
        <v>3906072.0763885807</v>
      </c>
      <c r="E141" s="441">
        <f t="shared" si="14"/>
        <v>596524.19748296868</v>
      </c>
      <c r="F141" s="449">
        <f t="shared" si="15"/>
        <v>0.1802434106740359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688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655</v>
      </c>
      <c r="C144" s="448">
        <f>C118+C133</f>
        <v>32052250</v>
      </c>
      <c r="D144" s="448">
        <f>LN_ID1+LN_ID14</f>
        <v>32483318</v>
      </c>
      <c r="E144" s="448">
        <f>D144-C144</f>
        <v>431068</v>
      </c>
      <c r="F144" s="449">
        <f>IF(C144=0,0,E144/C144)</f>
        <v>1.3448915442753629E-2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656</v>
      </c>
      <c r="C145" s="448">
        <f>C119+C134</f>
        <v>8694986</v>
      </c>
      <c r="D145" s="448">
        <f>LN_1D2+LN_ID15</f>
        <v>7171108</v>
      </c>
      <c r="E145" s="448">
        <f>D145-C145</f>
        <v>-1523878</v>
      </c>
      <c r="F145" s="449">
        <f>IF(C145=0,0,E145/C145)</f>
        <v>-0.17525939662237525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657</v>
      </c>
      <c r="C146" s="448">
        <f>C144-C145</f>
        <v>23357264</v>
      </c>
      <c r="D146" s="448">
        <f>LN_ID23-LN_ID24</f>
        <v>25312210</v>
      </c>
      <c r="E146" s="448">
        <f>D146-C146</f>
        <v>1954946</v>
      </c>
      <c r="F146" s="449">
        <f>IF(C146=0,0,E146/C146)</f>
        <v>8.3697559782686878E-2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666</v>
      </c>
      <c r="C148" s="448">
        <f>C127+C141</f>
        <v>3719282.7173593943</v>
      </c>
      <c r="D148" s="448">
        <f>LN_ID10+LN_ID22</f>
        <v>5387652.7206256045</v>
      </c>
      <c r="E148" s="448">
        <f>D148-C148</f>
        <v>1668370.0032662102</v>
      </c>
      <c r="F148" s="503">
        <f>IF(C148=0,0,E148/C148)</f>
        <v>0.44857305293820599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689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690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639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640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641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642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643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644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691</v>
      </c>
      <c r="C160" s="465">
        <f>C48-C159</f>
        <v>9728.7729024352775</v>
      </c>
      <c r="D160" s="465">
        <f>LN_IB7-LN_IE7</f>
        <v>9041.1408768201127</v>
      </c>
      <c r="E160" s="465">
        <f t="shared" si="16"/>
        <v>-687.63202561516482</v>
      </c>
      <c r="F160" s="449">
        <f t="shared" si="17"/>
        <v>-7.0680242257791709E-2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692</v>
      </c>
      <c r="C161" s="465">
        <f>C21-C159</f>
        <v>6834.8867724930615</v>
      </c>
      <c r="D161" s="465">
        <f>LN_IA7-LN_IE7</f>
        <v>6157.9448399978419</v>
      </c>
      <c r="E161" s="465">
        <f t="shared" si="16"/>
        <v>-676.94193249521959</v>
      </c>
      <c r="F161" s="449">
        <f t="shared" si="17"/>
        <v>-9.9042157540863165E-2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661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645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646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693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648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649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650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651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652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653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694</v>
      </c>
      <c r="C174" s="465">
        <f>C61-C173</f>
        <v>8444.1634479565582</v>
      </c>
      <c r="D174" s="465">
        <f>LN_IB18-LN_IE19</f>
        <v>7194.2671976463289</v>
      </c>
      <c r="E174" s="465">
        <f t="shared" si="18"/>
        <v>-1249.8962503102293</v>
      </c>
      <c r="F174" s="449">
        <f t="shared" si="19"/>
        <v>-0.14801895510593147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695</v>
      </c>
      <c r="C175" s="465">
        <f>C32-C173</f>
        <v>5559.702413254</v>
      </c>
      <c r="D175" s="465">
        <f>LN_IA16-LN_IE19</f>
        <v>5187.6207678047167</v>
      </c>
      <c r="E175" s="465">
        <f t="shared" si="18"/>
        <v>-372.08164544928331</v>
      </c>
      <c r="F175" s="449">
        <f t="shared" si="19"/>
        <v>-6.692474125274453E-2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664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696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655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656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657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697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698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699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639</v>
      </c>
      <c r="C188" s="448">
        <f>C118+C153</f>
        <v>10212033</v>
      </c>
      <c r="D188" s="448">
        <f>LN_ID1+LN_IE1</f>
        <v>12596038</v>
      </c>
      <c r="E188" s="448">
        <f t="shared" ref="E188:E200" si="20">D188-C188</f>
        <v>2384005</v>
      </c>
      <c r="F188" s="449">
        <f t="shared" ref="F188:F200" si="21">IF(C188=0,0,E188/C188)</f>
        <v>0.23345057737279148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640</v>
      </c>
      <c r="C189" s="448">
        <f>C119+C154</f>
        <v>3942846</v>
      </c>
      <c r="D189" s="448">
        <f>LN_1D2+LN_IE2</f>
        <v>3771267</v>
      </c>
      <c r="E189" s="448">
        <f t="shared" si="20"/>
        <v>-171579</v>
      </c>
      <c r="F189" s="449">
        <f t="shared" si="21"/>
        <v>-4.3516536024993113E-2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641</v>
      </c>
      <c r="C190" s="453">
        <f>IF(C188=0,0,C189/C188)</f>
        <v>0.3860980472742303</v>
      </c>
      <c r="D190" s="453">
        <f>IF(LN_IF1=0,0,LN_IF2/LN_IF1)</f>
        <v>0.29940104975866222</v>
      </c>
      <c r="E190" s="454">
        <f t="shared" si="20"/>
        <v>-8.6696997515568086E-2</v>
      </c>
      <c r="F190" s="449">
        <f t="shared" si="21"/>
        <v>-0.22454658376966774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678</v>
      </c>
      <c r="D191" s="456">
        <f>LN_ID4+LN_IE4</f>
        <v>892</v>
      </c>
      <c r="E191" s="456">
        <f t="shared" si="20"/>
        <v>214</v>
      </c>
      <c r="F191" s="449">
        <f t="shared" si="21"/>
        <v>0.31563421828908556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642</v>
      </c>
      <c r="C192" s="459">
        <f>IF((C121+C156)=0,0,(C123+C158)/(C121+C156))</f>
        <v>0.93925999999999998</v>
      </c>
      <c r="D192" s="459">
        <f>IF((LN_ID4+LN_IE4)=0,0,(LN_ID6+LN_IE6)/(LN_ID4+LN_IE4))</f>
        <v>0.95630000000000004</v>
      </c>
      <c r="E192" s="460">
        <f t="shared" si="20"/>
        <v>1.7040000000000055E-2</v>
      </c>
      <c r="F192" s="449">
        <f t="shared" si="21"/>
        <v>1.8141941528437341E-2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643</v>
      </c>
      <c r="C193" s="463">
        <f>C123+C158</f>
        <v>636.81827999999996</v>
      </c>
      <c r="D193" s="463">
        <f>LN_IF4*LN_IF5</f>
        <v>853.01960000000008</v>
      </c>
      <c r="E193" s="463">
        <f t="shared" si="20"/>
        <v>216.20132000000012</v>
      </c>
      <c r="F193" s="449">
        <f t="shared" si="21"/>
        <v>0.33950237735009764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644</v>
      </c>
      <c r="C194" s="465">
        <f>IF(C193=0,0,C189/C193)</f>
        <v>6191.4774180163304</v>
      </c>
      <c r="D194" s="465">
        <f>IF(LN_IF6=0,0,LN_IF2/LN_IF6)</f>
        <v>4421.078952933789</v>
      </c>
      <c r="E194" s="465">
        <f t="shared" si="20"/>
        <v>-1770.3984650825414</v>
      </c>
      <c r="F194" s="449">
        <f t="shared" si="21"/>
        <v>-0.28594119715771399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700</v>
      </c>
      <c r="C195" s="465">
        <f>C48-C194</f>
        <v>3537.2954844189471</v>
      </c>
      <c r="D195" s="465">
        <f>LN_IB7-LN_IF7</f>
        <v>4620.0619238863237</v>
      </c>
      <c r="E195" s="465">
        <f t="shared" si="20"/>
        <v>1082.7664394673766</v>
      </c>
      <c r="F195" s="449">
        <f t="shared" si="21"/>
        <v>0.30610008246038201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701</v>
      </c>
      <c r="C196" s="465">
        <f>C21-C194</f>
        <v>643.4093544767311</v>
      </c>
      <c r="D196" s="465">
        <f>LN_IA7-LN_IF7</f>
        <v>1736.8658870640529</v>
      </c>
      <c r="E196" s="465">
        <f t="shared" si="20"/>
        <v>1093.4565325873218</v>
      </c>
      <c r="F196" s="449">
        <f t="shared" si="21"/>
        <v>1.6994725441575262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661</v>
      </c>
      <c r="C197" s="479">
        <f>C127+C162</f>
        <v>409734.8384537822</v>
      </c>
      <c r="D197" s="479">
        <f>LN_IF9*LN_IF6</f>
        <v>1481580.6442370238</v>
      </c>
      <c r="E197" s="479">
        <f t="shared" si="20"/>
        <v>1071845.8057832415</v>
      </c>
      <c r="F197" s="449">
        <f t="shared" si="21"/>
        <v>2.6159498904903224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3070</v>
      </c>
      <c r="D198" s="456">
        <f>LN_ID11+LN_IE11</f>
        <v>4464</v>
      </c>
      <c r="E198" s="456">
        <f t="shared" si="20"/>
        <v>1394</v>
      </c>
      <c r="F198" s="449">
        <f t="shared" si="21"/>
        <v>0.45407166123778503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645</v>
      </c>
      <c r="C199" s="519">
        <f>IF(C198=0,0,C189/C198)</f>
        <v>1284.3146579804561</v>
      </c>
      <c r="D199" s="519">
        <f>IF(LN_IF11=0,0,LN_IF2/LN_IF11)</f>
        <v>844.81787634408602</v>
      </c>
      <c r="E199" s="519">
        <f t="shared" si="20"/>
        <v>-439.49678163637009</v>
      </c>
      <c r="F199" s="449">
        <f t="shared" si="21"/>
        <v>-0.34220335250822781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646</v>
      </c>
      <c r="C200" s="466">
        <f>IF(C191=0,0,C198/C191)</f>
        <v>4.5280235988200586</v>
      </c>
      <c r="D200" s="466">
        <f>IF(LN_IF4=0,0,LN_IF11/LN_IF4)</f>
        <v>5.0044843049327357</v>
      </c>
      <c r="E200" s="466">
        <f t="shared" si="20"/>
        <v>0.4764607061126771</v>
      </c>
      <c r="F200" s="449">
        <f t="shared" si="21"/>
        <v>0.10522487255517755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702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648</v>
      </c>
      <c r="C203" s="448">
        <f>C133+C168</f>
        <v>21840217</v>
      </c>
      <c r="D203" s="448">
        <f>LN_ID14+LN_IE14</f>
        <v>19887280</v>
      </c>
      <c r="E203" s="448">
        <f t="shared" ref="E203:E211" si="22">D203-C203</f>
        <v>-1952937</v>
      </c>
      <c r="F203" s="449">
        <f t="shared" ref="F203:F211" si="23">IF(C203=0,0,E203/C203)</f>
        <v>-8.9419303846660497E-2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649</v>
      </c>
      <c r="C204" s="448">
        <f>C134+C169</f>
        <v>4752140</v>
      </c>
      <c r="D204" s="448">
        <f>LN_ID15+LN_IE15</f>
        <v>3399841</v>
      </c>
      <c r="E204" s="448">
        <f t="shared" si="22"/>
        <v>-1352299</v>
      </c>
      <c r="F204" s="449">
        <f t="shared" si="23"/>
        <v>-0.28456632169927654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650</v>
      </c>
      <c r="C205" s="453">
        <f>IF(C203=0,0,C204/C203)</f>
        <v>0.21758666592003184</v>
      </c>
      <c r="D205" s="453">
        <f>IF(LN_IF14=0,0,LN_IF15/LN_IF14)</f>
        <v>0.1709555555108592</v>
      </c>
      <c r="E205" s="454">
        <f t="shared" si="22"/>
        <v>-4.6631110409172644E-2</v>
      </c>
      <c r="F205" s="449">
        <f t="shared" si="23"/>
        <v>-0.21431051490218919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651</v>
      </c>
      <c r="C206" s="453">
        <f>IF(C188=0,0,C203/C188)</f>
        <v>2.1386747379292643</v>
      </c>
      <c r="D206" s="453">
        <f>IF(LN_IF1=0,0,LN_IF14/LN_IF1)</f>
        <v>1.5788520168008384</v>
      </c>
      <c r="E206" s="454">
        <f t="shared" si="22"/>
        <v>-0.5598227211284259</v>
      </c>
      <c r="F206" s="449">
        <f t="shared" si="23"/>
        <v>-0.26176150641329632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652</v>
      </c>
      <c r="C207" s="463">
        <f>C137+C172</f>
        <v>1450.0214723160411</v>
      </c>
      <c r="D207" s="463">
        <f>LN_ID18+LN_IE18</f>
        <v>1408.3359989863479</v>
      </c>
      <c r="E207" s="463">
        <f t="shared" si="22"/>
        <v>-41.685473329693195</v>
      </c>
      <c r="F207" s="449">
        <f t="shared" si="23"/>
        <v>-2.8748176579144885E-2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653</v>
      </c>
      <c r="C208" s="465">
        <f>IF(C207=0,0,C204/C207)</f>
        <v>3277.2893993146618</v>
      </c>
      <c r="D208" s="465">
        <f>IF(LN_IF18=0,0,LN_IF15/LN_IF18)</f>
        <v>2414.0837147151256</v>
      </c>
      <c r="E208" s="465">
        <f t="shared" si="22"/>
        <v>-863.2056845995362</v>
      </c>
      <c r="F208" s="449">
        <f t="shared" si="23"/>
        <v>-0.26339013111873721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703</v>
      </c>
      <c r="C209" s="465">
        <f>C61-C208</f>
        <v>5166.8740486418965</v>
      </c>
      <c r="D209" s="465">
        <f>LN_IB18-LN_IF19</f>
        <v>4780.1834829312029</v>
      </c>
      <c r="E209" s="465">
        <f t="shared" si="22"/>
        <v>-386.69056571069359</v>
      </c>
      <c r="F209" s="449">
        <f t="shared" si="23"/>
        <v>-7.4840331324185175E-2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704</v>
      </c>
      <c r="C210" s="465">
        <f>C32-C208</f>
        <v>2282.4130139393383</v>
      </c>
      <c r="D210" s="465">
        <f>LN_IA16-LN_IF19</f>
        <v>2773.5370530895912</v>
      </c>
      <c r="E210" s="465">
        <f t="shared" si="22"/>
        <v>491.12403915025288</v>
      </c>
      <c r="F210" s="449">
        <f t="shared" si="23"/>
        <v>0.21517754944035994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664</v>
      </c>
      <c r="C211" s="479">
        <f>C141+C176</f>
        <v>3309547.878905612</v>
      </c>
      <c r="D211" s="441">
        <f>LN_IF21*LN_IF18</f>
        <v>3906072.0763885807</v>
      </c>
      <c r="E211" s="441">
        <f t="shared" si="22"/>
        <v>596524.19748296868</v>
      </c>
      <c r="F211" s="449">
        <f t="shared" si="23"/>
        <v>0.1802434106740359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705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655</v>
      </c>
      <c r="C214" s="448">
        <f>C188+C203</f>
        <v>32052250</v>
      </c>
      <c r="D214" s="448">
        <f>LN_IF1+LN_IF14</f>
        <v>32483318</v>
      </c>
      <c r="E214" s="448">
        <f>D214-C214</f>
        <v>431068</v>
      </c>
      <c r="F214" s="449">
        <f>IF(C214=0,0,E214/C214)</f>
        <v>1.3448915442753629E-2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656</v>
      </c>
      <c r="C215" s="448">
        <f>C189+C204</f>
        <v>8694986</v>
      </c>
      <c r="D215" s="448">
        <f>LN_IF2+LN_IF15</f>
        <v>7171108</v>
      </c>
      <c r="E215" s="448">
        <f>D215-C215</f>
        <v>-1523878</v>
      </c>
      <c r="F215" s="449">
        <f>IF(C215=0,0,E215/C215)</f>
        <v>-0.17525939662237525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657</v>
      </c>
      <c r="C216" s="448">
        <f>C214-C215</f>
        <v>23357264</v>
      </c>
      <c r="D216" s="448">
        <f>LN_IF23-LN_IF24</f>
        <v>25312210</v>
      </c>
      <c r="E216" s="448">
        <f>D216-C216</f>
        <v>1954946</v>
      </c>
      <c r="F216" s="449">
        <f>IF(C216=0,0,E216/C216)</f>
        <v>8.3697559782686878E-2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706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707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639</v>
      </c>
      <c r="C221" s="448">
        <v>741009</v>
      </c>
      <c r="D221" s="448">
        <v>195459</v>
      </c>
      <c r="E221" s="448">
        <f t="shared" ref="E221:E230" si="24">D221-C221</f>
        <v>-545550</v>
      </c>
      <c r="F221" s="449">
        <f t="shared" ref="F221:F230" si="25">IF(C221=0,0,E221/C221)</f>
        <v>-0.73622587579907939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640</v>
      </c>
      <c r="C222" s="448">
        <v>273260</v>
      </c>
      <c r="D222" s="448">
        <v>71872</v>
      </c>
      <c r="E222" s="448">
        <f t="shared" si="24"/>
        <v>-201388</v>
      </c>
      <c r="F222" s="449">
        <f t="shared" si="25"/>
        <v>-0.7369830930249579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641</v>
      </c>
      <c r="C223" s="453">
        <f>IF(C221=0,0,C222/C221)</f>
        <v>0.36876745086766827</v>
      </c>
      <c r="D223" s="453">
        <f>IF(LN_IG1=0,0,LN_IG2/LN_IG1)</f>
        <v>0.36770882896157253</v>
      </c>
      <c r="E223" s="454">
        <f t="shared" si="24"/>
        <v>-1.0586219060957358E-3</v>
      </c>
      <c r="F223" s="449">
        <f t="shared" si="25"/>
        <v>-2.8707032131087429E-3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50</v>
      </c>
      <c r="D224" s="456">
        <v>20</v>
      </c>
      <c r="E224" s="456">
        <f t="shared" si="24"/>
        <v>-30</v>
      </c>
      <c r="F224" s="449">
        <f t="shared" si="25"/>
        <v>-0.6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642</v>
      </c>
      <c r="C225" s="459">
        <v>0.97099999999999997</v>
      </c>
      <c r="D225" s="459">
        <v>0.87039999999999995</v>
      </c>
      <c r="E225" s="460">
        <f t="shared" si="24"/>
        <v>-0.10060000000000002</v>
      </c>
      <c r="F225" s="449">
        <f t="shared" si="25"/>
        <v>-0.10360453141091661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643</v>
      </c>
      <c r="C226" s="463">
        <f>C224*C225</f>
        <v>48.55</v>
      </c>
      <c r="D226" s="463">
        <f>LN_IG3*LN_IG4</f>
        <v>17.407999999999998</v>
      </c>
      <c r="E226" s="463">
        <f t="shared" si="24"/>
        <v>-31.141999999999999</v>
      </c>
      <c r="F226" s="449">
        <f t="shared" si="25"/>
        <v>-0.64144181256436661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644</v>
      </c>
      <c r="C227" s="465">
        <f>IF(C226=0,0,C222/C226)</f>
        <v>5628.4243048403714</v>
      </c>
      <c r="D227" s="465">
        <f>IF(LN_IG5=0,0,LN_IG2/LN_IG5)</f>
        <v>4128.676470588236</v>
      </c>
      <c r="E227" s="465">
        <f t="shared" si="24"/>
        <v>-1499.7478342521354</v>
      </c>
      <c r="F227" s="449">
        <f t="shared" si="25"/>
        <v>-0.2664596258250061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285</v>
      </c>
      <c r="D228" s="456">
        <v>58</v>
      </c>
      <c r="E228" s="456">
        <f t="shared" si="24"/>
        <v>-227</v>
      </c>
      <c r="F228" s="449">
        <f t="shared" si="25"/>
        <v>-0.79649122807017547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645</v>
      </c>
      <c r="C229" s="465">
        <f>IF(C228=0,0,C222/C228)</f>
        <v>958.80701754385962</v>
      </c>
      <c r="D229" s="465">
        <f>IF(LN_IG6=0,0,LN_IG2/LN_IG6)</f>
        <v>1239.1724137931035</v>
      </c>
      <c r="E229" s="465">
        <f t="shared" si="24"/>
        <v>280.36539624924387</v>
      </c>
      <c r="F229" s="449">
        <f t="shared" si="25"/>
        <v>0.2924106635842586</v>
      </c>
      <c r="Q229" s="421"/>
      <c r="U229" s="462"/>
    </row>
    <row r="230" spans="1:21" ht="15.75" customHeight="1" x14ac:dyDescent="0.2">
      <c r="A230" s="451">
        <v>10</v>
      </c>
      <c r="B230" s="447" t="s">
        <v>646</v>
      </c>
      <c r="C230" s="466">
        <f>IF(C224=0,0,C228/C224)</f>
        <v>5.7</v>
      </c>
      <c r="D230" s="466">
        <f>IF(LN_IG3=0,0,LN_IG6/LN_IG3)</f>
        <v>2.9</v>
      </c>
      <c r="E230" s="466">
        <f t="shared" si="24"/>
        <v>-2.8000000000000003</v>
      </c>
      <c r="F230" s="449">
        <f t="shared" si="25"/>
        <v>-0.49122807017543862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708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648</v>
      </c>
      <c r="C233" s="448">
        <v>743123</v>
      </c>
      <c r="D233" s="448">
        <v>358237</v>
      </c>
      <c r="E233" s="448">
        <f>D233-C233</f>
        <v>-384886</v>
      </c>
      <c r="F233" s="449">
        <f>IF(C233=0,0,E233/C233)</f>
        <v>-0.51793040990522432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649</v>
      </c>
      <c r="C234" s="448">
        <v>257374</v>
      </c>
      <c r="D234" s="448">
        <v>56407</v>
      </c>
      <c r="E234" s="448">
        <f>D234-C234</f>
        <v>-200967</v>
      </c>
      <c r="F234" s="449">
        <f>IF(C234=0,0,E234/C234)</f>
        <v>-0.78083644812607333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709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655</v>
      </c>
      <c r="C237" s="448">
        <f>C221+C233</f>
        <v>1484132</v>
      </c>
      <c r="D237" s="448">
        <f>LN_IG1+LN_IG9</f>
        <v>553696</v>
      </c>
      <c r="E237" s="448">
        <f>D237-C237</f>
        <v>-930436</v>
      </c>
      <c r="F237" s="449">
        <f>IF(C237=0,0,E237/C237)</f>
        <v>-0.62692267264636836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656</v>
      </c>
      <c r="C238" s="448">
        <f>C222+C234</f>
        <v>530634</v>
      </c>
      <c r="D238" s="448">
        <f>LN_IG2+LN_IG10</f>
        <v>128279</v>
      </c>
      <c r="E238" s="448">
        <f>D238-C238</f>
        <v>-402355</v>
      </c>
      <c r="F238" s="449">
        <f>IF(C238=0,0,E238/C238)</f>
        <v>-0.75825333469020073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657</v>
      </c>
      <c r="C239" s="448">
        <f>C237-C238</f>
        <v>953498</v>
      </c>
      <c r="D239" s="448">
        <f>LN_IG13-LN_IG14</f>
        <v>425417</v>
      </c>
      <c r="E239" s="448">
        <f>D239-C239</f>
        <v>-528081</v>
      </c>
      <c r="F239" s="449">
        <f>IF(C239=0,0,E239/C239)</f>
        <v>-0.55383545639319642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710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711</v>
      </c>
      <c r="C243" s="448">
        <v>590810</v>
      </c>
      <c r="D243" s="448">
        <v>2744640</v>
      </c>
      <c r="E243" s="441">
        <f>D243-C243</f>
        <v>2153830</v>
      </c>
      <c r="F243" s="503">
        <f>IF(C243=0,0,E243/C243)</f>
        <v>3.6455544083546316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712</v>
      </c>
      <c r="C244" s="448">
        <v>70240063</v>
      </c>
      <c r="D244" s="448">
        <v>66930968</v>
      </c>
      <c r="E244" s="441">
        <f>D244-C244</f>
        <v>-3309095</v>
      </c>
      <c r="F244" s="503">
        <f>IF(C244=0,0,E244/C244)</f>
        <v>-4.7111219134299463E-2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713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714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715</v>
      </c>
      <c r="C248" s="441">
        <v>221047</v>
      </c>
      <c r="D248" s="441">
        <v>160881</v>
      </c>
      <c r="E248" s="441">
        <f>D248-C248</f>
        <v>-60166</v>
      </c>
      <c r="F248" s="449">
        <f>IF(C248=0,0,E248/C248)</f>
        <v>-0.272186458083575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716</v>
      </c>
      <c r="C249" s="441">
        <v>3114000</v>
      </c>
      <c r="D249" s="441">
        <v>1977083</v>
      </c>
      <c r="E249" s="441">
        <f>D249-C249</f>
        <v>-1136917</v>
      </c>
      <c r="F249" s="449">
        <f>IF(C249=0,0,E249/C249)</f>
        <v>-0.36509858702633269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717</v>
      </c>
      <c r="C250" s="441">
        <f>C248+C249</f>
        <v>3335047</v>
      </c>
      <c r="D250" s="441">
        <f>LN_IH4+LN_IH5</f>
        <v>2137964</v>
      </c>
      <c r="E250" s="441">
        <f>D250-C250</f>
        <v>-1197083</v>
      </c>
      <c r="F250" s="449">
        <f>IF(C250=0,0,E250/C250)</f>
        <v>-0.35894036875642232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718</v>
      </c>
      <c r="C251" s="441">
        <f>C250*C313</f>
        <v>1329378.7874298694</v>
      </c>
      <c r="D251" s="441">
        <f>LN_IH6*LN_III10</f>
        <v>782388.48312596069</v>
      </c>
      <c r="E251" s="441">
        <f>D251-C251</f>
        <v>-546990.30430390872</v>
      </c>
      <c r="F251" s="449">
        <f>IF(C251=0,0,E251/C251)</f>
        <v>-0.41146309048711588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719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655</v>
      </c>
      <c r="C254" s="441">
        <f>C188+C203</f>
        <v>32052250</v>
      </c>
      <c r="D254" s="441">
        <f>LN_IF23</f>
        <v>32483318</v>
      </c>
      <c r="E254" s="441">
        <f>D254-C254</f>
        <v>431068</v>
      </c>
      <c r="F254" s="449">
        <f>IF(C254=0,0,E254/C254)</f>
        <v>1.3448915442753629E-2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656</v>
      </c>
      <c r="C255" s="441">
        <f>C189+C204</f>
        <v>8694986</v>
      </c>
      <c r="D255" s="441">
        <f>LN_IF24</f>
        <v>7171108</v>
      </c>
      <c r="E255" s="441">
        <f>D255-C255</f>
        <v>-1523878</v>
      </c>
      <c r="F255" s="449">
        <f>IF(C255=0,0,E255/C255)</f>
        <v>-0.17525939662237525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720</v>
      </c>
      <c r="C256" s="441">
        <f>C254*C313</f>
        <v>12776306.072867649</v>
      </c>
      <c r="D256" s="441">
        <f>LN_IH8*LN_III10</f>
        <v>11887278.689874206</v>
      </c>
      <c r="E256" s="441">
        <f>D256-C256</f>
        <v>-889027.38299344294</v>
      </c>
      <c r="F256" s="449">
        <f>IF(C256=0,0,E256/C256)</f>
        <v>-6.958407053830859E-2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721</v>
      </c>
      <c r="C257" s="441">
        <f>C256-C255</f>
        <v>4081320.0728676487</v>
      </c>
      <c r="D257" s="441">
        <f>LN_IH10-LN_IH9</f>
        <v>4716170.6898742057</v>
      </c>
      <c r="E257" s="441">
        <f>D257-C257</f>
        <v>634850.61700655706</v>
      </c>
      <c r="F257" s="449">
        <f>IF(C257=0,0,E257/C257)</f>
        <v>0.15555031354365045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722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723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59163980</v>
      </c>
      <c r="D261" s="448">
        <f>LN_IA1+LN_IB1+LN_IF1+LN_IG1</f>
        <v>56442155</v>
      </c>
      <c r="E261" s="448">
        <f t="shared" ref="E261:E274" si="26">D261-C261</f>
        <v>-2721825</v>
      </c>
      <c r="F261" s="503">
        <f t="shared" ref="F261:F274" si="27">IF(C261=0,0,E261/C261)</f>
        <v>-4.6004765061444478E-2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25383004</v>
      </c>
      <c r="D262" s="448">
        <f>+LN_IA2+LN_IB2+LN_IF2+LN_IG2</f>
        <v>22143282</v>
      </c>
      <c r="E262" s="448">
        <f t="shared" si="26"/>
        <v>-3239722</v>
      </c>
      <c r="F262" s="503">
        <f t="shared" si="27"/>
        <v>-0.12763351414198257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724</v>
      </c>
      <c r="C263" s="453">
        <f>IF(C261=0,0,C262/C261)</f>
        <v>0.42902799980663908</v>
      </c>
      <c r="D263" s="453">
        <f>IF(LN_IIA1=0,0,LN_IIA2/LN_IIA1)</f>
        <v>0.39231815298335082</v>
      </c>
      <c r="E263" s="454">
        <f t="shared" si="26"/>
        <v>-3.6709846823288261E-2</v>
      </c>
      <c r="F263" s="458">
        <f t="shared" si="27"/>
        <v>-8.5565153882341524E-2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3036</v>
      </c>
      <c r="D264" s="456">
        <f>LN_IA4+LN_IB4+LN_IF4+LN_IG3</f>
        <v>3138</v>
      </c>
      <c r="E264" s="456">
        <f t="shared" si="26"/>
        <v>102</v>
      </c>
      <c r="F264" s="503">
        <f t="shared" si="27"/>
        <v>3.3596837944664032E-2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725</v>
      </c>
      <c r="C265" s="525">
        <f>IF(C264=0,0,C266/C264)</f>
        <v>1.1270036166007906</v>
      </c>
      <c r="D265" s="525">
        <f>IF(LN_IIA4=0,0,LN_IIA6/LN_IIA4)</f>
        <v>1.104925812619503</v>
      </c>
      <c r="E265" s="525">
        <f t="shared" si="26"/>
        <v>-2.2077803981287669E-2</v>
      </c>
      <c r="F265" s="503">
        <f t="shared" si="27"/>
        <v>-1.9589825317400122E-2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726</v>
      </c>
      <c r="C266" s="463">
        <f>C20+C47+C193+C226</f>
        <v>3421.5829800000001</v>
      </c>
      <c r="D266" s="463">
        <f>LN_IA6+LN_IB6+LN_IF6+LN_IG5</f>
        <v>3467.2572</v>
      </c>
      <c r="E266" s="463">
        <f t="shared" si="26"/>
        <v>45.674219999999877</v>
      </c>
      <c r="F266" s="503">
        <f t="shared" si="27"/>
        <v>1.3348856440710924E-2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112155339</v>
      </c>
      <c r="D267" s="448">
        <f>LN_IA11+LN_IB13+LN_IF14+LN_IG9</f>
        <v>111583707</v>
      </c>
      <c r="E267" s="448">
        <f t="shared" si="26"/>
        <v>-571632</v>
      </c>
      <c r="F267" s="503">
        <f t="shared" si="27"/>
        <v>-5.0967881252625882E-3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651</v>
      </c>
      <c r="C268" s="453">
        <f>IF(C261=0,0,C267/C261)</f>
        <v>1.8956692737709668</v>
      </c>
      <c r="D268" s="453">
        <f>IF(LN_IIA1=0,0,LN_IIA7/LN_IIA1)</f>
        <v>1.9769568862138591</v>
      </c>
      <c r="E268" s="454">
        <f t="shared" si="26"/>
        <v>8.1287612442892287E-2</v>
      </c>
      <c r="F268" s="458">
        <f t="shared" si="27"/>
        <v>4.2880693150230062E-2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40004730</v>
      </c>
      <c r="D269" s="448">
        <f>LN_IA12+LN_IB14+LN_IF15+LN_IG10</f>
        <v>36973364</v>
      </c>
      <c r="E269" s="448">
        <f t="shared" si="26"/>
        <v>-3031366</v>
      </c>
      <c r="F269" s="503">
        <f t="shared" si="27"/>
        <v>-7.5775189583831712E-2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650</v>
      </c>
      <c r="C270" s="453">
        <f>IF(C267=0,0,C269/C267)</f>
        <v>0.35669037565835365</v>
      </c>
      <c r="D270" s="453">
        <f>IF(LN_IIA7=0,0,LN_IIA9/LN_IIA7)</f>
        <v>0.33135092025576818</v>
      </c>
      <c r="E270" s="454">
        <f t="shared" si="26"/>
        <v>-2.5339455402585476E-2</v>
      </c>
      <c r="F270" s="458">
        <f t="shared" si="27"/>
        <v>-7.1040479732080566E-2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727</v>
      </c>
      <c r="C271" s="441">
        <f>C261+C267</f>
        <v>171319319</v>
      </c>
      <c r="D271" s="441">
        <f>LN_IIA1+LN_IIA7</f>
        <v>168025862</v>
      </c>
      <c r="E271" s="441">
        <f t="shared" si="26"/>
        <v>-3293457</v>
      </c>
      <c r="F271" s="503">
        <f t="shared" si="27"/>
        <v>-1.9224084120950773E-2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728</v>
      </c>
      <c r="C272" s="441">
        <f>C262+C269</f>
        <v>65387734</v>
      </c>
      <c r="D272" s="441">
        <f>LN_IIA2+LN_IIA9</f>
        <v>59116646</v>
      </c>
      <c r="E272" s="441">
        <f t="shared" si="26"/>
        <v>-6271088</v>
      </c>
      <c r="F272" s="503">
        <f t="shared" si="27"/>
        <v>-9.5906183260609706E-2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729</v>
      </c>
      <c r="C273" s="453">
        <f>IF(C271=0,0,C272/C271)</f>
        <v>0.38167168992774247</v>
      </c>
      <c r="D273" s="453">
        <f>IF(LN_IIA11=0,0,LN_IIA12/LN_IIA11)</f>
        <v>0.35183063664330433</v>
      </c>
      <c r="E273" s="454">
        <f t="shared" si="26"/>
        <v>-2.9841053284438146E-2</v>
      </c>
      <c r="F273" s="458">
        <f t="shared" si="27"/>
        <v>-7.8185136786245821E-2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15091</v>
      </c>
      <c r="D274" s="508">
        <f>LN_IA8+LN_IB10+LN_IF11+LN_IG6</f>
        <v>15364</v>
      </c>
      <c r="E274" s="528">
        <f t="shared" si="26"/>
        <v>273</v>
      </c>
      <c r="F274" s="458">
        <f t="shared" si="27"/>
        <v>1.8090252468358624E-2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730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731</v>
      </c>
      <c r="C277" s="448">
        <f>C15+C188+C221</f>
        <v>46146753</v>
      </c>
      <c r="D277" s="448">
        <f>LN_IA1+LN_IF1+LN_IG1</f>
        <v>45441123</v>
      </c>
      <c r="E277" s="448">
        <f t="shared" ref="E277:E291" si="28">D277-C277</f>
        <v>-705630</v>
      </c>
      <c r="F277" s="503">
        <f t="shared" ref="F277:F291" si="29">IF(C277=0,0,E277/C277)</f>
        <v>-1.5290999997334591E-2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732</v>
      </c>
      <c r="C278" s="448">
        <f>C16+C189+C222</f>
        <v>17095470</v>
      </c>
      <c r="D278" s="448">
        <f>LN_IA2+LN_IF2+LN_IG2</f>
        <v>14902678</v>
      </c>
      <c r="E278" s="448">
        <f t="shared" si="28"/>
        <v>-2192792</v>
      </c>
      <c r="F278" s="503">
        <f t="shared" si="29"/>
        <v>-0.12826742990979481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733</v>
      </c>
      <c r="C279" s="453">
        <f>IF(C277=0,0,C278/C277)</f>
        <v>0.37045878395821263</v>
      </c>
      <c r="D279" s="453">
        <f>IF(D277=0,0,LN_IIB2/D277)</f>
        <v>0.32795575936800681</v>
      </c>
      <c r="E279" s="454">
        <f t="shared" si="28"/>
        <v>-4.2503024590205829E-2</v>
      </c>
      <c r="F279" s="458">
        <f t="shared" si="29"/>
        <v>-0.11473077824225685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734</v>
      </c>
      <c r="C280" s="456">
        <f>C18+C191+C224</f>
        <v>2205</v>
      </c>
      <c r="D280" s="456">
        <f>LN_IA4+LN_IF4+LN_IG3</f>
        <v>2345</v>
      </c>
      <c r="E280" s="456">
        <f t="shared" si="28"/>
        <v>140</v>
      </c>
      <c r="F280" s="503">
        <f t="shared" si="29"/>
        <v>6.3492063492063489E-2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735</v>
      </c>
      <c r="C281" s="525">
        <f>IF(C280=0,0,C282/C280)</f>
        <v>1.1654081088435375</v>
      </c>
      <c r="D281" s="525">
        <f>IF(LN_IIB4=0,0,LN_IIB6/LN_IIB4)</f>
        <v>1.137060341151386</v>
      </c>
      <c r="E281" s="525">
        <f t="shared" si="28"/>
        <v>-2.8347767692151526E-2</v>
      </c>
      <c r="F281" s="503">
        <f t="shared" si="29"/>
        <v>-2.432432679765863E-2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736</v>
      </c>
      <c r="C282" s="463">
        <f>C20+C193+C226</f>
        <v>2569.7248800000002</v>
      </c>
      <c r="D282" s="463">
        <f>LN_IA6+LN_IF6+LN_IG5</f>
        <v>2666.4065000000001</v>
      </c>
      <c r="E282" s="463">
        <f t="shared" si="28"/>
        <v>96.681619999999839</v>
      </c>
      <c r="F282" s="503">
        <f t="shared" si="29"/>
        <v>3.7623334992966183E-2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737</v>
      </c>
      <c r="C283" s="448">
        <f>C27+C203+C233</f>
        <v>66051433</v>
      </c>
      <c r="D283" s="448">
        <f>LN_IA11+LN_IF14+LN_IG9</f>
        <v>67855955</v>
      </c>
      <c r="E283" s="448">
        <f t="shared" si="28"/>
        <v>1804522</v>
      </c>
      <c r="F283" s="503">
        <f t="shared" si="29"/>
        <v>2.731995231655307E-2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738</v>
      </c>
      <c r="C284" s="453">
        <f>IF(C277=0,0,C283/C277)</f>
        <v>1.4313343562872127</v>
      </c>
      <c r="D284" s="453">
        <f>IF(D277=0,0,LN_IIB7/D277)</f>
        <v>1.4932719642514116</v>
      </c>
      <c r="E284" s="454">
        <f t="shared" si="28"/>
        <v>6.1937607964198893E-2</v>
      </c>
      <c r="F284" s="458">
        <f t="shared" si="29"/>
        <v>4.3272634162754939E-2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739</v>
      </c>
      <c r="C285" s="448">
        <f>C28+C204+C234</f>
        <v>15151840</v>
      </c>
      <c r="D285" s="448">
        <f>LN_IA12+LN_IF15+LN_IG10</f>
        <v>14296475</v>
      </c>
      <c r="E285" s="448">
        <f t="shared" si="28"/>
        <v>-855365</v>
      </c>
      <c r="F285" s="503">
        <f t="shared" si="29"/>
        <v>-5.6452879650260301E-2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740</v>
      </c>
      <c r="C286" s="453">
        <f>IF(C283=0,0,C285/C283)</f>
        <v>0.2293945689263093</v>
      </c>
      <c r="D286" s="453">
        <f>IF(LN_IIB7=0,0,LN_IIB9/LN_IIB7)</f>
        <v>0.21068858289593007</v>
      </c>
      <c r="E286" s="454">
        <f t="shared" si="28"/>
        <v>-1.8705986030379235E-2</v>
      </c>
      <c r="F286" s="458">
        <f t="shared" si="29"/>
        <v>-8.1545025751626865E-2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741</v>
      </c>
      <c r="C287" s="441">
        <f>C277+C283</f>
        <v>112198186</v>
      </c>
      <c r="D287" s="441">
        <f>D277+LN_IIB7</f>
        <v>113297078</v>
      </c>
      <c r="E287" s="441">
        <f t="shared" si="28"/>
        <v>1098892</v>
      </c>
      <c r="F287" s="503">
        <f t="shared" si="29"/>
        <v>9.7942046941828457E-3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742</v>
      </c>
      <c r="C288" s="441">
        <f>C278+C285</f>
        <v>32247310</v>
      </c>
      <c r="D288" s="441">
        <f>LN_IIB2+LN_IIB9</f>
        <v>29199153</v>
      </c>
      <c r="E288" s="441">
        <f t="shared" si="28"/>
        <v>-3048157</v>
      </c>
      <c r="F288" s="503">
        <f t="shared" si="29"/>
        <v>-9.4524380483209297E-2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743</v>
      </c>
      <c r="C289" s="453">
        <f>IF(C287=0,0,C288/C287)</f>
        <v>0.28741382681534622</v>
      </c>
      <c r="D289" s="453">
        <f>IF(LN_IIB11=0,0,LN_IIB12/LN_IIB11)</f>
        <v>0.25772203057169751</v>
      </c>
      <c r="E289" s="454">
        <f t="shared" si="28"/>
        <v>-2.9691796243648705E-2</v>
      </c>
      <c r="F289" s="458">
        <f t="shared" si="29"/>
        <v>-0.10330677745272392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11631</v>
      </c>
      <c r="D290" s="508">
        <f>LN_IA8+LN_IF11+LN_IG6</f>
        <v>12197</v>
      </c>
      <c r="E290" s="528">
        <f t="shared" si="28"/>
        <v>566</v>
      </c>
      <c r="F290" s="458">
        <f t="shared" si="29"/>
        <v>4.8663055627203161E-2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744</v>
      </c>
      <c r="C291" s="448">
        <f>C287-C288</f>
        <v>79950876</v>
      </c>
      <c r="D291" s="516">
        <f>LN_IIB11-LN_IIB12</f>
        <v>84097925</v>
      </c>
      <c r="E291" s="441">
        <f t="shared" si="28"/>
        <v>4147049</v>
      </c>
      <c r="F291" s="503">
        <f t="shared" si="29"/>
        <v>5.1869963250934237E-2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646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637</v>
      </c>
      <c r="C294" s="466">
        <f>IF(C18=0,0,C22/C18)</f>
        <v>5.6032498307379823</v>
      </c>
      <c r="D294" s="466">
        <f>IF(LN_IA4=0,0,LN_IA8/LN_IA4)</f>
        <v>5.3558967201674808</v>
      </c>
      <c r="E294" s="466">
        <f t="shared" ref="E294:E300" si="30">D294-C294</f>
        <v>-0.24735311057050158</v>
      </c>
      <c r="F294" s="503">
        <f t="shared" ref="F294:F300" si="31">IF(C294=0,0,E294/C294)</f>
        <v>-4.4144580028109094E-2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658</v>
      </c>
      <c r="C295" s="466">
        <f>IF(C45=0,0,C51/C45)</f>
        <v>4.1636582430806257</v>
      </c>
      <c r="D295" s="466">
        <f>IF(LN_IB4=0,0,(LN_IB10)/(LN_IB4))</f>
        <v>3.9936948297604036</v>
      </c>
      <c r="E295" s="466">
        <f t="shared" si="30"/>
        <v>-0.16996341332022213</v>
      </c>
      <c r="F295" s="503">
        <f t="shared" si="31"/>
        <v>-4.0820692621128495E-2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673</v>
      </c>
      <c r="C296" s="466">
        <f>IF(C86=0,0,C93/C86)</f>
        <v>5.8461538461538458</v>
      </c>
      <c r="D296" s="466">
        <f>IF(LN_IC4=0,0,LN_IC11/LN_IC4)</f>
        <v>3.1489361702127661</v>
      </c>
      <c r="E296" s="466">
        <f t="shared" si="30"/>
        <v>-2.6972176759410798</v>
      </c>
      <c r="F296" s="503">
        <f t="shared" si="31"/>
        <v>-0.46136618141097419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4.5280235988200586</v>
      </c>
      <c r="D297" s="466">
        <f>IF(LN_ID4=0,0,LN_ID11/LN_ID4)</f>
        <v>5.0044843049327357</v>
      </c>
      <c r="E297" s="466">
        <f t="shared" si="30"/>
        <v>0.4764607061126771</v>
      </c>
      <c r="F297" s="503">
        <f t="shared" si="31"/>
        <v>0.10522487255517755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745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5.7</v>
      </c>
      <c r="D299" s="466">
        <f>IF(LN_IG3=0,0,LN_IG6/LN_IG3)</f>
        <v>2.9</v>
      </c>
      <c r="E299" s="466">
        <f t="shared" si="30"/>
        <v>-2.8000000000000003</v>
      </c>
      <c r="F299" s="503">
        <f t="shared" si="31"/>
        <v>-0.49122807017543862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746</v>
      </c>
      <c r="C300" s="466">
        <f>IF(C264=0,0,C274/C264)</f>
        <v>4.9706851119894599</v>
      </c>
      <c r="D300" s="466">
        <f>IF(LN_IIA4=0,0,LN_IIA14/LN_IIA4)</f>
        <v>4.8961121733588273</v>
      </c>
      <c r="E300" s="466">
        <f t="shared" si="30"/>
        <v>-7.4572938630632635E-2</v>
      </c>
      <c r="F300" s="503">
        <f t="shared" si="31"/>
        <v>-1.5002547325067965E-2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747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741</v>
      </c>
      <c r="C304" s="441">
        <f>C35+C66+C214+C221+C233</f>
        <v>171319319</v>
      </c>
      <c r="D304" s="441">
        <f>LN_IIA11</f>
        <v>168025862</v>
      </c>
      <c r="E304" s="441">
        <f t="shared" ref="E304:E316" si="32">D304-C304</f>
        <v>-3293457</v>
      </c>
      <c r="F304" s="449">
        <f>IF(C304=0,0,E304/C304)</f>
        <v>-1.9224084120950773E-2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744</v>
      </c>
      <c r="C305" s="441">
        <f>C291</f>
        <v>79950876</v>
      </c>
      <c r="D305" s="441">
        <f>LN_IIB14</f>
        <v>84097925</v>
      </c>
      <c r="E305" s="441">
        <f t="shared" si="32"/>
        <v>4147049</v>
      </c>
      <c r="F305" s="449">
        <f>IF(C305=0,0,E305/C305)</f>
        <v>5.1869963250934237E-2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748</v>
      </c>
      <c r="C306" s="441">
        <f>C250</f>
        <v>3335047</v>
      </c>
      <c r="D306" s="441">
        <f>LN_IH6</f>
        <v>2137964</v>
      </c>
      <c r="E306" s="441">
        <f t="shared" si="32"/>
        <v>-1197083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749</v>
      </c>
      <c r="C307" s="441">
        <f>C73-C74</f>
        <v>19744023</v>
      </c>
      <c r="D307" s="441">
        <f>LN_IB32-LN_IB33</f>
        <v>20300865</v>
      </c>
      <c r="E307" s="441">
        <f t="shared" si="32"/>
        <v>556842</v>
      </c>
      <c r="F307" s="449">
        <f t="shared" ref="F307:F316" si="33">IF(C307=0,0,E307/C307)</f>
        <v>2.8203066821792095E-2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750</v>
      </c>
      <c r="C308" s="441">
        <v>0</v>
      </c>
      <c r="D308" s="441">
        <v>0</v>
      </c>
      <c r="E308" s="441">
        <f t="shared" si="32"/>
        <v>0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751</v>
      </c>
      <c r="C309" s="441">
        <f>C305+C307+C308+C306</f>
        <v>103029946</v>
      </c>
      <c r="D309" s="441">
        <f>LN_III2+LN_III3+LN_III4+LN_III5</f>
        <v>106536754</v>
      </c>
      <c r="E309" s="441">
        <f t="shared" si="32"/>
        <v>3506808</v>
      </c>
      <c r="F309" s="449">
        <f t="shared" si="33"/>
        <v>3.4036783829819728E-2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752</v>
      </c>
      <c r="C310" s="441">
        <f>C304-C309</f>
        <v>68289373</v>
      </c>
      <c r="D310" s="441">
        <f>LN_III1-LN_III6</f>
        <v>61489108</v>
      </c>
      <c r="E310" s="441">
        <f t="shared" si="32"/>
        <v>-6800265</v>
      </c>
      <c r="F310" s="449">
        <f t="shared" si="33"/>
        <v>-9.9580135257648361E-2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753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754</v>
      </c>
      <c r="C312" s="441">
        <f>C310+C311</f>
        <v>68289373</v>
      </c>
      <c r="D312" s="441">
        <f>LN_III7+LN_III8</f>
        <v>61489108</v>
      </c>
      <c r="E312" s="441">
        <f t="shared" si="32"/>
        <v>-6800265</v>
      </c>
      <c r="F312" s="449">
        <f t="shared" si="33"/>
        <v>-9.9580135257648361E-2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755</v>
      </c>
      <c r="C313" s="532">
        <f>IF(C304=0,0,C312/C304)</f>
        <v>0.39860871149038363</v>
      </c>
      <c r="D313" s="532">
        <f>IF(LN_III1=0,0,LN_III9/LN_III1)</f>
        <v>0.36595026068070402</v>
      </c>
      <c r="E313" s="532">
        <f t="shared" si="32"/>
        <v>-3.2658450809679607E-2</v>
      </c>
      <c r="F313" s="449">
        <f t="shared" si="33"/>
        <v>-8.1931101524527233E-2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718</v>
      </c>
      <c r="C314" s="441">
        <f>C306*C313</f>
        <v>1329378.7874298694</v>
      </c>
      <c r="D314" s="441">
        <f>D313*LN_III5</f>
        <v>782388.48312596069</v>
      </c>
      <c r="E314" s="441">
        <f t="shared" si="32"/>
        <v>-546990.30430390872</v>
      </c>
      <c r="F314" s="449">
        <f t="shared" si="33"/>
        <v>-0.41146309048711588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721</v>
      </c>
      <c r="C315" s="441">
        <f>(C214*C313)-C215</f>
        <v>4081320.0728676487</v>
      </c>
      <c r="D315" s="441">
        <f>D313*LN_IH8-LN_IH9</f>
        <v>4716170.6898742057</v>
      </c>
      <c r="E315" s="441">
        <f t="shared" si="32"/>
        <v>634850.61700655706</v>
      </c>
      <c r="F315" s="449">
        <f t="shared" si="33"/>
        <v>0.15555031354365045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756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757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758</v>
      </c>
      <c r="C318" s="441">
        <f>C314+C315+C316</f>
        <v>5410698.8602975179</v>
      </c>
      <c r="D318" s="441">
        <f>D314+D315+D316</f>
        <v>5498559.1730001662</v>
      </c>
      <c r="E318" s="441">
        <f>D318-C318</f>
        <v>87860.312702648342</v>
      </c>
      <c r="F318" s="449">
        <f>IF(C318=0,0,E318/C318)</f>
        <v>1.6238255902088251E-2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759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3309547.878905612</v>
      </c>
      <c r="D322" s="441">
        <f>LN_ID22</f>
        <v>3906072.0763885807</v>
      </c>
      <c r="E322" s="441">
        <f>LN_IV2-C322</f>
        <v>596524.19748296868</v>
      </c>
      <c r="F322" s="449">
        <f>IF(C322=0,0,E322/C322)</f>
        <v>0.1802434106740359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745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760</v>
      </c>
      <c r="C324" s="441">
        <f>C92+C106</f>
        <v>573615.32518561103</v>
      </c>
      <c r="D324" s="441">
        <f>LN_IC10+LN_IC22</f>
        <v>834867.40659932536</v>
      </c>
      <c r="E324" s="441">
        <f>LN_IV1-C324</f>
        <v>261252.08141371433</v>
      </c>
      <c r="F324" s="449">
        <f>IF(C324=0,0,E324/C324)</f>
        <v>0.45544822452081124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761</v>
      </c>
      <c r="C325" s="516">
        <f>C324+C322+C323</f>
        <v>3883163.204091223</v>
      </c>
      <c r="D325" s="516">
        <f>LN_IV1+LN_IV2+LN_IV3</f>
        <v>4740939.4829879059</v>
      </c>
      <c r="E325" s="441">
        <f>LN_IV4-C325</f>
        <v>857776.2788966829</v>
      </c>
      <c r="F325" s="449">
        <f>IF(C325=0,0,E325/C325)</f>
        <v>0.22089627291300737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762</v>
      </c>
      <c r="B327" s="530" t="s">
        <v>763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764</v>
      </c>
      <c r="C329" s="518">
        <v>0</v>
      </c>
      <c r="D329" s="518">
        <v>0</v>
      </c>
      <c r="E329" s="518">
        <f t="shared" ref="E329:E335" si="34">D329-C329</f>
        <v>0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765</v>
      </c>
      <c r="C330" s="516">
        <v>0</v>
      </c>
      <c r="D330" s="516">
        <v>1</v>
      </c>
      <c r="E330" s="518">
        <f t="shared" si="34"/>
        <v>1</v>
      </c>
      <c r="F330" s="543">
        <f t="shared" si="35"/>
        <v>0</v>
      </c>
    </row>
    <row r="331" spans="1:22" s="420" customFormat="1" ht="15.75" customHeight="1" x14ac:dyDescent="0.2">
      <c r="A331" s="427">
        <v>3</v>
      </c>
      <c r="B331" s="447" t="s">
        <v>766</v>
      </c>
      <c r="C331" s="516">
        <v>65387734</v>
      </c>
      <c r="D331" s="516">
        <v>59116647</v>
      </c>
      <c r="E331" s="518">
        <f t="shared" si="34"/>
        <v>-6271087</v>
      </c>
      <c r="F331" s="542">
        <f t="shared" si="35"/>
        <v>-9.5906167967221498E-2</v>
      </c>
    </row>
    <row r="332" spans="1:22" s="420" customFormat="1" ht="27" customHeight="1" x14ac:dyDescent="0.2">
      <c r="A332" s="451">
        <v>4</v>
      </c>
      <c r="B332" s="447" t="s">
        <v>767</v>
      </c>
      <c r="C332" s="516">
        <v>0</v>
      </c>
      <c r="D332" s="516">
        <v>-529</v>
      </c>
      <c r="E332" s="518">
        <f t="shared" si="34"/>
        <v>-529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768</v>
      </c>
      <c r="C333" s="516">
        <v>171319321</v>
      </c>
      <c r="D333" s="516">
        <v>168025333</v>
      </c>
      <c r="E333" s="518">
        <f t="shared" si="34"/>
        <v>-3293988</v>
      </c>
      <c r="F333" s="542">
        <f t="shared" si="35"/>
        <v>-1.922718337180428E-2</v>
      </c>
    </row>
    <row r="334" spans="1:22" s="420" customFormat="1" ht="15.75" customHeight="1" x14ac:dyDescent="0.2">
      <c r="A334" s="427">
        <v>6</v>
      </c>
      <c r="B334" s="447" t="s">
        <v>769</v>
      </c>
      <c r="C334" s="516">
        <v>0</v>
      </c>
      <c r="D334" s="516">
        <v>521</v>
      </c>
      <c r="E334" s="516">
        <f t="shared" si="34"/>
        <v>521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770</v>
      </c>
      <c r="C335" s="516">
        <v>3335047</v>
      </c>
      <c r="D335" s="516">
        <v>2138485</v>
      </c>
      <c r="E335" s="516">
        <f t="shared" si="34"/>
        <v>-1196562</v>
      </c>
      <c r="F335" s="542">
        <f t="shared" si="35"/>
        <v>-0.35878414906896366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75" bottom="0.75" header="0.3" footer="0.3"/>
  <pageSetup scale="81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M25" sqref="M25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631</v>
      </c>
      <c r="B3" s="820"/>
      <c r="C3" s="820"/>
      <c r="D3" s="820"/>
      <c r="E3" s="820"/>
    </row>
    <row r="4" spans="1:5" s="428" customFormat="1" ht="15.75" customHeight="1" x14ac:dyDescent="0.25">
      <c r="A4" s="820" t="s">
        <v>771</v>
      </c>
      <c r="B4" s="820"/>
      <c r="C4" s="820"/>
      <c r="D4" s="820"/>
      <c r="E4" s="820"/>
    </row>
    <row r="5" spans="1:5" s="428" customFormat="1" ht="15.75" customHeight="1" x14ac:dyDescent="0.25">
      <c r="A5" s="820" t="s">
        <v>772</v>
      </c>
      <c r="B5" s="820"/>
      <c r="C5" s="820"/>
      <c r="D5" s="820"/>
      <c r="E5" s="820"/>
    </row>
    <row r="6" spans="1:5" s="428" customFormat="1" ht="15.75" customHeight="1" x14ac:dyDescent="0.25">
      <c r="A6" s="820" t="s">
        <v>773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774</v>
      </c>
      <c r="D9" s="573" t="s">
        <v>775</v>
      </c>
      <c r="E9" s="573" t="s">
        <v>776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777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778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658</v>
      </c>
      <c r="C14" s="589">
        <v>13017227</v>
      </c>
      <c r="D14" s="589">
        <v>11001032</v>
      </c>
      <c r="E14" s="590">
        <f t="shared" ref="E14:E22" si="0">D14-C14</f>
        <v>-2016195</v>
      </c>
    </row>
    <row r="15" spans="1:5" s="421" customFormat="1" x14ac:dyDescent="0.2">
      <c r="A15" s="588">
        <v>2</v>
      </c>
      <c r="B15" s="587" t="s">
        <v>637</v>
      </c>
      <c r="C15" s="589">
        <v>35193711</v>
      </c>
      <c r="D15" s="591">
        <v>32649626</v>
      </c>
      <c r="E15" s="590">
        <f t="shared" si="0"/>
        <v>-2544085</v>
      </c>
    </row>
    <row r="16" spans="1:5" s="421" customFormat="1" x14ac:dyDescent="0.2">
      <c r="A16" s="588">
        <v>3</v>
      </c>
      <c r="B16" s="587" t="s">
        <v>779</v>
      </c>
      <c r="C16" s="589">
        <v>10212033</v>
      </c>
      <c r="D16" s="591">
        <v>12596038</v>
      </c>
      <c r="E16" s="590">
        <f t="shared" si="0"/>
        <v>2384005</v>
      </c>
    </row>
    <row r="17" spans="1:5" s="421" customFormat="1" x14ac:dyDescent="0.2">
      <c r="A17" s="588">
        <v>4</v>
      </c>
      <c r="B17" s="587" t="s">
        <v>115</v>
      </c>
      <c r="C17" s="589">
        <v>10212033</v>
      </c>
      <c r="D17" s="591">
        <v>12596038</v>
      </c>
      <c r="E17" s="590">
        <f t="shared" si="0"/>
        <v>2384005</v>
      </c>
    </row>
    <row r="18" spans="1:5" s="421" customFormat="1" x14ac:dyDescent="0.2">
      <c r="A18" s="588">
        <v>5</v>
      </c>
      <c r="B18" s="587" t="s">
        <v>745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741009</v>
      </c>
      <c r="D19" s="591">
        <v>195459</v>
      </c>
      <c r="E19" s="590">
        <f t="shared" si="0"/>
        <v>-545550</v>
      </c>
    </row>
    <row r="20" spans="1:5" s="421" customFormat="1" x14ac:dyDescent="0.2">
      <c r="A20" s="588">
        <v>7</v>
      </c>
      <c r="B20" s="587" t="s">
        <v>760</v>
      </c>
      <c r="C20" s="589">
        <v>706618</v>
      </c>
      <c r="D20" s="591">
        <v>566385</v>
      </c>
      <c r="E20" s="590">
        <f t="shared" si="0"/>
        <v>-140233</v>
      </c>
    </row>
    <row r="21" spans="1:5" s="421" customFormat="1" x14ac:dyDescent="0.2">
      <c r="A21" s="588"/>
      <c r="B21" s="592" t="s">
        <v>780</v>
      </c>
      <c r="C21" s="593">
        <f>SUM(C15+C16+C19)</f>
        <v>46146753</v>
      </c>
      <c r="D21" s="593">
        <f>SUM(D15+D16+D19)</f>
        <v>45441123</v>
      </c>
      <c r="E21" s="593">
        <f t="shared" si="0"/>
        <v>-705630</v>
      </c>
    </row>
    <row r="22" spans="1:5" s="421" customFormat="1" x14ac:dyDescent="0.2">
      <c r="A22" s="588"/>
      <c r="B22" s="592" t="s">
        <v>465</v>
      </c>
      <c r="C22" s="593">
        <f>SUM(C14+C21)</f>
        <v>59163980</v>
      </c>
      <c r="D22" s="593">
        <f>SUM(D14+D21)</f>
        <v>56442155</v>
      </c>
      <c r="E22" s="593">
        <f t="shared" si="0"/>
        <v>-2721825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781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658</v>
      </c>
      <c r="C25" s="589">
        <v>46103906</v>
      </c>
      <c r="D25" s="589">
        <v>43727752</v>
      </c>
      <c r="E25" s="590">
        <f t="shared" ref="E25:E33" si="1">D25-C25</f>
        <v>-2376154</v>
      </c>
    </row>
    <row r="26" spans="1:5" s="421" customFormat="1" x14ac:dyDescent="0.2">
      <c r="A26" s="588">
        <v>2</v>
      </c>
      <c r="B26" s="587" t="s">
        <v>637</v>
      </c>
      <c r="C26" s="589">
        <v>43468093</v>
      </c>
      <c r="D26" s="591">
        <v>47610438</v>
      </c>
      <c r="E26" s="590">
        <f t="shared" si="1"/>
        <v>4142345</v>
      </c>
    </row>
    <row r="27" spans="1:5" s="421" customFormat="1" x14ac:dyDescent="0.2">
      <c r="A27" s="588">
        <v>3</v>
      </c>
      <c r="B27" s="587" t="s">
        <v>779</v>
      </c>
      <c r="C27" s="589">
        <v>21840217</v>
      </c>
      <c r="D27" s="591">
        <v>19887280</v>
      </c>
      <c r="E27" s="590">
        <f t="shared" si="1"/>
        <v>-1952937</v>
      </c>
    </row>
    <row r="28" spans="1:5" s="421" customFormat="1" x14ac:dyDescent="0.2">
      <c r="A28" s="588">
        <v>4</v>
      </c>
      <c r="B28" s="587" t="s">
        <v>115</v>
      </c>
      <c r="C28" s="589">
        <v>21840217</v>
      </c>
      <c r="D28" s="591">
        <v>19887280</v>
      </c>
      <c r="E28" s="590">
        <f t="shared" si="1"/>
        <v>-1952937</v>
      </c>
    </row>
    <row r="29" spans="1:5" s="421" customFormat="1" x14ac:dyDescent="0.2">
      <c r="A29" s="588">
        <v>5</v>
      </c>
      <c r="B29" s="587" t="s">
        <v>745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743123</v>
      </c>
      <c r="D30" s="591">
        <v>358237</v>
      </c>
      <c r="E30" s="590">
        <f t="shared" si="1"/>
        <v>-384886</v>
      </c>
    </row>
    <row r="31" spans="1:5" s="421" customFormat="1" x14ac:dyDescent="0.2">
      <c r="A31" s="588">
        <v>7</v>
      </c>
      <c r="B31" s="587" t="s">
        <v>760</v>
      </c>
      <c r="C31" s="590">
        <v>1457778</v>
      </c>
      <c r="D31" s="594">
        <v>1676126</v>
      </c>
      <c r="E31" s="590">
        <f t="shared" si="1"/>
        <v>218348</v>
      </c>
    </row>
    <row r="32" spans="1:5" s="421" customFormat="1" x14ac:dyDescent="0.2">
      <c r="A32" s="588"/>
      <c r="B32" s="592" t="s">
        <v>782</v>
      </c>
      <c r="C32" s="593">
        <f>SUM(C26+C27+C30)</f>
        <v>66051433</v>
      </c>
      <c r="D32" s="593">
        <f>SUM(D26+D27+D30)</f>
        <v>67855955</v>
      </c>
      <c r="E32" s="593">
        <f t="shared" si="1"/>
        <v>1804522</v>
      </c>
    </row>
    <row r="33" spans="1:5" s="421" customFormat="1" x14ac:dyDescent="0.2">
      <c r="A33" s="588"/>
      <c r="B33" s="592" t="s">
        <v>467</v>
      </c>
      <c r="C33" s="593">
        <f>SUM(C25+C32)</f>
        <v>112155339</v>
      </c>
      <c r="D33" s="593">
        <f>SUM(D25+D32)</f>
        <v>111583707</v>
      </c>
      <c r="E33" s="593">
        <f t="shared" si="1"/>
        <v>-571632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655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783</v>
      </c>
      <c r="C36" s="590">
        <f t="shared" ref="C36:D42" si="2">C14+C25</f>
        <v>59121133</v>
      </c>
      <c r="D36" s="590">
        <f t="shared" si="2"/>
        <v>54728784</v>
      </c>
      <c r="E36" s="590">
        <f t="shared" ref="E36:E44" si="3">D36-C36</f>
        <v>-4392349</v>
      </c>
    </row>
    <row r="37" spans="1:5" s="421" customFormat="1" x14ac:dyDescent="0.2">
      <c r="A37" s="588">
        <v>2</v>
      </c>
      <c r="B37" s="587" t="s">
        <v>784</v>
      </c>
      <c r="C37" s="590">
        <f t="shared" si="2"/>
        <v>78661804</v>
      </c>
      <c r="D37" s="590">
        <f t="shared" si="2"/>
        <v>80260064</v>
      </c>
      <c r="E37" s="590">
        <f t="shared" si="3"/>
        <v>1598260</v>
      </c>
    </row>
    <row r="38" spans="1:5" s="421" customFormat="1" x14ac:dyDescent="0.2">
      <c r="A38" s="588">
        <v>3</v>
      </c>
      <c r="B38" s="587" t="s">
        <v>785</v>
      </c>
      <c r="C38" s="590">
        <f t="shared" si="2"/>
        <v>32052250</v>
      </c>
      <c r="D38" s="590">
        <f t="shared" si="2"/>
        <v>32483318</v>
      </c>
      <c r="E38" s="590">
        <f t="shared" si="3"/>
        <v>431068</v>
      </c>
    </row>
    <row r="39" spans="1:5" s="421" customFormat="1" x14ac:dyDescent="0.2">
      <c r="A39" s="588">
        <v>4</v>
      </c>
      <c r="B39" s="587" t="s">
        <v>786</v>
      </c>
      <c r="C39" s="590">
        <f t="shared" si="2"/>
        <v>32052250</v>
      </c>
      <c r="D39" s="590">
        <f t="shared" si="2"/>
        <v>32483318</v>
      </c>
      <c r="E39" s="590">
        <f t="shared" si="3"/>
        <v>431068</v>
      </c>
    </row>
    <row r="40" spans="1:5" s="421" customFormat="1" x14ac:dyDescent="0.2">
      <c r="A40" s="588">
        <v>5</v>
      </c>
      <c r="B40" s="587" t="s">
        <v>787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788</v>
      </c>
      <c r="C41" s="590">
        <f t="shared" si="2"/>
        <v>1484132</v>
      </c>
      <c r="D41" s="590">
        <f t="shared" si="2"/>
        <v>553696</v>
      </c>
      <c r="E41" s="590">
        <f t="shared" si="3"/>
        <v>-930436</v>
      </c>
    </row>
    <row r="42" spans="1:5" s="421" customFormat="1" x14ac:dyDescent="0.2">
      <c r="A42" s="588">
        <v>7</v>
      </c>
      <c r="B42" s="587" t="s">
        <v>789</v>
      </c>
      <c r="C42" s="590">
        <f t="shared" si="2"/>
        <v>2164396</v>
      </c>
      <c r="D42" s="590">
        <f t="shared" si="2"/>
        <v>2242511</v>
      </c>
      <c r="E42" s="590">
        <f t="shared" si="3"/>
        <v>78115</v>
      </c>
    </row>
    <row r="43" spans="1:5" s="421" customFormat="1" x14ac:dyDescent="0.2">
      <c r="A43" s="588"/>
      <c r="B43" s="592" t="s">
        <v>790</v>
      </c>
      <c r="C43" s="593">
        <f>SUM(C37+C38+C41)</f>
        <v>112198186</v>
      </c>
      <c r="D43" s="593">
        <f>SUM(D37+D38+D41)</f>
        <v>113297078</v>
      </c>
      <c r="E43" s="593">
        <f t="shared" si="3"/>
        <v>1098892</v>
      </c>
    </row>
    <row r="44" spans="1:5" s="421" customFormat="1" x14ac:dyDescent="0.2">
      <c r="A44" s="588"/>
      <c r="B44" s="592" t="s">
        <v>727</v>
      </c>
      <c r="C44" s="593">
        <f>SUM(C36+C43)</f>
        <v>171319319</v>
      </c>
      <c r="D44" s="593">
        <f>SUM(D36+D43)</f>
        <v>168025862</v>
      </c>
      <c r="E44" s="593">
        <f t="shared" si="3"/>
        <v>-3293457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791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658</v>
      </c>
      <c r="C47" s="589">
        <v>8287534</v>
      </c>
      <c r="D47" s="589">
        <v>7240604</v>
      </c>
      <c r="E47" s="590">
        <f t="shared" ref="E47:E55" si="4">D47-C47</f>
        <v>-1046930</v>
      </c>
    </row>
    <row r="48" spans="1:5" s="421" customFormat="1" x14ac:dyDescent="0.2">
      <c r="A48" s="588">
        <v>2</v>
      </c>
      <c r="B48" s="587" t="s">
        <v>637</v>
      </c>
      <c r="C48" s="589">
        <v>12879364</v>
      </c>
      <c r="D48" s="591">
        <v>11059539</v>
      </c>
      <c r="E48" s="590">
        <f t="shared" si="4"/>
        <v>-1819825</v>
      </c>
    </row>
    <row r="49" spans="1:5" s="421" customFormat="1" x14ac:dyDescent="0.2">
      <c r="A49" s="588">
        <v>3</v>
      </c>
      <c r="B49" s="587" t="s">
        <v>779</v>
      </c>
      <c r="C49" s="589">
        <v>3942846</v>
      </c>
      <c r="D49" s="591">
        <v>3771267</v>
      </c>
      <c r="E49" s="590">
        <f t="shared" si="4"/>
        <v>-171579</v>
      </c>
    </row>
    <row r="50" spans="1:5" s="421" customFormat="1" x14ac:dyDescent="0.2">
      <c r="A50" s="588">
        <v>4</v>
      </c>
      <c r="B50" s="587" t="s">
        <v>115</v>
      </c>
      <c r="C50" s="589">
        <v>3942846</v>
      </c>
      <c r="D50" s="591">
        <v>3771267</v>
      </c>
      <c r="E50" s="590">
        <f t="shared" si="4"/>
        <v>-171579</v>
      </c>
    </row>
    <row r="51" spans="1:5" s="421" customFormat="1" x14ac:dyDescent="0.2">
      <c r="A51" s="588">
        <v>5</v>
      </c>
      <c r="B51" s="587" t="s">
        <v>745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273260</v>
      </c>
      <c r="D52" s="591">
        <v>71872</v>
      </c>
      <c r="E52" s="590">
        <f t="shared" si="4"/>
        <v>-201388</v>
      </c>
    </row>
    <row r="53" spans="1:5" s="421" customFormat="1" x14ac:dyDescent="0.2">
      <c r="A53" s="588">
        <v>7</v>
      </c>
      <c r="B53" s="587" t="s">
        <v>760</v>
      </c>
      <c r="C53" s="589">
        <v>13345</v>
      </c>
      <c r="D53" s="591">
        <v>14173</v>
      </c>
      <c r="E53" s="590">
        <f t="shared" si="4"/>
        <v>828</v>
      </c>
    </row>
    <row r="54" spans="1:5" s="421" customFormat="1" x14ac:dyDescent="0.2">
      <c r="A54" s="588"/>
      <c r="B54" s="592" t="s">
        <v>792</v>
      </c>
      <c r="C54" s="593">
        <f>SUM(C48+C49+C52)</f>
        <v>17095470</v>
      </c>
      <c r="D54" s="593">
        <f>SUM(D48+D49+D52)</f>
        <v>14902678</v>
      </c>
      <c r="E54" s="593">
        <f t="shared" si="4"/>
        <v>-2192792</v>
      </c>
    </row>
    <row r="55" spans="1:5" s="421" customFormat="1" x14ac:dyDescent="0.2">
      <c r="A55" s="588"/>
      <c r="B55" s="592" t="s">
        <v>466</v>
      </c>
      <c r="C55" s="593">
        <f>SUM(C47+C54)</f>
        <v>25383004</v>
      </c>
      <c r="D55" s="593">
        <f>SUM(D47+D54)</f>
        <v>22143282</v>
      </c>
      <c r="E55" s="593">
        <f t="shared" si="4"/>
        <v>-3239722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793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658</v>
      </c>
      <c r="C58" s="589">
        <v>24852890</v>
      </c>
      <c r="D58" s="589">
        <v>22676889</v>
      </c>
      <c r="E58" s="590">
        <f t="shared" ref="E58:E66" si="5">D58-C58</f>
        <v>-2176001</v>
      </c>
    </row>
    <row r="59" spans="1:5" s="421" customFormat="1" x14ac:dyDescent="0.2">
      <c r="A59" s="588">
        <v>2</v>
      </c>
      <c r="B59" s="587" t="s">
        <v>637</v>
      </c>
      <c r="C59" s="589">
        <v>10142326</v>
      </c>
      <c r="D59" s="591">
        <v>10840227</v>
      </c>
      <c r="E59" s="590">
        <f t="shared" si="5"/>
        <v>697901</v>
      </c>
    </row>
    <row r="60" spans="1:5" s="421" customFormat="1" x14ac:dyDescent="0.2">
      <c r="A60" s="588">
        <v>3</v>
      </c>
      <c r="B60" s="587" t="s">
        <v>779</v>
      </c>
      <c r="C60" s="589">
        <f>C61+C62</f>
        <v>4752140</v>
      </c>
      <c r="D60" s="591">
        <f>D61+D62</f>
        <v>3399841</v>
      </c>
      <c r="E60" s="590">
        <f t="shared" si="5"/>
        <v>-1352299</v>
      </c>
    </row>
    <row r="61" spans="1:5" s="421" customFormat="1" x14ac:dyDescent="0.2">
      <c r="A61" s="588">
        <v>4</v>
      </c>
      <c r="B61" s="587" t="s">
        <v>115</v>
      </c>
      <c r="C61" s="589">
        <v>4752140</v>
      </c>
      <c r="D61" s="591">
        <v>3399841</v>
      </c>
      <c r="E61" s="590">
        <f t="shared" si="5"/>
        <v>-1352299</v>
      </c>
    </row>
    <row r="62" spans="1:5" s="421" customFormat="1" x14ac:dyDescent="0.2">
      <c r="A62" s="588">
        <v>5</v>
      </c>
      <c r="B62" s="587" t="s">
        <v>745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257374</v>
      </c>
      <c r="D63" s="591">
        <v>56407</v>
      </c>
      <c r="E63" s="590">
        <f t="shared" si="5"/>
        <v>-200967</v>
      </c>
    </row>
    <row r="64" spans="1:5" s="421" customFormat="1" x14ac:dyDescent="0.2">
      <c r="A64" s="588">
        <v>7</v>
      </c>
      <c r="B64" s="587" t="s">
        <v>760</v>
      </c>
      <c r="C64" s="589">
        <v>112504</v>
      </c>
      <c r="D64" s="591">
        <v>218130</v>
      </c>
      <c r="E64" s="590">
        <f t="shared" si="5"/>
        <v>105626</v>
      </c>
    </row>
    <row r="65" spans="1:5" s="421" customFormat="1" x14ac:dyDescent="0.2">
      <c r="A65" s="588"/>
      <c r="B65" s="592" t="s">
        <v>794</v>
      </c>
      <c r="C65" s="593">
        <f>SUM(C59+C60+C63)</f>
        <v>15151840</v>
      </c>
      <c r="D65" s="593">
        <f>SUM(D59+D60+D63)</f>
        <v>14296475</v>
      </c>
      <c r="E65" s="593">
        <f t="shared" si="5"/>
        <v>-855365</v>
      </c>
    </row>
    <row r="66" spans="1:5" s="421" customFormat="1" x14ac:dyDescent="0.2">
      <c r="A66" s="588"/>
      <c r="B66" s="592" t="s">
        <v>468</v>
      </c>
      <c r="C66" s="593">
        <f>SUM(C58+C65)</f>
        <v>40004730</v>
      </c>
      <c r="D66" s="593">
        <f>SUM(D58+D65)</f>
        <v>36973364</v>
      </c>
      <c r="E66" s="593">
        <f t="shared" si="5"/>
        <v>-3031366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656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783</v>
      </c>
      <c r="C69" s="590">
        <f t="shared" ref="C69:D75" si="6">C47+C58</f>
        <v>33140424</v>
      </c>
      <c r="D69" s="590">
        <f t="shared" si="6"/>
        <v>29917493</v>
      </c>
      <c r="E69" s="590">
        <f t="shared" ref="E69:E77" si="7">D69-C69</f>
        <v>-3222931</v>
      </c>
    </row>
    <row r="70" spans="1:5" s="421" customFormat="1" x14ac:dyDescent="0.2">
      <c r="A70" s="588">
        <v>2</v>
      </c>
      <c r="B70" s="587" t="s">
        <v>784</v>
      </c>
      <c r="C70" s="590">
        <f t="shared" si="6"/>
        <v>23021690</v>
      </c>
      <c r="D70" s="590">
        <f t="shared" si="6"/>
        <v>21899766</v>
      </c>
      <c r="E70" s="590">
        <f t="shared" si="7"/>
        <v>-1121924</v>
      </c>
    </row>
    <row r="71" spans="1:5" s="421" customFormat="1" x14ac:dyDescent="0.2">
      <c r="A71" s="588">
        <v>3</v>
      </c>
      <c r="B71" s="587" t="s">
        <v>785</v>
      </c>
      <c r="C71" s="590">
        <f t="shared" si="6"/>
        <v>8694986</v>
      </c>
      <c r="D71" s="590">
        <f t="shared" si="6"/>
        <v>7171108</v>
      </c>
      <c r="E71" s="590">
        <f t="shared" si="7"/>
        <v>-1523878</v>
      </c>
    </row>
    <row r="72" spans="1:5" s="421" customFormat="1" x14ac:dyDescent="0.2">
      <c r="A72" s="588">
        <v>4</v>
      </c>
      <c r="B72" s="587" t="s">
        <v>786</v>
      </c>
      <c r="C72" s="590">
        <f t="shared" si="6"/>
        <v>8694986</v>
      </c>
      <c r="D72" s="590">
        <f t="shared" si="6"/>
        <v>7171108</v>
      </c>
      <c r="E72" s="590">
        <f t="shared" si="7"/>
        <v>-1523878</v>
      </c>
    </row>
    <row r="73" spans="1:5" s="421" customFormat="1" x14ac:dyDescent="0.2">
      <c r="A73" s="588">
        <v>5</v>
      </c>
      <c r="B73" s="587" t="s">
        <v>787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788</v>
      </c>
      <c r="C74" s="590">
        <f t="shared" si="6"/>
        <v>530634</v>
      </c>
      <c r="D74" s="590">
        <f t="shared" si="6"/>
        <v>128279</v>
      </c>
      <c r="E74" s="590">
        <f t="shared" si="7"/>
        <v>-402355</v>
      </c>
    </row>
    <row r="75" spans="1:5" s="421" customFormat="1" x14ac:dyDescent="0.2">
      <c r="A75" s="588">
        <v>7</v>
      </c>
      <c r="B75" s="587" t="s">
        <v>789</v>
      </c>
      <c r="C75" s="590">
        <f t="shared" si="6"/>
        <v>125849</v>
      </c>
      <c r="D75" s="590">
        <f t="shared" si="6"/>
        <v>232303</v>
      </c>
      <c r="E75" s="590">
        <f t="shared" si="7"/>
        <v>106454</v>
      </c>
    </row>
    <row r="76" spans="1:5" s="421" customFormat="1" x14ac:dyDescent="0.2">
      <c r="A76" s="588"/>
      <c r="B76" s="592" t="s">
        <v>795</v>
      </c>
      <c r="C76" s="593">
        <f>SUM(C70+C71+C74)</f>
        <v>32247310</v>
      </c>
      <c r="D76" s="593">
        <f>SUM(D70+D71+D74)</f>
        <v>29199153</v>
      </c>
      <c r="E76" s="593">
        <f t="shared" si="7"/>
        <v>-3048157</v>
      </c>
    </row>
    <row r="77" spans="1:5" s="421" customFormat="1" x14ac:dyDescent="0.2">
      <c r="A77" s="588"/>
      <c r="B77" s="592" t="s">
        <v>728</v>
      </c>
      <c r="C77" s="593">
        <f>SUM(C69+C76)</f>
        <v>65387734</v>
      </c>
      <c r="D77" s="593">
        <f>SUM(D69+D76)</f>
        <v>59116646</v>
      </c>
      <c r="E77" s="593">
        <f t="shared" si="7"/>
        <v>-6271088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796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797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658</v>
      </c>
      <c r="C83" s="599">
        <f t="shared" ref="C83:D89" si="8">IF(C$44=0,0,C14/C$44)</f>
        <v>7.5982248096608418E-2</v>
      </c>
      <c r="D83" s="599">
        <f t="shared" si="8"/>
        <v>6.5472254503297828E-2</v>
      </c>
      <c r="E83" s="599">
        <f t="shared" ref="E83:E91" si="9">D83-C83</f>
        <v>-1.050999359331059E-2</v>
      </c>
    </row>
    <row r="84" spans="1:5" s="421" customFormat="1" x14ac:dyDescent="0.2">
      <c r="A84" s="588">
        <v>2</v>
      </c>
      <c r="B84" s="587" t="s">
        <v>637</v>
      </c>
      <c r="C84" s="599">
        <f t="shared" si="8"/>
        <v>0.20542756768721454</v>
      </c>
      <c r="D84" s="599">
        <f t="shared" si="8"/>
        <v>0.19431309925373275</v>
      </c>
      <c r="E84" s="599">
        <f t="shared" si="9"/>
        <v>-1.1114468433481794E-2</v>
      </c>
    </row>
    <row r="85" spans="1:5" s="421" customFormat="1" x14ac:dyDescent="0.2">
      <c r="A85" s="588">
        <v>3</v>
      </c>
      <c r="B85" s="587" t="s">
        <v>779</v>
      </c>
      <c r="C85" s="599">
        <f t="shared" si="8"/>
        <v>5.9608181141555902E-2</v>
      </c>
      <c r="D85" s="599">
        <f t="shared" si="8"/>
        <v>7.4964876537874869E-2</v>
      </c>
      <c r="E85" s="599">
        <f t="shared" si="9"/>
        <v>1.5356695396318967E-2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5.9608181141555902E-2</v>
      </c>
      <c r="D86" s="599">
        <f t="shared" si="8"/>
        <v>7.4964876537874869E-2</v>
      </c>
      <c r="E86" s="599">
        <f t="shared" si="9"/>
        <v>1.5356695396318967E-2</v>
      </c>
    </row>
    <row r="87" spans="1:5" s="421" customFormat="1" x14ac:dyDescent="0.2">
      <c r="A87" s="588">
        <v>5</v>
      </c>
      <c r="B87" s="587" t="s">
        <v>745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4.3253090446851473E-3</v>
      </c>
      <c r="D88" s="599">
        <f t="shared" si="8"/>
        <v>1.1632673546409184E-3</v>
      </c>
      <c r="E88" s="599">
        <f t="shared" si="9"/>
        <v>-3.1620416900442292E-3</v>
      </c>
    </row>
    <row r="89" spans="1:5" s="421" customFormat="1" x14ac:dyDescent="0.2">
      <c r="A89" s="588">
        <v>7</v>
      </c>
      <c r="B89" s="587" t="s">
        <v>760</v>
      </c>
      <c r="C89" s="599">
        <f t="shared" si="8"/>
        <v>4.1245669439066591E-3</v>
      </c>
      <c r="D89" s="599">
        <f t="shared" si="8"/>
        <v>3.3708203800198329E-3</v>
      </c>
      <c r="E89" s="599">
        <f t="shared" si="9"/>
        <v>-7.5374656388682614E-4</v>
      </c>
    </row>
    <row r="90" spans="1:5" s="421" customFormat="1" x14ac:dyDescent="0.2">
      <c r="A90" s="588"/>
      <c r="B90" s="592" t="s">
        <v>798</v>
      </c>
      <c r="C90" s="600">
        <f>SUM(C84+C85+C88)</f>
        <v>0.2693610578734556</v>
      </c>
      <c r="D90" s="600">
        <f>SUM(D84+D85+D88)</f>
        <v>0.27044124314624851</v>
      </c>
      <c r="E90" s="601">
        <f t="shared" si="9"/>
        <v>1.0801852727929107E-3</v>
      </c>
    </row>
    <row r="91" spans="1:5" s="421" customFormat="1" x14ac:dyDescent="0.2">
      <c r="A91" s="588"/>
      <c r="B91" s="592" t="s">
        <v>799</v>
      </c>
      <c r="C91" s="600">
        <f>SUM(C83+C90)</f>
        <v>0.34534330597006402</v>
      </c>
      <c r="D91" s="600">
        <f>SUM(D83+D90)</f>
        <v>0.33591349764954637</v>
      </c>
      <c r="E91" s="601">
        <f t="shared" si="9"/>
        <v>-9.4298083205176519E-3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800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658</v>
      </c>
      <c r="C95" s="599">
        <f t="shared" ref="C95:D101" si="10">IF(C$44=0,0,C25/C$44)</f>
        <v>0.26911095764979082</v>
      </c>
      <c r="D95" s="599">
        <f t="shared" si="10"/>
        <v>0.26024417598286148</v>
      </c>
      <c r="E95" s="599">
        <f t="shared" ref="E95:E103" si="11">D95-C95</f>
        <v>-8.8667816669293353E-3</v>
      </c>
    </row>
    <row r="96" spans="1:5" s="421" customFormat="1" x14ac:dyDescent="0.2">
      <c r="A96" s="588">
        <v>2</v>
      </c>
      <c r="B96" s="587" t="s">
        <v>637</v>
      </c>
      <c r="C96" s="599">
        <f t="shared" si="10"/>
        <v>0.2537255766233813</v>
      </c>
      <c r="D96" s="599">
        <f t="shared" si="10"/>
        <v>0.28335184496777049</v>
      </c>
      <c r="E96" s="599">
        <f t="shared" si="11"/>
        <v>2.9626268344389195E-2</v>
      </c>
    </row>
    <row r="97" spans="1:5" s="421" customFormat="1" x14ac:dyDescent="0.2">
      <c r="A97" s="588">
        <v>3</v>
      </c>
      <c r="B97" s="587" t="s">
        <v>779</v>
      </c>
      <c r="C97" s="599">
        <f t="shared" si="10"/>
        <v>0.1274825111813572</v>
      </c>
      <c r="D97" s="599">
        <f t="shared" si="10"/>
        <v>0.1183584465110496</v>
      </c>
      <c r="E97" s="599">
        <f t="shared" si="11"/>
        <v>-9.1240646703076023E-3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0.1274825111813572</v>
      </c>
      <c r="D98" s="599">
        <f t="shared" si="10"/>
        <v>0.1183584465110496</v>
      </c>
      <c r="E98" s="599">
        <f t="shared" si="11"/>
        <v>-9.1240646703076023E-3</v>
      </c>
    </row>
    <row r="99" spans="1:5" s="421" customFormat="1" x14ac:dyDescent="0.2">
      <c r="A99" s="588">
        <v>5</v>
      </c>
      <c r="B99" s="587" t="s">
        <v>745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4.3376485754067235E-3</v>
      </c>
      <c r="D100" s="599">
        <f t="shared" si="10"/>
        <v>2.132034888772063E-3</v>
      </c>
      <c r="E100" s="599">
        <f t="shared" si="11"/>
        <v>-2.2056136866346605E-3</v>
      </c>
    </row>
    <row r="101" spans="1:5" s="421" customFormat="1" x14ac:dyDescent="0.2">
      <c r="A101" s="588">
        <v>7</v>
      </c>
      <c r="B101" s="587" t="s">
        <v>760</v>
      </c>
      <c r="C101" s="599">
        <f t="shared" si="10"/>
        <v>8.5091279168579923E-3</v>
      </c>
      <c r="D101" s="599">
        <f t="shared" si="10"/>
        <v>9.9754048576165023E-3</v>
      </c>
      <c r="E101" s="599">
        <f t="shared" si="11"/>
        <v>1.46627694075851E-3</v>
      </c>
    </row>
    <row r="102" spans="1:5" s="421" customFormat="1" x14ac:dyDescent="0.2">
      <c r="A102" s="588"/>
      <c r="B102" s="592" t="s">
        <v>801</v>
      </c>
      <c r="C102" s="600">
        <f>SUM(C96+C97+C100)</f>
        <v>0.38554573638014522</v>
      </c>
      <c r="D102" s="600">
        <f>SUM(D96+D97+D100)</f>
        <v>0.40384232636759215</v>
      </c>
      <c r="E102" s="601">
        <f t="shared" si="11"/>
        <v>1.8296589987446932E-2</v>
      </c>
    </row>
    <row r="103" spans="1:5" s="421" customFormat="1" x14ac:dyDescent="0.2">
      <c r="A103" s="588"/>
      <c r="B103" s="592" t="s">
        <v>802</v>
      </c>
      <c r="C103" s="600">
        <f>SUM(C95+C102)</f>
        <v>0.65465669402993609</v>
      </c>
      <c r="D103" s="600">
        <f>SUM(D95+D102)</f>
        <v>0.66408650235045363</v>
      </c>
      <c r="E103" s="601">
        <f t="shared" si="11"/>
        <v>9.4298083205175409E-3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803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804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658</v>
      </c>
      <c r="C109" s="599">
        <f t="shared" ref="C109:D115" si="12">IF(C$77=0,0,C47/C$77)</f>
        <v>0.12674447473588854</v>
      </c>
      <c r="D109" s="599">
        <f t="shared" si="12"/>
        <v>0.12247995260082921</v>
      </c>
      <c r="E109" s="599">
        <f t="shared" ref="E109:E117" si="13">D109-C109</f>
        <v>-4.2645221350593315E-3</v>
      </c>
    </row>
    <row r="110" spans="1:5" s="421" customFormat="1" x14ac:dyDescent="0.2">
      <c r="A110" s="588">
        <v>2</v>
      </c>
      <c r="B110" s="587" t="s">
        <v>637</v>
      </c>
      <c r="C110" s="599">
        <f t="shared" si="12"/>
        <v>0.19696911350376509</v>
      </c>
      <c r="D110" s="599">
        <f t="shared" si="12"/>
        <v>0.18707994699158001</v>
      </c>
      <c r="E110" s="599">
        <f t="shared" si="13"/>
        <v>-9.8891665121850769E-3</v>
      </c>
    </row>
    <row r="111" spans="1:5" s="421" customFormat="1" x14ac:dyDescent="0.2">
      <c r="A111" s="588">
        <v>3</v>
      </c>
      <c r="B111" s="587" t="s">
        <v>779</v>
      </c>
      <c r="C111" s="599">
        <f t="shared" si="12"/>
        <v>6.0299474516122553E-2</v>
      </c>
      <c r="D111" s="599">
        <f t="shared" si="12"/>
        <v>6.3793656358650655E-2</v>
      </c>
      <c r="E111" s="599">
        <f t="shared" si="13"/>
        <v>3.4941818425281018E-3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6.0299474516122553E-2</v>
      </c>
      <c r="D112" s="599">
        <f t="shared" si="12"/>
        <v>6.3793656358650655E-2</v>
      </c>
      <c r="E112" s="599">
        <f t="shared" si="13"/>
        <v>3.4941818425281018E-3</v>
      </c>
    </row>
    <row r="113" spans="1:5" s="421" customFormat="1" x14ac:dyDescent="0.2">
      <c r="A113" s="588">
        <v>5</v>
      </c>
      <c r="B113" s="587" t="s">
        <v>745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4.1790712612857937E-3</v>
      </c>
      <c r="D114" s="599">
        <f t="shared" si="12"/>
        <v>1.2157658606004136E-3</v>
      </c>
      <c r="E114" s="599">
        <f t="shared" si="13"/>
        <v>-2.9633054006853801E-3</v>
      </c>
    </row>
    <row r="115" spans="1:5" s="421" customFormat="1" x14ac:dyDescent="0.2">
      <c r="A115" s="588">
        <v>7</v>
      </c>
      <c r="B115" s="587" t="s">
        <v>760</v>
      </c>
      <c r="C115" s="599">
        <f t="shared" si="12"/>
        <v>2.0409026561464877E-4</v>
      </c>
      <c r="D115" s="599">
        <f t="shared" si="12"/>
        <v>2.3974634826204449E-4</v>
      </c>
      <c r="E115" s="599">
        <f t="shared" si="13"/>
        <v>3.5656082647395721E-5</v>
      </c>
    </row>
    <row r="116" spans="1:5" s="421" customFormat="1" x14ac:dyDescent="0.2">
      <c r="A116" s="588"/>
      <c r="B116" s="592" t="s">
        <v>798</v>
      </c>
      <c r="C116" s="600">
        <f>SUM(C110+C111+C114)</f>
        <v>0.26144765928117342</v>
      </c>
      <c r="D116" s="600">
        <f>SUM(D110+D111+D114)</f>
        <v>0.25208936921083108</v>
      </c>
      <c r="E116" s="601">
        <f t="shared" si="13"/>
        <v>-9.3582900703423344E-3</v>
      </c>
    </row>
    <row r="117" spans="1:5" s="421" customFormat="1" x14ac:dyDescent="0.2">
      <c r="A117" s="588"/>
      <c r="B117" s="592" t="s">
        <v>799</v>
      </c>
      <c r="C117" s="600">
        <f>SUM(C109+C116)</f>
        <v>0.38819213401706198</v>
      </c>
      <c r="D117" s="600">
        <f>SUM(D109+D116)</f>
        <v>0.37456932181166031</v>
      </c>
      <c r="E117" s="601">
        <f t="shared" si="13"/>
        <v>-1.362281220540168E-2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805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658</v>
      </c>
      <c r="C121" s="599">
        <f t="shared" ref="C121:D127" si="14">IF(C$77=0,0,C58/C$77)</f>
        <v>0.3800848948214049</v>
      </c>
      <c r="D121" s="599">
        <f t="shared" si="14"/>
        <v>0.38359566271740114</v>
      </c>
      <c r="E121" s="599">
        <f t="shared" ref="E121:E129" si="15">D121-C121</f>
        <v>3.5107678959962474E-3</v>
      </c>
    </row>
    <row r="122" spans="1:5" s="421" customFormat="1" x14ac:dyDescent="0.2">
      <c r="A122" s="588">
        <v>2</v>
      </c>
      <c r="B122" s="587" t="s">
        <v>637</v>
      </c>
      <c r="C122" s="599">
        <f t="shared" si="14"/>
        <v>0.15511052883404708</v>
      </c>
      <c r="D122" s="599">
        <f t="shared" si="14"/>
        <v>0.18337012894811386</v>
      </c>
      <c r="E122" s="599">
        <f t="shared" si="15"/>
        <v>2.825960011406678E-2</v>
      </c>
    </row>
    <row r="123" spans="1:5" s="421" customFormat="1" x14ac:dyDescent="0.2">
      <c r="A123" s="588">
        <v>3</v>
      </c>
      <c r="B123" s="587" t="s">
        <v>779</v>
      </c>
      <c r="C123" s="599">
        <f t="shared" si="14"/>
        <v>7.2676321831247434E-2</v>
      </c>
      <c r="D123" s="599">
        <f t="shared" si="14"/>
        <v>5.7510722106934142E-2</v>
      </c>
      <c r="E123" s="599">
        <f t="shared" si="15"/>
        <v>-1.5165599724313292E-2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7.2676321831247434E-2</v>
      </c>
      <c r="D124" s="599">
        <f t="shared" si="14"/>
        <v>5.7510722106934142E-2</v>
      </c>
      <c r="E124" s="599">
        <f t="shared" si="15"/>
        <v>-1.5165599724313292E-2</v>
      </c>
    </row>
    <row r="125" spans="1:5" s="421" customFormat="1" x14ac:dyDescent="0.2">
      <c r="A125" s="588">
        <v>5</v>
      </c>
      <c r="B125" s="587" t="s">
        <v>745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3.9361204962386374E-3</v>
      </c>
      <c r="D126" s="599">
        <f t="shared" si="14"/>
        <v>9.5416441589057672E-4</v>
      </c>
      <c r="E126" s="599">
        <f t="shared" si="15"/>
        <v>-2.9819560803480607E-3</v>
      </c>
    </row>
    <row r="127" spans="1:5" s="421" customFormat="1" x14ac:dyDescent="0.2">
      <c r="A127" s="588">
        <v>7</v>
      </c>
      <c r="B127" s="587" t="s">
        <v>760</v>
      </c>
      <c r="C127" s="599">
        <f t="shared" si="14"/>
        <v>1.7205673467748555E-3</v>
      </c>
      <c r="D127" s="599">
        <f t="shared" si="14"/>
        <v>3.6898236750440815E-3</v>
      </c>
      <c r="E127" s="599">
        <f t="shared" si="15"/>
        <v>1.969256328269226E-3</v>
      </c>
    </row>
    <row r="128" spans="1:5" s="421" customFormat="1" x14ac:dyDescent="0.2">
      <c r="A128" s="588"/>
      <c r="B128" s="592" t="s">
        <v>801</v>
      </c>
      <c r="C128" s="600">
        <f>SUM(C122+C123+C126)</f>
        <v>0.23172297116153318</v>
      </c>
      <c r="D128" s="600">
        <f>SUM(D122+D123+D126)</f>
        <v>0.24183501547093858</v>
      </c>
      <c r="E128" s="601">
        <f t="shared" si="15"/>
        <v>1.0112044309405405E-2</v>
      </c>
    </row>
    <row r="129" spans="1:5" s="421" customFormat="1" x14ac:dyDescent="0.2">
      <c r="A129" s="588"/>
      <c r="B129" s="592" t="s">
        <v>802</v>
      </c>
      <c r="C129" s="600">
        <f>SUM(C121+C128)</f>
        <v>0.61180786598293802</v>
      </c>
      <c r="D129" s="600">
        <f>SUM(D121+D128)</f>
        <v>0.62543067818833975</v>
      </c>
      <c r="E129" s="601">
        <f t="shared" si="15"/>
        <v>1.3622812205401735E-2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806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807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808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658</v>
      </c>
      <c r="C137" s="606">
        <v>831</v>
      </c>
      <c r="D137" s="606">
        <v>793</v>
      </c>
      <c r="E137" s="607">
        <f t="shared" ref="E137:E145" si="16">D137-C137</f>
        <v>-38</v>
      </c>
    </row>
    <row r="138" spans="1:5" s="421" customFormat="1" x14ac:dyDescent="0.2">
      <c r="A138" s="588">
        <v>2</v>
      </c>
      <c r="B138" s="587" t="s">
        <v>637</v>
      </c>
      <c r="C138" s="606">
        <v>1477</v>
      </c>
      <c r="D138" s="606">
        <v>1433</v>
      </c>
      <c r="E138" s="607">
        <f t="shared" si="16"/>
        <v>-44</v>
      </c>
    </row>
    <row r="139" spans="1:5" s="421" customFormat="1" x14ac:dyDescent="0.2">
      <c r="A139" s="588">
        <v>3</v>
      </c>
      <c r="B139" s="587" t="s">
        <v>779</v>
      </c>
      <c r="C139" s="606">
        <f>C140+C141</f>
        <v>678</v>
      </c>
      <c r="D139" s="606">
        <f>D140+D141</f>
        <v>892</v>
      </c>
      <c r="E139" s="607">
        <f t="shared" si="16"/>
        <v>214</v>
      </c>
    </row>
    <row r="140" spans="1:5" s="421" customFormat="1" x14ac:dyDescent="0.2">
      <c r="A140" s="588">
        <v>4</v>
      </c>
      <c r="B140" s="587" t="s">
        <v>115</v>
      </c>
      <c r="C140" s="606">
        <v>678</v>
      </c>
      <c r="D140" s="606">
        <v>892</v>
      </c>
      <c r="E140" s="607">
        <f t="shared" si="16"/>
        <v>214</v>
      </c>
    </row>
    <row r="141" spans="1:5" s="421" customFormat="1" x14ac:dyDescent="0.2">
      <c r="A141" s="588">
        <v>5</v>
      </c>
      <c r="B141" s="587" t="s">
        <v>745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50</v>
      </c>
      <c r="D142" s="606">
        <v>20</v>
      </c>
      <c r="E142" s="607">
        <f t="shared" si="16"/>
        <v>-30</v>
      </c>
    </row>
    <row r="143" spans="1:5" s="421" customFormat="1" x14ac:dyDescent="0.2">
      <c r="A143" s="588">
        <v>7</v>
      </c>
      <c r="B143" s="587" t="s">
        <v>760</v>
      </c>
      <c r="C143" s="606">
        <v>39</v>
      </c>
      <c r="D143" s="606">
        <v>47</v>
      </c>
      <c r="E143" s="607">
        <f t="shared" si="16"/>
        <v>8</v>
      </c>
    </row>
    <row r="144" spans="1:5" s="421" customFormat="1" x14ac:dyDescent="0.2">
      <c r="A144" s="588"/>
      <c r="B144" s="592" t="s">
        <v>809</v>
      </c>
      <c r="C144" s="608">
        <f>SUM(C138+C139+C142)</f>
        <v>2205</v>
      </c>
      <c r="D144" s="608">
        <f>SUM(D138+D139+D142)</f>
        <v>2345</v>
      </c>
      <c r="E144" s="609">
        <f t="shared" si="16"/>
        <v>140</v>
      </c>
    </row>
    <row r="145" spans="1:5" s="421" customFormat="1" x14ac:dyDescent="0.2">
      <c r="A145" s="588"/>
      <c r="B145" s="592" t="s">
        <v>138</v>
      </c>
      <c r="C145" s="608">
        <f>SUM(C137+C144)</f>
        <v>3036</v>
      </c>
      <c r="D145" s="608">
        <f>SUM(D137+D144)</f>
        <v>3138</v>
      </c>
      <c r="E145" s="609">
        <f t="shared" si="16"/>
        <v>102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658</v>
      </c>
      <c r="C149" s="610">
        <v>3460</v>
      </c>
      <c r="D149" s="610">
        <v>3167</v>
      </c>
      <c r="E149" s="607">
        <f t="shared" ref="E149:E157" si="17">D149-C149</f>
        <v>-293</v>
      </c>
    </row>
    <row r="150" spans="1:5" s="421" customFormat="1" x14ac:dyDescent="0.2">
      <c r="A150" s="588">
        <v>2</v>
      </c>
      <c r="B150" s="587" t="s">
        <v>637</v>
      </c>
      <c r="C150" s="610">
        <v>8276</v>
      </c>
      <c r="D150" s="610">
        <v>7675</v>
      </c>
      <c r="E150" s="607">
        <f t="shared" si="17"/>
        <v>-601</v>
      </c>
    </row>
    <row r="151" spans="1:5" s="421" customFormat="1" x14ac:dyDescent="0.2">
      <c r="A151" s="588">
        <v>3</v>
      </c>
      <c r="B151" s="587" t="s">
        <v>779</v>
      </c>
      <c r="C151" s="610">
        <f>C152+C153</f>
        <v>3070</v>
      </c>
      <c r="D151" s="610">
        <f>D152+D153</f>
        <v>4464</v>
      </c>
      <c r="E151" s="607">
        <f t="shared" si="17"/>
        <v>1394</v>
      </c>
    </row>
    <row r="152" spans="1:5" s="421" customFormat="1" x14ac:dyDescent="0.2">
      <c r="A152" s="588">
        <v>4</v>
      </c>
      <c r="B152" s="587" t="s">
        <v>115</v>
      </c>
      <c r="C152" s="610">
        <v>3070</v>
      </c>
      <c r="D152" s="610">
        <v>4464</v>
      </c>
      <c r="E152" s="607">
        <f t="shared" si="17"/>
        <v>1394</v>
      </c>
    </row>
    <row r="153" spans="1:5" s="421" customFormat="1" x14ac:dyDescent="0.2">
      <c r="A153" s="588">
        <v>5</v>
      </c>
      <c r="B153" s="587" t="s">
        <v>745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285</v>
      </c>
      <c r="D154" s="610">
        <v>58</v>
      </c>
      <c r="E154" s="607">
        <f t="shared" si="17"/>
        <v>-227</v>
      </c>
    </row>
    <row r="155" spans="1:5" s="421" customFormat="1" x14ac:dyDescent="0.2">
      <c r="A155" s="588">
        <v>7</v>
      </c>
      <c r="B155" s="587" t="s">
        <v>760</v>
      </c>
      <c r="C155" s="610">
        <v>228</v>
      </c>
      <c r="D155" s="610">
        <v>148</v>
      </c>
      <c r="E155" s="607">
        <f t="shared" si="17"/>
        <v>-80</v>
      </c>
    </row>
    <row r="156" spans="1:5" s="421" customFormat="1" x14ac:dyDescent="0.2">
      <c r="A156" s="588"/>
      <c r="B156" s="592" t="s">
        <v>810</v>
      </c>
      <c r="C156" s="608">
        <f>SUM(C150+C151+C154)</f>
        <v>11631</v>
      </c>
      <c r="D156" s="608">
        <f>SUM(D150+D151+D154)</f>
        <v>12197</v>
      </c>
      <c r="E156" s="609">
        <f t="shared" si="17"/>
        <v>566</v>
      </c>
    </row>
    <row r="157" spans="1:5" s="421" customFormat="1" x14ac:dyDescent="0.2">
      <c r="A157" s="588"/>
      <c r="B157" s="592" t="s">
        <v>140</v>
      </c>
      <c r="C157" s="608">
        <f>SUM(C149+C156)</f>
        <v>15091</v>
      </c>
      <c r="D157" s="608">
        <f>SUM(D149+D156)</f>
        <v>15364</v>
      </c>
      <c r="E157" s="609">
        <f t="shared" si="17"/>
        <v>273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811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658</v>
      </c>
      <c r="C161" s="612">
        <f t="shared" ref="C161:D169" si="18">IF(C137=0,0,C149/C137)</f>
        <v>4.1636582430806257</v>
      </c>
      <c r="D161" s="612">
        <f t="shared" si="18"/>
        <v>3.9936948297604036</v>
      </c>
      <c r="E161" s="613">
        <f t="shared" ref="E161:E169" si="19">D161-C161</f>
        <v>-0.16996341332022213</v>
      </c>
    </row>
    <row r="162" spans="1:5" s="421" customFormat="1" x14ac:dyDescent="0.2">
      <c r="A162" s="588">
        <v>2</v>
      </c>
      <c r="B162" s="587" t="s">
        <v>637</v>
      </c>
      <c r="C162" s="612">
        <f t="shared" si="18"/>
        <v>5.6032498307379823</v>
      </c>
      <c r="D162" s="612">
        <f t="shared" si="18"/>
        <v>5.3558967201674808</v>
      </c>
      <c r="E162" s="613">
        <f t="shared" si="19"/>
        <v>-0.24735311057050158</v>
      </c>
    </row>
    <row r="163" spans="1:5" s="421" customFormat="1" x14ac:dyDescent="0.2">
      <c r="A163" s="588">
        <v>3</v>
      </c>
      <c r="B163" s="587" t="s">
        <v>779</v>
      </c>
      <c r="C163" s="612">
        <f t="shared" si="18"/>
        <v>4.5280235988200586</v>
      </c>
      <c r="D163" s="612">
        <f t="shared" si="18"/>
        <v>5.0044843049327357</v>
      </c>
      <c r="E163" s="613">
        <f t="shared" si="19"/>
        <v>0.4764607061126771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4.5280235988200586</v>
      </c>
      <c r="D164" s="612">
        <f t="shared" si="18"/>
        <v>5.0044843049327357</v>
      </c>
      <c r="E164" s="613">
        <f t="shared" si="19"/>
        <v>0.4764607061126771</v>
      </c>
    </row>
    <row r="165" spans="1:5" s="421" customFormat="1" x14ac:dyDescent="0.2">
      <c r="A165" s="588">
        <v>5</v>
      </c>
      <c r="B165" s="587" t="s">
        <v>745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5.7</v>
      </c>
      <c r="D166" s="612">
        <f t="shared" si="18"/>
        <v>2.9</v>
      </c>
      <c r="E166" s="613">
        <f t="shared" si="19"/>
        <v>-2.8000000000000003</v>
      </c>
    </row>
    <row r="167" spans="1:5" s="421" customFormat="1" x14ac:dyDescent="0.2">
      <c r="A167" s="588">
        <v>7</v>
      </c>
      <c r="B167" s="587" t="s">
        <v>760</v>
      </c>
      <c r="C167" s="612">
        <f t="shared" si="18"/>
        <v>5.8461538461538458</v>
      </c>
      <c r="D167" s="612">
        <f t="shared" si="18"/>
        <v>3.1489361702127661</v>
      </c>
      <c r="E167" s="613">
        <f t="shared" si="19"/>
        <v>-2.6972176759410798</v>
      </c>
    </row>
    <row r="168" spans="1:5" s="421" customFormat="1" x14ac:dyDescent="0.2">
      <c r="A168" s="588"/>
      <c r="B168" s="592" t="s">
        <v>812</v>
      </c>
      <c r="C168" s="614">
        <f t="shared" si="18"/>
        <v>5.2748299319727892</v>
      </c>
      <c r="D168" s="614">
        <f t="shared" si="18"/>
        <v>5.2012793176972281</v>
      </c>
      <c r="E168" s="615">
        <f t="shared" si="19"/>
        <v>-7.3550614275561088E-2</v>
      </c>
    </row>
    <row r="169" spans="1:5" s="421" customFormat="1" x14ac:dyDescent="0.2">
      <c r="A169" s="588"/>
      <c r="B169" s="592" t="s">
        <v>746</v>
      </c>
      <c r="C169" s="614">
        <f t="shared" si="18"/>
        <v>4.9706851119894599</v>
      </c>
      <c r="D169" s="614">
        <f t="shared" si="18"/>
        <v>4.8961121733588273</v>
      </c>
      <c r="E169" s="615">
        <f t="shared" si="19"/>
        <v>-7.4572938630632635E-2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813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658</v>
      </c>
      <c r="C173" s="617">
        <f t="shared" ref="C173:D181" si="20">IF(C137=0,0,C203/C137)</f>
        <v>1.0250999999999999</v>
      </c>
      <c r="D173" s="617">
        <f t="shared" si="20"/>
        <v>1.0099</v>
      </c>
      <c r="E173" s="618">
        <f t="shared" ref="E173:E181" si="21">D173-C173</f>
        <v>-1.519999999999988E-2</v>
      </c>
    </row>
    <row r="174" spans="1:5" s="421" customFormat="1" x14ac:dyDescent="0.2">
      <c r="A174" s="588">
        <v>2</v>
      </c>
      <c r="B174" s="587" t="s">
        <v>637</v>
      </c>
      <c r="C174" s="617">
        <f t="shared" si="20"/>
        <v>1.2758</v>
      </c>
      <c r="D174" s="617">
        <f t="shared" si="20"/>
        <v>1.2533000000000001</v>
      </c>
      <c r="E174" s="618">
        <f t="shared" si="21"/>
        <v>-2.2499999999999964E-2</v>
      </c>
    </row>
    <row r="175" spans="1:5" s="421" customFormat="1" x14ac:dyDescent="0.2">
      <c r="A175" s="588">
        <v>3</v>
      </c>
      <c r="B175" s="587" t="s">
        <v>779</v>
      </c>
      <c r="C175" s="617">
        <f t="shared" si="20"/>
        <v>0.93925999999999998</v>
      </c>
      <c r="D175" s="617">
        <f t="shared" si="20"/>
        <v>0.95630000000000004</v>
      </c>
      <c r="E175" s="618">
        <f t="shared" si="21"/>
        <v>1.7040000000000055E-2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0.93925999999999998</v>
      </c>
      <c r="D176" s="617">
        <f t="shared" si="20"/>
        <v>0.95630000000000004</v>
      </c>
      <c r="E176" s="618">
        <f t="shared" si="21"/>
        <v>1.7040000000000055E-2</v>
      </c>
    </row>
    <row r="177" spans="1:5" s="421" customFormat="1" x14ac:dyDescent="0.2">
      <c r="A177" s="588">
        <v>5</v>
      </c>
      <c r="B177" s="587" t="s">
        <v>745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0.97099999999999997</v>
      </c>
      <c r="D178" s="617">
        <f t="shared" si="20"/>
        <v>0.87039999999999984</v>
      </c>
      <c r="E178" s="618">
        <f t="shared" si="21"/>
        <v>-0.10060000000000013</v>
      </c>
    </row>
    <row r="179" spans="1:5" s="421" customFormat="1" x14ac:dyDescent="0.2">
      <c r="A179" s="588">
        <v>7</v>
      </c>
      <c r="B179" s="587" t="s">
        <v>760</v>
      </c>
      <c r="C179" s="617">
        <f t="shared" si="20"/>
        <v>0.94589999999999996</v>
      </c>
      <c r="D179" s="617">
        <f t="shared" si="20"/>
        <v>1.1941999999999999</v>
      </c>
      <c r="E179" s="618">
        <f t="shared" si="21"/>
        <v>0.24829999999999997</v>
      </c>
    </row>
    <row r="180" spans="1:5" s="421" customFormat="1" x14ac:dyDescent="0.2">
      <c r="A180" s="588"/>
      <c r="B180" s="592" t="s">
        <v>814</v>
      </c>
      <c r="C180" s="619">
        <f t="shared" si="20"/>
        <v>1.1654081088435375</v>
      </c>
      <c r="D180" s="619">
        <f t="shared" si="20"/>
        <v>1.137060341151386</v>
      </c>
      <c r="E180" s="620">
        <f t="shared" si="21"/>
        <v>-2.8347767692151526E-2</v>
      </c>
    </row>
    <row r="181" spans="1:5" s="421" customFormat="1" x14ac:dyDescent="0.2">
      <c r="A181" s="588"/>
      <c r="B181" s="592" t="s">
        <v>725</v>
      </c>
      <c r="C181" s="619">
        <f t="shared" si="20"/>
        <v>1.1270036166007906</v>
      </c>
      <c r="D181" s="619">
        <f t="shared" si="20"/>
        <v>1.104925812619503</v>
      </c>
      <c r="E181" s="620">
        <f t="shared" si="21"/>
        <v>-2.2077803981287669E-2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815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x14ac:dyDescent="0.2">
      <c r="A185" s="588">
        <v>1</v>
      </c>
      <c r="B185" s="587" t="s">
        <v>816</v>
      </c>
      <c r="C185" s="589">
        <v>54974285</v>
      </c>
      <c r="D185" s="589">
        <v>48576137</v>
      </c>
      <c r="E185" s="590">
        <f>D185-C185</f>
        <v>-6398148</v>
      </c>
    </row>
    <row r="186" spans="1:5" s="421" customFormat="1" ht="25.5" x14ac:dyDescent="0.2">
      <c r="A186" s="588">
        <v>2</v>
      </c>
      <c r="B186" s="587" t="s">
        <v>817</v>
      </c>
      <c r="C186" s="589">
        <v>35230262</v>
      </c>
      <c r="D186" s="589">
        <v>28275272</v>
      </c>
      <c r="E186" s="590">
        <f>D186-C186</f>
        <v>-6954990</v>
      </c>
    </row>
    <row r="187" spans="1:5" s="421" customFormat="1" x14ac:dyDescent="0.2">
      <c r="A187" s="588"/>
      <c r="B187" s="587" t="s">
        <v>670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749</v>
      </c>
      <c r="C188" s="622">
        <f>+C185-C186</f>
        <v>19744023</v>
      </c>
      <c r="D188" s="622">
        <f>+D185-D186</f>
        <v>20300865</v>
      </c>
      <c r="E188" s="590">
        <f t="shared" ref="E188:E197" si="22">D188-C188</f>
        <v>556842</v>
      </c>
    </row>
    <row r="189" spans="1:5" s="421" customFormat="1" x14ac:dyDescent="0.2">
      <c r="A189" s="588">
        <v>4</v>
      </c>
      <c r="B189" s="587" t="s">
        <v>672</v>
      </c>
      <c r="C189" s="623">
        <f>IF(C185=0,0,+C188/C185)</f>
        <v>0.35915015538628653</v>
      </c>
      <c r="D189" s="623">
        <f>IF(D185=0,0,+D188/D185)</f>
        <v>0.4179184730148468</v>
      </c>
      <c r="E189" s="599">
        <f t="shared" si="22"/>
        <v>5.8768317628560274E-2</v>
      </c>
    </row>
    <row r="190" spans="1:5" s="421" customFormat="1" x14ac:dyDescent="0.2">
      <c r="A190" s="588">
        <v>5</v>
      </c>
      <c r="B190" s="587" t="s">
        <v>764</v>
      </c>
      <c r="C190" s="589">
        <v>0</v>
      </c>
      <c r="D190" s="589">
        <v>0</v>
      </c>
      <c r="E190" s="622">
        <f t="shared" si="22"/>
        <v>0</v>
      </c>
    </row>
    <row r="191" spans="1:5" s="421" customFormat="1" x14ac:dyDescent="0.2">
      <c r="A191" s="588">
        <v>6</v>
      </c>
      <c r="B191" s="587" t="s">
        <v>750</v>
      </c>
      <c r="C191" s="589">
        <v>0</v>
      </c>
      <c r="D191" s="589">
        <v>0</v>
      </c>
      <c r="E191" s="622">
        <f t="shared" si="22"/>
        <v>0</v>
      </c>
    </row>
    <row r="192" spans="1:5" ht="29.25" x14ac:dyDescent="0.2">
      <c r="A192" s="588">
        <v>7</v>
      </c>
      <c r="B192" s="624" t="s">
        <v>818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819</v>
      </c>
      <c r="C193" s="589">
        <v>221047</v>
      </c>
      <c r="D193" s="589">
        <v>160881</v>
      </c>
      <c r="E193" s="622">
        <f t="shared" si="22"/>
        <v>-60166</v>
      </c>
    </row>
    <row r="194" spans="1:5" s="421" customFormat="1" x14ac:dyDescent="0.2">
      <c r="A194" s="588">
        <v>9</v>
      </c>
      <c r="B194" s="587" t="s">
        <v>820</v>
      </c>
      <c r="C194" s="589">
        <v>3114000</v>
      </c>
      <c r="D194" s="589">
        <v>1977083</v>
      </c>
      <c r="E194" s="622">
        <f t="shared" si="22"/>
        <v>-1136917</v>
      </c>
    </row>
    <row r="195" spans="1:5" s="421" customFormat="1" x14ac:dyDescent="0.2">
      <c r="A195" s="588">
        <v>10</v>
      </c>
      <c r="B195" s="587" t="s">
        <v>821</v>
      </c>
      <c r="C195" s="589">
        <f>+C193+C194</f>
        <v>3335047</v>
      </c>
      <c r="D195" s="589">
        <f>+D193+D194</f>
        <v>2137964</v>
      </c>
      <c r="E195" s="625">
        <f t="shared" si="22"/>
        <v>-1197083</v>
      </c>
    </row>
    <row r="196" spans="1:5" s="421" customFormat="1" x14ac:dyDescent="0.2">
      <c r="A196" s="588">
        <v>11</v>
      </c>
      <c r="B196" s="587" t="s">
        <v>822</v>
      </c>
      <c r="C196" s="589">
        <v>590810</v>
      </c>
      <c r="D196" s="589">
        <v>2744640</v>
      </c>
      <c r="E196" s="622">
        <f t="shared" si="22"/>
        <v>2153830</v>
      </c>
    </row>
    <row r="197" spans="1:5" s="421" customFormat="1" x14ac:dyDescent="0.2">
      <c r="A197" s="588">
        <v>12</v>
      </c>
      <c r="B197" s="587" t="s">
        <v>712</v>
      </c>
      <c r="C197" s="589">
        <v>70240063</v>
      </c>
      <c r="D197" s="589">
        <v>66930968</v>
      </c>
      <c r="E197" s="622">
        <f t="shared" si="22"/>
        <v>-3309095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823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824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658</v>
      </c>
      <c r="C203" s="629">
        <v>851.85809999999992</v>
      </c>
      <c r="D203" s="629">
        <v>800.85069999999996</v>
      </c>
      <c r="E203" s="630">
        <f t="shared" ref="E203:E211" si="23">D203-C203</f>
        <v>-51.007399999999961</v>
      </c>
    </row>
    <row r="204" spans="1:5" s="421" customFormat="1" x14ac:dyDescent="0.2">
      <c r="A204" s="588">
        <v>2</v>
      </c>
      <c r="B204" s="587" t="s">
        <v>637</v>
      </c>
      <c r="C204" s="629">
        <v>1884.3566000000001</v>
      </c>
      <c r="D204" s="629">
        <v>1795.9789000000001</v>
      </c>
      <c r="E204" s="630">
        <f t="shared" si="23"/>
        <v>-88.377700000000004</v>
      </c>
    </row>
    <row r="205" spans="1:5" s="421" customFormat="1" x14ac:dyDescent="0.2">
      <c r="A205" s="588">
        <v>3</v>
      </c>
      <c r="B205" s="587" t="s">
        <v>779</v>
      </c>
      <c r="C205" s="629">
        <f>C206+C207</f>
        <v>636.81827999999996</v>
      </c>
      <c r="D205" s="629">
        <f>D206+D207</f>
        <v>853.01960000000008</v>
      </c>
      <c r="E205" s="630">
        <f t="shared" si="23"/>
        <v>216.20132000000012</v>
      </c>
    </row>
    <row r="206" spans="1:5" s="421" customFormat="1" x14ac:dyDescent="0.2">
      <c r="A206" s="588">
        <v>4</v>
      </c>
      <c r="B206" s="587" t="s">
        <v>115</v>
      </c>
      <c r="C206" s="629">
        <v>636.81827999999996</v>
      </c>
      <c r="D206" s="629">
        <v>853.01960000000008</v>
      </c>
      <c r="E206" s="630">
        <f t="shared" si="23"/>
        <v>216.20132000000012</v>
      </c>
    </row>
    <row r="207" spans="1:5" s="421" customFormat="1" x14ac:dyDescent="0.2">
      <c r="A207" s="588">
        <v>5</v>
      </c>
      <c r="B207" s="587" t="s">
        <v>745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48.55</v>
      </c>
      <c r="D208" s="629">
        <v>17.407999999999998</v>
      </c>
      <c r="E208" s="630">
        <f t="shared" si="23"/>
        <v>-31.141999999999999</v>
      </c>
    </row>
    <row r="209" spans="1:5" s="421" customFormat="1" x14ac:dyDescent="0.2">
      <c r="A209" s="588">
        <v>7</v>
      </c>
      <c r="B209" s="587" t="s">
        <v>760</v>
      </c>
      <c r="C209" s="629">
        <v>36.890099999999997</v>
      </c>
      <c r="D209" s="629">
        <v>56.127399999999994</v>
      </c>
      <c r="E209" s="630">
        <f t="shared" si="23"/>
        <v>19.237299999999998</v>
      </c>
    </row>
    <row r="210" spans="1:5" s="421" customFormat="1" x14ac:dyDescent="0.2">
      <c r="A210" s="588"/>
      <c r="B210" s="592" t="s">
        <v>825</v>
      </c>
      <c r="C210" s="631">
        <f>C204+C205+C208</f>
        <v>2569.7248800000002</v>
      </c>
      <c r="D210" s="631">
        <f>D204+D205+D208</f>
        <v>2666.4065000000001</v>
      </c>
      <c r="E210" s="632">
        <f t="shared" si="23"/>
        <v>96.681619999999839</v>
      </c>
    </row>
    <row r="211" spans="1:5" s="421" customFormat="1" x14ac:dyDescent="0.2">
      <c r="A211" s="588"/>
      <c r="B211" s="592" t="s">
        <v>726</v>
      </c>
      <c r="C211" s="631">
        <f>C210+C203</f>
        <v>3421.5829800000001</v>
      </c>
      <c r="D211" s="631">
        <f>D210+D203</f>
        <v>3467.2572</v>
      </c>
      <c r="E211" s="632">
        <f t="shared" si="23"/>
        <v>45.674219999999877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826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658</v>
      </c>
      <c r="C215" s="633">
        <f>IF(C14*C137=0,0,C25/C14*C137)</f>
        <v>2943.2033324762638</v>
      </c>
      <c r="D215" s="633">
        <f>IF(D14*D137=0,0,D25/D14*D137)</f>
        <v>3152.0776719856826</v>
      </c>
      <c r="E215" s="633">
        <f t="shared" ref="E215:E223" si="24">D215-C215</f>
        <v>208.87433950941886</v>
      </c>
    </row>
    <row r="216" spans="1:5" s="421" customFormat="1" x14ac:dyDescent="0.2">
      <c r="A216" s="588">
        <v>2</v>
      </c>
      <c r="B216" s="587" t="s">
        <v>637</v>
      </c>
      <c r="C216" s="633">
        <f>IF(C15*C138=0,0,C26/C15*C138)</f>
        <v>1824.2569918528909</v>
      </c>
      <c r="D216" s="633">
        <f>IF(D15*D138=0,0,D26/D15*D138)</f>
        <v>2089.6336654514816</v>
      </c>
      <c r="E216" s="633">
        <f t="shared" si="24"/>
        <v>265.37667359859074</v>
      </c>
    </row>
    <row r="217" spans="1:5" s="421" customFormat="1" x14ac:dyDescent="0.2">
      <c r="A217" s="588">
        <v>3</v>
      </c>
      <c r="B217" s="587" t="s">
        <v>779</v>
      </c>
      <c r="C217" s="633">
        <f>C218+C219</f>
        <v>1450.0214723160411</v>
      </c>
      <c r="D217" s="633">
        <f>D218+D219</f>
        <v>1408.3359989863479</v>
      </c>
      <c r="E217" s="633">
        <f t="shared" si="24"/>
        <v>-41.685473329693195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1450.0214723160411</v>
      </c>
      <c r="D218" s="633">
        <f t="shared" si="25"/>
        <v>1408.3359989863479</v>
      </c>
      <c r="E218" s="633">
        <f t="shared" si="24"/>
        <v>-41.685473329693195</v>
      </c>
    </row>
    <row r="219" spans="1:5" s="421" customFormat="1" x14ac:dyDescent="0.2">
      <c r="A219" s="588">
        <v>5</v>
      </c>
      <c r="B219" s="587" t="s">
        <v>745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50.1426433417138</v>
      </c>
      <c r="D220" s="633">
        <f t="shared" si="25"/>
        <v>36.655973887106761</v>
      </c>
      <c r="E220" s="633">
        <f t="shared" si="24"/>
        <v>-13.486669454607039</v>
      </c>
    </row>
    <row r="221" spans="1:5" s="421" customFormat="1" x14ac:dyDescent="0.2">
      <c r="A221" s="588">
        <v>7</v>
      </c>
      <c r="B221" s="587" t="s">
        <v>760</v>
      </c>
      <c r="C221" s="633">
        <f t="shared" si="25"/>
        <v>80.458383454709619</v>
      </c>
      <c r="D221" s="633">
        <f t="shared" si="25"/>
        <v>139.08899776653689</v>
      </c>
      <c r="E221" s="633">
        <f t="shared" si="24"/>
        <v>58.630614311827273</v>
      </c>
    </row>
    <row r="222" spans="1:5" s="421" customFormat="1" x14ac:dyDescent="0.2">
      <c r="A222" s="588"/>
      <c r="B222" s="592" t="s">
        <v>827</v>
      </c>
      <c r="C222" s="634">
        <f>C216+C218+C219+C220</f>
        <v>3324.4211075106459</v>
      </c>
      <c r="D222" s="634">
        <f>D216+D218+D219+D220</f>
        <v>3534.6256383249365</v>
      </c>
      <c r="E222" s="634">
        <f t="shared" si="24"/>
        <v>210.20453081429059</v>
      </c>
    </row>
    <row r="223" spans="1:5" s="421" customFormat="1" x14ac:dyDescent="0.2">
      <c r="A223" s="588"/>
      <c r="B223" s="592" t="s">
        <v>828</v>
      </c>
      <c r="C223" s="634">
        <f>C215+C222</f>
        <v>6267.6244399869101</v>
      </c>
      <c r="D223" s="634">
        <f>D215+D222</f>
        <v>6686.7033103106187</v>
      </c>
      <c r="E223" s="634">
        <f t="shared" si="24"/>
        <v>419.07887032370854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829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658</v>
      </c>
      <c r="C227" s="636">
        <f t="shared" ref="C227:D235" si="26">IF(C203=0,0,C47/C203)</f>
        <v>9728.7729024352775</v>
      </c>
      <c r="D227" s="636">
        <f t="shared" si="26"/>
        <v>9041.1408768201127</v>
      </c>
      <c r="E227" s="636">
        <f t="shared" ref="E227:E235" si="27">D227-C227</f>
        <v>-687.63202561516482</v>
      </c>
    </row>
    <row r="228" spans="1:5" s="421" customFormat="1" x14ac:dyDescent="0.2">
      <c r="A228" s="588">
        <v>2</v>
      </c>
      <c r="B228" s="587" t="s">
        <v>637</v>
      </c>
      <c r="C228" s="636">
        <f t="shared" si="26"/>
        <v>6834.8867724930615</v>
      </c>
      <c r="D228" s="636">
        <f t="shared" si="26"/>
        <v>6157.9448399978419</v>
      </c>
      <c r="E228" s="636">
        <f t="shared" si="27"/>
        <v>-676.94193249521959</v>
      </c>
    </row>
    <row r="229" spans="1:5" s="421" customFormat="1" x14ac:dyDescent="0.2">
      <c r="A229" s="588">
        <v>3</v>
      </c>
      <c r="B229" s="587" t="s">
        <v>779</v>
      </c>
      <c r="C229" s="636">
        <f t="shared" si="26"/>
        <v>6191.4774180163304</v>
      </c>
      <c r="D229" s="636">
        <f t="shared" si="26"/>
        <v>4421.078952933789</v>
      </c>
      <c r="E229" s="636">
        <f t="shared" si="27"/>
        <v>-1770.3984650825414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6191.4774180163304</v>
      </c>
      <c r="D230" s="636">
        <f t="shared" si="26"/>
        <v>4421.078952933789</v>
      </c>
      <c r="E230" s="636">
        <f t="shared" si="27"/>
        <v>-1770.3984650825414</v>
      </c>
    </row>
    <row r="231" spans="1:5" s="421" customFormat="1" x14ac:dyDescent="0.2">
      <c r="A231" s="588">
        <v>5</v>
      </c>
      <c r="B231" s="587" t="s">
        <v>745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5628.4243048403714</v>
      </c>
      <c r="D232" s="636">
        <f t="shared" si="26"/>
        <v>4128.676470588236</v>
      </c>
      <c r="E232" s="636">
        <f t="shared" si="27"/>
        <v>-1499.7478342521354</v>
      </c>
    </row>
    <row r="233" spans="1:5" s="421" customFormat="1" x14ac:dyDescent="0.2">
      <c r="A233" s="588">
        <v>7</v>
      </c>
      <c r="B233" s="587" t="s">
        <v>760</v>
      </c>
      <c r="C233" s="636">
        <f t="shared" si="26"/>
        <v>361.75017145521429</v>
      </c>
      <c r="D233" s="636">
        <f t="shared" si="26"/>
        <v>252.51481451127259</v>
      </c>
      <c r="E233" s="636">
        <f t="shared" si="27"/>
        <v>-109.2353569439417</v>
      </c>
    </row>
    <row r="234" spans="1:5" x14ac:dyDescent="0.2">
      <c r="A234" s="588"/>
      <c r="B234" s="592" t="s">
        <v>830</v>
      </c>
      <c r="C234" s="637">
        <f t="shared" si="26"/>
        <v>6652.6460217795757</v>
      </c>
      <c r="D234" s="637">
        <f t="shared" si="26"/>
        <v>5589.0495316449314</v>
      </c>
      <c r="E234" s="637">
        <f t="shared" si="27"/>
        <v>-1063.5964901346442</v>
      </c>
    </row>
    <row r="235" spans="1:5" s="421" customFormat="1" x14ac:dyDescent="0.2">
      <c r="A235" s="588"/>
      <c r="B235" s="592" t="s">
        <v>831</v>
      </c>
      <c r="C235" s="637">
        <f t="shared" si="26"/>
        <v>7418.4972711081227</v>
      </c>
      <c r="D235" s="637">
        <f t="shared" si="26"/>
        <v>6386.3972940917101</v>
      </c>
      <c r="E235" s="637">
        <f t="shared" si="27"/>
        <v>-1032.0999770164126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832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658</v>
      </c>
      <c r="C239" s="636">
        <f t="shared" ref="C239:D247" si="28">IF(C215=0,0,C58/C215)</f>
        <v>8444.1634479565582</v>
      </c>
      <c r="D239" s="636">
        <f t="shared" si="28"/>
        <v>7194.2671976463289</v>
      </c>
      <c r="E239" s="638">
        <f t="shared" ref="E239:E247" si="29">D239-C239</f>
        <v>-1249.8962503102293</v>
      </c>
    </row>
    <row r="240" spans="1:5" s="421" customFormat="1" x14ac:dyDescent="0.2">
      <c r="A240" s="588">
        <v>2</v>
      </c>
      <c r="B240" s="587" t="s">
        <v>637</v>
      </c>
      <c r="C240" s="636">
        <f t="shared" si="28"/>
        <v>5559.702413254</v>
      </c>
      <c r="D240" s="636">
        <f t="shared" si="28"/>
        <v>5187.6207678047167</v>
      </c>
      <c r="E240" s="638">
        <f t="shared" si="29"/>
        <v>-372.08164544928331</v>
      </c>
    </row>
    <row r="241" spans="1:5" x14ac:dyDescent="0.2">
      <c r="A241" s="588">
        <v>3</v>
      </c>
      <c r="B241" s="587" t="s">
        <v>779</v>
      </c>
      <c r="C241" s="636">
        <f t="shared" si="28"/>
        <v>3277.2893993146618</v>
      </c>
      <c r="D241" s="636">
        <f t="shared" si="28"/>
        <v>2414.0837147151256</v>
      </c>
      <c r="E241" s="638">
        <f t="shared" si="29"/>
        <v>-863.2056845995362</v>
      </c>
    </row>
    <row r="242" spans="1:5" x14ac:dyDescent="0.2">
      <c r="A242" s="588">
        <v>4</v>
      </c>
      <c r="B242" s="587" t="s">
        <v>115</v>
      </c>
      <c r="C242" s="636">
        <f t="shared" si="28"/>
        <v>3277.2893993146618</v>
      </c>
      <c r="D242" s="636">
        <f t="shared" si="28"/>
        <v>2414.0837147151256</v>
      </c>
      <c r="E242" s="638">
        <f t="shared" si="29"/>
        <v>-863.2056845995362</v>
      </c>
    </row>
    <row r="243" spans="1:5" x14ac:dyDescent="0.2">
      <c r="A243" s="588">
        <v>5</v>
      </c>
      <c r="B243" s="587" t="s">
        <v>745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5132.8367004116408</v>
      </c>
      <c r="D244" s="636">
        <f t="shared" si="28"/>
        <v>1538.8214803328522</v>
      </c>
      <c r="E244" s="638">
        <f t="shared" si="29"/>
        <v>-3594.0152200787888</v>
      </c>
    </row>
    <row r="245" spans="1:5" x14ac:dyDescent="0.2">
      <c r="A245" s="588">
        <v>7</v>
      </c>
      <c r="B245" s="587" t="s">
        <v>760</v>
      </c>
      <c r="C245" s="636">
        <f t="shared" si="28"/>
        <v>1398.2880983847879</v>
      </c>
      <c r="D245" s="636">
        <f t="shared" si="28"/>
        <v>1568.2764525065793</v>
      </c>
      <c r="E245" s="638">
        <f t="shared" si="29"/>
        <v>169.98835412179142</v>
      </c>
    </row>
    <row r="246" spans="1:5" ht="25.5" x14ac:dyDescent="0.2">
      <c r="A246" s="588"/>
      <c r="B246" s="592" t="s">
        <v>833</v>
      </c>
      <c r="C246" s="637">
        <f t="shared" si="28"/>
        <v>4557.7378767594892</v>
      </c>
      <c r="D246" s="637">
        <f t="shared" si="28"/>
        <v>4044.6928367710016</v>
      </c>
      <c r="E246" s="639">
        <f t="shared" si="29"/>
        <v>-513.04503998848759</v>
      </c>
    </row>
    <row r="247" spans="1:5" x14ac:dyDescent="0.2">
      <c r="A247" s="588"/>
      <c r="B247" s="592" t="s">
        <v>834</v>
      </c>
      <c r="C247" s="637">
        <f t="shared" si="28"/>
        <v>6382.7579943643768</v>
      </c>
      <c r="D247" s="637">
        <f t="shared" si="28"/>
        <v>5529.3860493239781</v>
      </c>
      <c r="E247" s="639">
        <f t="shared" si="29"/>
        <v>-853.37194504039871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762</v>
      </c>
      <c r="B249" s="626" t="s">
        <v>759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3309547.878905612</v>
      </c>
      <c r="D251" s="622">
        <f>((IF((IF(D15=0,0,D26/D15)*D138)=0,0,D59/(IF(D15=0,0,D26/D15)*D138)))-(IF((IF(D17=0,0,D28/D17)*D140)=0,0,D61/(IF(D17=0,0,D28/D17)*D140))))*(IF(D17=0,0,D28/D17)*D140)</f>
        <v>3906072.0763885807</v>
      </c>
      <c r="E251" s="622">
        <f>D251-C251</f>
        <v>596524.19748296868</v>
      </c>
    </row>
    <row r="252" spans="1:5" x14ac:dyDescent="0.2">
      <c r="A252" s="588">
        <v>2</v>
      </c>
      <c r="B252" s="587" t="s">
        <v>745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760</v>
      </c>
      <c r="C253" s="622">
        <f>IF(C233=0,0,(C228-C233)*C209+IF(C221=0,0,(C240-C245)*C221))</f>
        <v>573615.32518561103</v>
      </c>
      <c r="D253" s="622">
        <f>IF(D233=0,0,(D228-D233)*D209+IF(D221=0,0,(D240-D245)*D221))</f>
        <v>834867.40659932536</v>
      </c>
      <c r="E253" s="622">
        <f>D253-C253</f>
        <v>261252.08141371433</v>
      </c>
    </row>
    <row r="254" spans="1:5" ht="15" customHeight="1" x14ac:dyDescent="0.2">
      <c r="A254" s="588"/>
      <c r="B254" s="592" t="s">
        <v>761</v>
      </c>
      <c r="C254" s="640">
        <f>+C251+C252+C253</f>
        <v>3883163.204091223</v>
      </c>
      <c r="D254" s="640">
        <f>+D251+D252+D253</f>
        <v>4740939.4829879059</v>
      </c>
      <c r="E254" s="640">
        <f>D254-C254</f>
        <v>857776.2788966829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835</v>
      </c>
      <c r="B256" s="626" t="s">
        <v>836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727</v>
      </c>
      <c r="C258" s="622">
        <f>+C44</f>
        <v>171319319</v>
      </c>
      <c r="D258" s="625">
        <f>+D44</f>
        <v>168025862</v>
      </c>
      <c r="E258" s="622">
        <f t="shared" ref="E258:E271" si="30">D258-C258</f>
        <v>-3293457</v>
      </c>
    </row>
    <row r="259" spans="1:5" x14ac:dyDescent="0.2">
      <c r="A259" s="588">
        <v>2</v>
      </c>
      <c r="B259" s="587" t="s">
        <v>744</v>
      </c>
      <c r="C259" s="622">
        <f>+(C43-C76)</f>
        <v>79950876</v>
      </c>
      <c r="D259" s="625">
        <f>+(D43-D76)</f>
        <v>84097925</v>
      </c>
      <c r="E259" s="622">
        <f t="shared" si="30"/>
        <v>4147049</v>
      </c>
    </row>
    <row r="260" spans="1:5" x14ac:dyDescent="0.2">
      <c r="A260" s="588">
        <v>3</v>
      </c>
      <c r="B260" s="587" t="s">
        <v>748</v>
      </c>
      <c r="C260" s="622">
        <f>C195</f>
        <v>3335047</v>
      </c>
      <c r="D260" s="622">
        <f>D195</f>
        <v>2137964</v>
      </c>
      <c r="E260" s="622">
        <f t="shared" si="30"/>
        <v>-1197083</v>
      </c>
    </row>
    <row r="261" spans="1:5" x14ac:dyDescent="0.2">
      <c r="A261" s="588">
        <v>4</v>
      </c>
      <c r="B261" s="587" t="s">
        <v>749</v>
      </c>
      <c r="C261" s="622">
        <f>C188</f>
        <v>19744023</v>
      </c>
      <c r="D261" s="622">
        <f>D188</f>
        <v>20300865</v>
      </c>
      <c r="E261" s="622">
        <f t="shared" si="30"/>
        <v>556842</v>
      </c>
    </row>
    <row r="262" spans="1:5" x14ac:dyDescent="0.2">
      <c r="A262" s="588">
        <v>5</v>
      </c>
      <c r="B262" s="587" t="s">
        <v>750</v>
      </c>
      <c r="C262" s="622">
        <f>C191</f>
        <v>0</v>
      </c>
      <c r="D262" s="622">
        <f>D191</f>
        <v>0</v>
      </c>
      <c r="E262" s="622">
        <f t="shared" si="30"/>
        <v>0</v>
      </c>
    </row>
    <row r="263" spans="1:5" x14ac:dyDescent="0.2">
      <c r="A263" s="588">
        <v>6</v>
      </c>
      <c r="B263" s="587" t="s">
        <v>751</v>
      </c>
      <c r="C263" s="622">
        <f>+C259+C260+C261+C262</f>
        <v>103029946</v>
      </c>
      <c r="D263" s="622">
        <f>+D259+D260+D261+D262</f>
        <v>106536754</v>
      </c>
      <c r="E263" s="622">
        <f t="shared" si="30"/>
        <v>3506808</v>
      </c>
    </row>
    <row r="264" spans="1:5" x14ac:dyDescent="0.2">
      <c r="A264" s="588">
        <v>7</v>
      </c>
      <c r="B264" s="587" t="s">
        <v>656</v>
      </c>
      <c r="C264" s="622">
        <f>+C258-C263</f>
        <v>68289373</v>
      </c>
      <c r="D264" s="622">
        <f>+D258-D263</f>
        <v>61489108</v>
      </c>
      <c r="E264" s="622">
        <f t="shared" si="30"/>
        <v>-6800265</v>
      </c>
    </row>
    <row r="265" spans="1:5" x14ac:dyDescent="0.2">
      <c r="A265" s="588">
        <v>8</v>
      </c>
      <c r="B265" s="587" t="s">
        <v>837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838</v>
      </c>
      <c r="C266" s="622">
        <f>+C264+C265</f>
        <v>68289373</v>
      </c>
      <c r="D266" s="622">
        <f>+D264+D265</f>
        <v>61489108</v>
      </c>
      <c r="E266" s="641">
        <f t="shared" si="30"/>
        <v>-6800265</v>
      </c>
    </row>
    <row r="267" spans="1:5" x14ac:dyDescent="0.2">
      <c r="A267" s="588">
        <v>10</v>
      </c>
      <c r="B267" s="587" t="s">
        <v>839</v>
      </c>
      <c r="C267" s="642">
        <f>IF(C258=0,0,C266/C258)</f>
        <v>0.39860871149038363</v>
      </c>
      <c r="D267" s="642">
        <f>IF(D258=0,0,D266/D258)</f>
        <v>0.36595026068070402</v>
      </c>
      <c r="E267" s="643">
        <f t="shared" si="30"/>
        <v>-3.2658450809679607E-2</v>
      </c>
    </row>
    <row r="268" spans="1:5" x14ac:dyDescent="0.2">
      <c r="A268" s="588">
        <v>11</v>
      </c>
      <c r="B268" s="587" t="s">
        <v>718</v>
      </c>
      <c r="C268" s="622">
        <f>+C260*C267</f>
        <v>1329378.7874298694</v>
      </c>
      <c r="D268" s="644">
        <f>+D260*D267</f>
        <v>782388.48312596069</v>
      </c>
      <c r="E268" s="622">
        <f t="shared" si="30"/>
        <v>-546990.30430390872</v>
      </c>
    </row>
    <row r="269" spans="1:5" x14ac:dyDescent="0.2">
      <c r="A269" s="588">
        <v>12</v>
      </c>
      <c r="B269" s="587" t="s">
        <v>840</v>
      </c>
      <c r="C269" s="622">
        <f>((C17+C18+C28+C29)*C267)-(C50+C51+C61+C62)</f>
        <v>4081320.0728676487</v>
      </c>
      <c r="D269" s="644">
        <f>((D17+D18+D28+D29)*D267)-(D50+D51+D61+D62)</f>
        <v>4716170.6898742057</v>
      </c>
      <c r="E269" s="622">
        <f t="shared" si="30"/>
        <v>634850.61700655706</v>
      </c>
    </row>
    <row r="270" spans="1:5" s="648" customFormat="1" x14ac:dyDescent="0.2">
      <c r="A270" s="645">
        <v>13</v>
      </c>
      <c r="B270" s="646" t="s">
        <v>841</v>
      </c>
      <c r="C270" s="647">
        <v>0</v>
      </c>
      <c r="D270" s="647">
        <v>0</v>
      </c>
      <c r="E270" s="622">
        <f t="shared" si="30"/>
        <v>0</v>
      </c>
    </row>
    <row r="271" spans="1:5" x14ac:dyDescent="0.2">
      <c r="A271" s="588">
        <v>14</v>
      </c>
      <c r="B271" s="587" t="s">
        <v>842</v>
      </c>
      <c r="C271" s="622">
        <f>+C268+C269+C270</f>
        <v>5410698.8602975179</v>
      </c>
      <c r="D271" s="622">
        <f>+D268+D269+D270</f>
        <v>5498559.1730001662</v>
      </c>
      <c r="E271" s="625">
        <f t="shared" si="30"/>
        <v>87860.312702648342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843</v>
      </c>
      <c r="B273" s="626" t="s">
        <v>844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845</v>
      </c>
      <c r="C275" s="425"/>
      <c r="D275" s="425"/>
      <c r="E275" s="596"/>
    </row>
    <row r="276" spans="1:5" x14ac:dyDescent="0.2">
      <c r="A276" s="588">
        <v>1</v>
      </c>
      <c r="B276" s="587" t="s">
        <v>658</v>
      </c>
      <c r="C276" s="623">
        <f t="shared" ref="C276:D284" si="31">IF(C14=0,0,+C47/C14)</f>
        <v>0.63665894433584047</v>
      </c>
      <c r="D276" s="623">
        <f t="shared" si="31"/>
        <v>0.65817497849292683</v>
      </c>
      <c r="E276" s="650">
        <f t="shared" ref="E276:E284" si="32">D276-C276</f>
        <v>2.1516034157086361E-2</v>
      </c>
    </row>
    <row r="277" spans="1:5" x14ac:dyDescent="0.2">
      <c r="A277" s="588">
        <v>2</v>
      </c>
      <c r="B277" s="587" t="s">
        <v>637</v>
      </c>
      <c r="C277" s="623">
        <f t="shared" si="31"/>
        <v>0.36595640624542264</v>
      </c>
      <c r="D277" s="623">
        <f t="shared" si="31"/>
        <v>0.33873401796394237</v>
      </c>
      <c r="E277" s="650">
        <f t="shared" si="32"/>
        <v>-2.722238828148027E-2</v>
      </c>
    </row>
    <row r="278" spans="1:5" x14ac:dyDescent="0.2">
      <c r="A278" s="588">
        <v>3</v>
      </c>
      <c r="B278" s="587" t="s">
        <v>779</v>
      </c>
      <c r="C278" s="623">
        <f t="shared" si="31"/>
        <v>0.3860980472742303</v>
      </c>
      <c r="D278" s="623">
        <f t="shared" si="31"/>
        <v>0.29940104975866222</v>
      </c>
      <c r="E278" s="650">
        <f t="shared" si="32"/>
        <v>-8.6696997515568086E-2</v>
      </c>
    </row>
    <row r="279" spans="1:5" x14ac:dyDescent="0.2">
      <c r="A279" s="588">
        <v>4</v>
      </c>
      <c r="B279" s="587" t="s">
        <v>115</v>
      </c>
      <c r="C279" s="623">
        <f t="shared" si="31"/>
        <v>0.3860980472742303</v>
      </c>
      <c r="D279" s="623">
        <f t="shared" si="31"/>
        <v>0.29940104975866222</v>
      </c>
      <c r="E279" s="650">
        <f t="shared" si="32"/>
        <v>-8.6696997515568086E-2</v>
      </c>
    </row>
    <row r="280" spans="1:5" x14ac:dyDescent="0.2">
      <c r="A280" s="588">
        <v>5</v>
      </c>
      <c r="B280" s="587" t="s">
        <v>745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0.36876745086766827</v>
      </c>
      <c r="D281" s="623">
        <f t="shared" si="31"/>
        <v>0.36770882896157253</v>
      </c>
      <c r="E281" s="650">
        <f t="shared" si="32"/>
        <v>-1.0586219060957358E-3</v>
      </c>
    </row>
    <row r="282" spans="1:5" x14ac:dyDescent="0.2">
      <c r="A282" s="588">
        <v>7</v>
      </c>
      <c r="B282" s="587" t="s">
        <v>760</v>
      </c>
      <c r="C282" s="623">
        <f t="shared" si="31"/>
        <v>1.8885734583608118E-2</v>
      </c>
      <c r="D282" s="623">
        <f t="shared" si="31"/>
        <v>2.5023614679061064E-2</v>
      </c>
      <c r="E282" s="650">
        <f t="shared" si="32"/>
        <v>6.137880095452946E-3</v>
      </c>
    </row>
    <row r="283" spans="1:5" ht="29.25" customHeight="1" x14ac:dyDescent="0.2">
      <c r="A283" s="588"/>
      <c r="B283" s="592" t="s">
        <v>846</v>
      </c>
      <c r="C283" s="651">
        <f t="shared" si="31"/>
        <v>0.37045878395821263</v>
      </c>
      <c r="D283" s="651">
        <f t="shared" si="31"/>
        <v>0.32795575936800681</v>
      </c>
      <c r="E283" s="652">
        <f t="shared" si="32"/>
        <v>-4.2503024590205829E-2</v>
      </c>
    </row>
    <row r="284" spans="1:5" x14ac:dyDescent="0.2">
      <c r="A284" s="588"/>
      <c r="B284" s="592" t="s">
        <v>847</v>
      </c>
      <c r="C284" s="651">
        <f t="shared" si="31"/>
        <v>0.42902799980663908</v>
      </c>
      <c r="D284" s="651">
        <f t="shared" si="31"/>
        <v>0.39231815298335082</v>
      </c>
      <c r="E284" s="652">
        <f t="shared" si="32"/>
        <v>-3.6709846823288261E-2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848</v>
      </c>
      <c r="C286" s="596"/>
      <c r="D286" s="596"/>
      <c r="E286" s="596"/>
    </row>
    <row r="287" spans="1:5" x14ac:dyDescent="0.2">
      <c r="A287" s="588">
        <v>1</v>
      </c>
      <c r="B287" s="587" t="s">
        <v>658</v>
      </c>
      <c r="C287" s="623">
        <f t="shared" ref="C287:D295" si="33">IF(C25=0,0,+C58/C25)</f>
        <v>0.53906256879840075</v>
      </c>
      <c r="D287" s="623">
        <f t="shared" si="33"/>
        <v>0.51859260910554017</v>
      </c>
      <c r="E287" s="650">
        <f t="shared" ref="E287:E295" si="34">D287-C287</f>
        <v>-2.0469959692860584E-2</v>
      </c>
    </row>
    <row r="288" spans="1:5" x14ac:dyDescent="0.2">
      <c r="A288" s="588">
        <v>2</v>
      </c>
      <c r="B288" s="587" t="s">
        <v>637</v>
      </c>
      <c r="C288" s="623">
        <f t="shared" si="33"/>
        <v>0.23332806433445333</v>
      </c>
      <c r="D288" s="623">
        <f t="shared" si="33"/>
        <v>0.2276859330720713</v>
      </c>
      <c r="E288" s="650">
        <f t="shared" si="34"/>
        <v>-5.6421312623820274E-3</v>
      </c>
    </row>
    <row r="289" spans="1:5" x14ac:dyDescent="0.2">
      <c r="A289" s="588">
        <v>3</v>
      </c>
      <c r="B289" s="587" t="s">
        <v>779</v>
      </c>
      <c r="C289" s="623">
        <f t="shared" si="33"/>
        <v>0.21758666592003184</v>
      </c>
      <c r="D289" s="623">
        <f t="shared" si="33"/>
        <v>0.1709555555108592</v>
      </c>
      <c r="E289" s="650">
        <f t="shared" si="34"/>
        <v>-4.6631110409172644E-2</v>
      </c>
    </row>
    <row r="290" spans="1:5" x14ac:dyDescent="0.2">
      <c r="A290" s="588">
        <v>4</v>
      </c>
      <c r="B290" s="587" t="s">
        <v>115</v>
      </c>
      <c r="C290" s="623">
        <f t="shared" si="33"/>
        <v>0.21758666592003184</v>
      </c>
      <c r="D290" s="623">
        <f t="shared" si="33"/>
        <v>0.1709555555108592</v>
      </c>
      <c r="E290" s="650">
        <f t="shared" si="34"/>
        <v>-4.6631110409172644E-2</v>
      </c>
    </row>
    <row r="291" spans="1:5" x14ac:dyDescent="0.2">
      <c r="A291" s="588">
        <v>5</v>
      </c>
      <c r="B291" s="587" t="s">
        <v>745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0.3463410498665766</v>
      </c>
      <c r="D292" s="623">
        <f t="shared" si="33"/>
        <v>0.15745721407894775</v>
      </c>
      <c r="E292" s="650">
        <f t="shared" si="34"/>
        <v>-0.18888383578762885</v>
      </c>
    </row>
    <row r="293" spans="1:5" x14ac:dyDescent="0.2">
      <c r="A293" s="588">
        <v>7</v>
      </c>
      <c r="B293" s="587" t="s">
        <v>760</v>
      </c>
      <c r="C293" s="623">
        <f t="shared" si="33"/>
        <v>7.7174988235520089E-2</v>
      </c>
      <c r="D293" s="623">
        <f t="shared" si="33"/>
        <v>0.13013938092959598</v>
      </c>
      <c r="E293" s="650">
        <f t="shared" si="34"/>
        <v>5.2964392694075893E-2</v>
      </c>
    </row>
    <row r="294" spans="1:5" ht="29.25" customHeight="1" x14ac:dyDescent="0.2">
      <c r="A294" s="588"/>
      <c r="B294" s="592" t="s">
        <v>849</v>
      </c>
      <c r="C294" s="651">
        <f t="shared" si="33"/>
        <v>0.2293945689263093</v>
      </c>
      <c r="D294" s="651">
        <f t="shared" si="33"/>
        <v>0.21068858289593007</v>
      </c>
      <c r="E294" s="652">
        <f t="shared" si="34"/>
        <v>-1.8705986030379235E-2</v>
      </c>
    </row>
    <row r="295" spans="1:5" x14ac:dyDescent="0.2">
      <c r="A295" s="588"/>
      <c r="B295" s="592" t="s">
        <v>850</v>
      </c>
      <c r="C295" s="651">
        <f t="shared" si="33"/>
        <v>0.35669037565835365</v>
      </c>
      <c r="D295" s="651">
        <f t="shared" si="33"/>
        <v>0.33135092025576818</v>
      </c>
      <c r="E295" s="652">
        <f t="shared" si="34"/>
        <v>-2.5339455402585476E-2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851</v>
      </c>
      <c r="B297" s="579" t="s">
        <v>852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853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656</v>
      </c>
      <c r="C301" s="590">
        <f>+C48+C47+C50+C51+C52+C59+C58+C61+C62+C63</f>
        <v>65387734</v>
      </c>
      <c r="D301" s="590">
        <f>+D48+D47+D50+D51+D52+D59+D58+D61+D62+D63</f>
        <v>59116646</v>
      </c>
      <c r="E301" s="590">
        <f>D301-C301</f>
        <v>-6271088</v>
      </c>
    </row>
    <row r="302" spans="1:5" ht="25.5" x14ac:dyDescent="0.2">
      <c r="A302" s="588">
        <v>2</v>
      </c>
      <c r="B302" s="587" t="s">
        <v>854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855</v>
      </c>
      <c r="C303" s="593">
        <f>+C301+C302</f>
        <v>65387734</v>
      </c>
      <c r="D303" s="593">
        <f>+D301+D302</f>
        <v>59116646</v>
      </c>
      <c r="E303" s="593">
        <f>D303-C303</f>
        <v>-6271088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856</v>
      </c>
      <c r="C305" s="589">
        <v>0</v>
      </c>
      <c r="D305" s="654">
        <v>1</v>
      </c>
      <c r="E305" s="655">
        <f>D305-C305</f>
        <v>1</v>
      </c>
    </row>
    <row r="306" spans="1:5" x14ac:dyDescent="0.2">
      <c r="A306" s="588">
        <v>4</v>
      </c>
      <c r="B306" s="592" t="s">
        <v>857</v>
      </c>
      <c r="C306" s="593">
        <f>+C303+C305+C194+C190-C191</f>
        <v>68501734</v>
      </c>
      <c r="D306" s="593">
        <f>+D303+D305</f>
        <v>59116647</v>
      </c>
      <c r="E306" s="656">
        <f>D306-C306</f>
        <v>-9385087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858</v>
      </c>
      <c r="C308" s="589">
        <v>65387734</v>
      </c>
      <c r="D308" s="589">
        <v>59116647</v>
      </c>
      <c r="E308" s="590">
        <f>D308-C308</f>
        <v>-6271087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859</v>
      </c>
      <c r="C310" s="657">
        <f>C306-C308</f>
        <v>3114000</v>
      </c>
      <c r="D310" s="658">
        <f>D306-D308</f>
        <v>0</v>
      </c>
      <c r="E310" s="656">
        <f>D310-C310</f>
        <v>-3114000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860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861</v>
      </c>
      <c r="C314" s="590">
        <f>+C14+C15+C16+C19+C25+C26+C27+C30</f>
        <v>171319319</v>
      </c>
      <c r="D314" s="590">
        <f>+D14+D15+D16+D19+D25+D26+D27+D30</f>
        <v>168025862</v>
      </c>
      <c r="E314" s="590">
        <f>D314-C314</f>
        <v>-3293457</v>
      </c>
    </row>
    <row r="315" spans="1:5" x14ac:dyDescent="0.2">
      <c r="A315" s="588">
        <v>2</v>
      </c>
      <c r="B315" s="659" t="s">
        <v>862</v>
      </c>
      <c r="C315" s="589">
        <v>0</v>
      </c>
      <c r="D315" s="589">
        <v>-529</v>
      </c>
      <c r="E315" s="590">
        <f>D315-C315</f>
        <v>-529</v>
      </c>
    </row>
    <row r="316" spans="1:5" x14ac:dyDescent="0.2">
      <c r="A316" s="588"/>
      <c r="B316" s="592" t="s">
        <v>863</v>
      </c>
      <c r="C316" s="657">
        <f>C314+C315</f>
        <v>171319319</v>
      </c>
      <c r="D316" s="657">
        <f>D314+D315</f>
        <v>168025333</v>
      </c>
      <c r="E316" s="593">
        <f>D316-C316</f>
        <v>-3293986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864</v>
      </c>
      <c r="C318" s="589">
        <v>171319321</v>
      </c>
      <c r="D318" s="589">
        <v>168025333</v>
      </c>
      <c r="E318" s="590">
        <f>D318-C318</f>
        <v>-3293988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859</v>
      </c>
      <c r="C320" s="657">
        <f>C316-C318</f>
        <v>-2</v>
      </c>
      <c r="D320" s="657">
        <f>D316-D318</f>
        <v>0</v>
      </c>
      <c r="E320" s="593">
        <f>D320-C320</f>
        <v>2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865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866</v>
      </c>
      <c r="C324" s="589">
        <f>+C193+C194</f>
        <v>3335047</v>
      </c>
      <c r="D324" s="589">
        <f>+D193+D194</f>
        <v>2137964</v>
      </c>
      <c r="E324" s="590">
        <f>D324-C324</f>
        <v>-1197083</v>
      </c>
    </row>
    <row r="325" spans="1:5" x14ac:dyDescent="0.2">
      <c r="A325" s="588">
        <v>2</v>
      </c>
      <c r="B325" s="587" t="s">
        <v>867</v>
      </c>
      <c r="C325" s="589">
        <v>0</v>
      </c>
      <c r="D325" s="589">
        <v>521</v>
      </c>
      <c r="E325" s="590">
        <f>D325-C325</f>
        <v>521</v>
      </c>
    </row>
    <row r="326" spans="1:5" x14ac:dyDescent="0.2">
      <c r="A326" s="588"/>
      <c r="B326" s="592" t="s">
        <v>868</v>
      </c>
      <c r="C326" s="657">
        <f>C324+C325</f>
        <v>3335047</v>
      </c>
      <c r="D326" s="657">
        <f>D324+D325</f>
        <v>2138485</v>
      </c>
      <c r="E326" s="593">
        <f>D326-C326</f>
        <v>-1196562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869</v>
      </c>
      <c r="C328" s="589">
        <v>3335047</v>
      </c>
      <c r="D328" s="589">
        <v>2138485</v>
      </c>
      <c r="E328" s="590">
        <f>D328-C328</f>
        <v>-1196562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870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75" bottom="0.75" header="0.3" footer="0.3"/>
  <pageSetup scale="74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>
      <selection activeCell="M25" sqref="M25"/>
    </sheetView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631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871</v>
      </c>
      <c r="B5" s="824"/>
      <c r="C5" s="825"/>
      <c r="D5" s="661"/>
    </row>
    <row r="6" spans="1:58" s="662" customFormat="1" ht="15.75" customHeight="1" x14ac:dyDescent="0.25">
      <c r="A6" s="823" t="s">
        <v>872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873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874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778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658</v>
      </c>
      <c r="C14" s="589">
        <v>11001032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637</v>
      </c>
      <c r="C15" s="591">
        <v>32649626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779</v>
      </c>
      <c r="C16" s="591">
        <v>12596038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12596038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745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195459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760</v>
      </c>
      <c r="C20" s="591">
        <v>566385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780</v>
      </c>
      <c r="C21" s="593">
        <f>SUM(C15+C16+C19)</f>
        <v>45441123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56442155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781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658</v>
      </c>
      <c r="C25" s="589">
        <v>43727752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637</v>
      </c>
      <c r="C26" s="591">
        <v>47610438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779</v>
      </c>
      <c r="C27" s="591">
        <v>19887280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19887280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745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358237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760</v>
      </c>
      <c r="C31" s="594">
        <v>1676126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782</v>
      </c>
      <c r="C32" s="593">
        <f>SUM(C26+C27+C30)</f>
        <v>67855955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111583707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655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875</v>
      </c>
      <c r="C36" s="590">
        <f>SUM(C14+C25)</f>
        <v>54728784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876</v>
      </c>
      <c r="C37" s="594">
        <f>SUM(C21+C32)</f>
        <v>113297078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655</v>
      </c>
      <c r="C38" s="593">
        <f>SUM(+C36+C37)</f>
        <v>168025862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791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658</v>
      </c>
      <c r="C41" s="589">
        <v>7240604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637</v>
      </c>
      <c r="C42" s="591">
        <v>11059539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779</v>
      </c>
      <c r="C43" s="591">
        <v>3771267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3771267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745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71872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760</v>
      </c>
      <c r="C47" s="591">
        <v>14173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792</v>
      </c>
      <c r="C48" s="593">
        <f>SUM(C42+C43+C46)</f>
        <v>14902678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22143282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793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658</v>
      </c>
      <c r="C52" s="589">
        <v>22676889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637</v>
      </c>
      <c r="C53" s="591">
        <v>10840227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779</v>
      </c>
      <c r="C54" s="591">
        <v>3399841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3399841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745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56407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760</v>
      </c>
      <c r="C58" s="591">
        <v>218130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794</v>
      </c>
      <c r="C59" s="593">
        <f>SUM(C53+C54+C57)</f>
        <v>14296475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36973364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656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877</v>
      </c>
      <c r="C63" s="590">
        <f>SUM(C41+C52)</f>
        <v>29917493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878</v>
      </c>
      <c r="C64" s="594">
        <f>SUM(C48+C59)</f>
        <v>29199153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656</v>
      </c>
      <c r="C65" s="593">
        <f>SUM(+C63+C64)</f>
        <v>59116646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879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880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658</v>
      </c>
      <c r="C70" s="606">
        <v>793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637</v>
      </c>
      <c r="C71" s="606">
        <v>1433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779</v>
      </c>
      <c r="C72" s="606">
        <v>892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892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745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20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760</v>
      </c>
      <c r="C76" s="621">
        <v>47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809</v>
      </c>
      <c r="C77" s="608">
        <f>SUM(C71+C72+C75)</f>
        <v>2345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3138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813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658</v>
      </c>
      <c r="C81" s="617">
        <v>1.0099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637</v>
      </c>
      <c r="C82" s="617">
        <v>1.2533000000000001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779</v>
      </c>
      <c r="C83" s="617">
        <f>((C73*C84)+(C74*C85))/(C73+C74)</f>
        <v>0.95630000000000004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0.95630000000000004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745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0.87039999999999995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760</v>
      </c>
      <c r="C87" s="617">
        <v>1.1941999999999999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814</v>
      </c>
      <c r="C88" s="619">
        <f>((C71*C82)+(C73*C84)+(C74*C85)+(C75*C86))/(C71+C73+C74+C75)</f>
        <v>1.137060341151386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725</v>
      </c>
      <c r="C89" s="619">
        <f>((C70*C81)+(C71*C82)+(C73*C84)+(C74*C85)+(C75*C86))/(C70+C71+C73+C74+C75)</f>
        <v>1.104925812619503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815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816</v>
      </c>
      <c r="C92" s="589">
        <v>48576137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817</v>
      </c>
      <c r="C93" s="622">
        <v>28275272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670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749</v>
      </c>
      <c r="C95" s="589">
        <f>+C92-C93</f>
        <v>20300865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672</v>
      </c>
      <c r="C96" s="681">
        <f>(+C92-C93)/C92</f>
        <v>0.4179184730148468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764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750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881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819</v>
      </c>
      <c r="C103" s="589">
        <v>160881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820</v>
      </c>
      <c r="C104" s="589">
        <v>1977083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821</v>
      </c>
      <c r="C105" s="654">
        <f>+C103+C104</f>
        <v>2137964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822</v>
      </c>
      <c r="C107" s="589">
        <v>2744640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712</v>
      </c>
      <c r="C108" s="589">
        <v>66930968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852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853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656</v>
      </c>
      <c r="C114" s="590">
        <f>+C65</f>
        <v>59116646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854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855</v>
      </c>
      <c r="C116" s="593">
        <f>+C114+C115</f>
        <v>59116646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856</v>
      </c>
      <c r="C118" s="654">
        <v>1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857</v>
      </c>
      <c r="C119" s="656">
        <f>+C116+C118</f>
        <v>59116647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858</v>
      </c>
      <c r="C121" s="589">
        <v>59116647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859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860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861</v>
      </c>
      <c r="C127" s="590">
        <f>C38</f>
        <v>168025862</v>
      </c>
      <c r="D127" s="664"/>
      <c r="AR127" s="485"/>
    </row>
    <row r="128" spans="1:58" s="421" customFormat="1" ht="12.75" x14ac:dyDescent="0.2">
      <c r="A128" s="588">
        <v>2</v>
      </c>
      <c r="B128" s="659" t="s">
        <v>862</v>
      </c>
      <c r="C128" s="589">
        <v>-529</v>
      </c>
      <c r="D128" s="664"/>
      <c r="AR128" s="485"/>
    </row>
    <row r="129" spans="1:44" s="421" customFormat="1" ht="12.75" x14ac:dyDescent="0.2">
      <c r="A129" s="588"/>
      <c r="B129" s="671" t="s">
        <v>863</v>
      </c>
      <c r="C129" s="657">
        <f>C127+C128</f>
        <v>168025333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864</v>
      </c>
      <c r="C131" s="589">
        <v>168025333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859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865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866</v>
      </c>
      <c r="C137" s="589">
        <f>C105</f>
        <v>2137964</v>
      </c>
      <c r="D137" s="664"/>
      <c r="AR137" s="485"/>
    </row>
    <row r="138" spans="1:44" s="421" customFormat="1" ht="12.75" x14ac:dyDescent="0.2">
      <c r="A138" s="588">
        <v>2</v>
      </c>
      <c r="B138" s="669" t="s">
        <v>882</v>
      </c>
      <c r="C138" s="589">
        <v>521</v>
      </c>
      <c r="D138" s="664"/>
      <c r="AR138" s="485"/>
    </row>
    <row r="139" spans="1:44" s="421" customFormat="1" ht="12.75" x14ac:dyDescent="0.2">
      <c r="A139" s="588"/>
      <c r="B139" s="671" t="s">
        <v>868</v>
      </c>
      <c r="C139" s="657">
        <f>C137+C138</f>
        <v>2138485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883</v>
      </c>
      <c r="C141" s="589">
        <v>2138485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870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75" bottom="0.75" header="0.3" footer="0.3"/>
  <pageSetup scale="79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M25" sqref="M25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631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884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634</v>
      </c>
      <c r="D8" s="177" t="s">
        <v>634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885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886</v>
      </c>
      <c r="C12" s="185">
        <v>95</v>
      </c>
      <c r="D12" s="185">
        <v>79</v>
      </c>
      <c r="E12" s="185">
        <f>+D12-C12</f>
        <v>-16</v>
      </c>
      <c r="F12" s="77">
        <f>IF(C12=0,0,+E12/C12)</f>
        <v>-0.16842105263157894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887</v>
      </c>
      <c r="C13" s="185">
        <v>69</v>
      </c>
      <c r="D13" s="185">
        <v>52</v>
      </c>
      <c r="E13" s="185">
        <f>+D13-C13</f>
        <v>-17</v>
      </c>
      <c r="F13" s="77">
        <f>IF(C13=0,0,+E13/C13)</f>
        <v>-0.24637681159420291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888</v>
      </c>
      <c r="C15" s="76">
        <v>221047</v>
      </c>
      <c r="D15" s="76">
        <v>160881</v>
      </c>
      <c r="E15" s="76">
        <f>+D15-C15</f>
        <v>-60166</v>
      </c>
      <c r="F15" s="77">
        <f>IF(C15=0,0,+E15/C15)</f>
        <v>-0.272186458083575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889</v>
      </c>
      <c r="C16" s="79">
        <f>IF(C13=0,0,+C15/+C13)</f>
        <v>3203.5797101449275</v>
      </c>
      <c r="D16" s="79">
        <f>IF(D13=0,0,+D15/+D13)</f>
        <v>3093.8653846153848</v>
      </c>
      <c r="E16" s="79">
        <f>+D16-C16</f>
        <v>-109.71432552954275</v>
      </c>
      <c r="F16" s="80">
        <f>IF(C16=0,0,+E16/C16)</f>
        <v>-3.4247415533974444E-2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890</v>
      </c>
      <c r="C18" s="704">
        <v>0.38846700000000001</v>
      </c>
      <c r="D18" s="704">
        <v>0.408586</v>
      </c>
      <c r="E18" s="704">
        <f>+D18-C18</f>
        <v>2.0118999999999998E-2</v>
      </c>
      <c r="F18" s="77">
        <f>IF(C18=0,0,+E18/C18)</f>
        <v>5.1790757001238197E-2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891</v>
      </c>
      <c r="C19" s="79">
        <f>+C15*C18</f>
        <v>85869.464949000001</v>
      </c>
      <c r="D19" s="79">
        <f>+D15*D18</f>
        <v>65733.724266000005</v>
      </c>
      <c r="E19" s="79">
        <f>+D19-C19</f>
        <v>-20135.740682999996</v>
      </c>
      <c r="F19" s="80">
        <f>IF(C19=0,0,+E19/C19)</f>
        <v>-0.23449244379197087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892</v>
      </c>
      <c r="C20" s="79">
        <f>IF(C13=0,0,+C19/C13)</f>
        <v>1244.4849992608695</v>
      </c>
      <c r="D20" s="79">
        <f>IF(D13=0,0,+D19/D13)</f>
        <v>1264.1100820384615</v>
      </c>
      <c r="E20" s="79">
        <f>+D20-C20</f>
        <v>19.62508277759207</v>
      </c>
      <c r="F20" s="80">
        <f>IF(C20=0,0,+E20/C20)</f>
        <v>1.5769641891423273E-2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893</v>
      </c>
      <c r="C22" s="76">
        <v>124236</v>
      </c>
      <c r="D22" s="76">
        <v>86954</v>
      </c>
      <c r="E22" s="76">
        <f>+D22-C22</f>
        <v>-37282</v>
      </c>
      <c r="F22" s="77">
        <f>IF(C22=0,0,+E22/C22)</f>
        <v>-0.30009015100292991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894</v>
      </c>
      <c r="C23" s="185">
        <v>49957</v>
      </c>
      <c r="D23" s="185">
        <v>55536</v>
      </c>
      <c r="E23" s="185">
        <f>+D23-C23</f>
        <v>5579</v>
      </c>
      <c r="F23" s="77">
        <f>IF(C23=0,0,+E23/C23)</f>
        <v>0.11167604139560022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895</v>
      </c>
      <c r="C24" s="185">
        <v>46854</v>
      </c>
      <c r="D24" s="185">
        <v>18391</v>
      </c>
      <c r="E24" s="185">
        <f>+D24-C24</f>
        <v>-28463</v>
      </c>
      <c r="F24" s="77">
        <f>IF(C24=0,0,+E24/C24)</f>
        <v>-0.60748281896956502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896</v>
      </c>
      <c r="C25" s="79">
        <f>+C22+C23+C24</f>
        <v>221047</v>
      </c>
      <c r="D25" s="79">
        <f>+D22+D23+D24</f>
        <v>160881</v>
      </c>
      <c r="E25" s="79">
        <f>+E22+E23+E24</f>
        <v>-60166</v>
      </c>
      <c r="F25" s="80">
        <f>IF(C25=0,0,+E25/C25)</f>
        <v>-0.272186458083575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897</v>
      </c>
      <c r="C27" s="185">
        <v>27</v>
      </c>
      <c r="D27" s="185">
        <v>42</v>
      </c>
      <c r="E27" s="185">
        <f>+D27-C27</f>
        <v>15</v>
      </c>
      <c r="F27" s="77">
        <f>IF(C27=0,0,+E27/C27)</f>
        <v>0.55555555555555558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898</v>
      </c>
      <c r="C28" s="185">
        <v>5</v>
      </c>
      <c r="D28" s="185">
        <v>10</v>
      </c>
      <c r="E28" s="185">
        <f>+D28-C28</f>
        <v>5</v>
      </c>
      <c r="F28" s="77">
        <f>IF(C28=0,0,+E28/C28)</f>
        <v>1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899</v>
      </c>
      <c r="C29" s="185">
        <v>76</v>
      </c>
      <c r="D29" s="185">
        <v>18</v>
      </c>
      <c r="E29" s="185">
        <f>+D29-C29</f>
        <v>-58</v>
      </c>
      <c r="F29" s="77">
        <f>IF(C29=0,0,+E29/C29)</f>
        <v>-0.76315789473684215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900</v>
      </c>
      <c r="C30" s="185">
        <v>195</v>
      </c>
      <c r="D30" s="185">
        <v>53</v>
      </c>
      <c r="E30" s="185">
        <f>+D30-C30</f>
        <v>-142</v>
      </c>
      <c r="F30" s="77">
        <f>IF(C30=0,0,+E30/C30)</f>
        <v>-0.72820512820512817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901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902</v>
      </c>
      <c r="C33" s="76">
        <v>759505</v>
      </c>
      <c r="D33" s="76">
        <v>478426</v>
      </c>
      <c r="E33" s="76">
        <f>+D33-C33</f>
        <v>-281079</v>
      </c>
      <c r="F33" s="77">
        <f>IF(C33=0,0,+E33/C33)</f>
        <v>-0.3700818296127083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903</v>
      </c>
      <c r="C34" s="185">
        <v>594463</v>
      </c>
      <c r="D34" s="185">
        <v>432728</v>
      </c>
      <c r="E34" s="185">
        <f>+D34-C34</f>
        <v>-161735</v>
      </c>
      <c r="F34" s="77">
        <f>IF(C34=0,0,+E34/C34)</f>
        <v>-0.27206907746991821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904</v>
      </c>
      <c r="C35" s="185">
        <v>1760032</v>
      </c>
      <c r="D35" s="185">
        <v>1065929</v>
      </c>
      <c r="E35" s="185">
        <f>+D35-C35</f>
        <v>-694103</v>
      </c>
      <c r="F35" s="77">
        <f>IF(C35=0,0,+E35/C35)</f>
        <v>-0.39436953419028747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905</v>
      </c>
      <c r="C36" s="79">
        <f>+C33+C34+C35</f>
        <v>3114000</v>
      </c>
      <c r="D36" s="79">
        <f>+D33+D34+D35</f>
        <v>1977083</v>
      </c>
      <c r="E36" s="79">
        <f>+E33+E34+E35</f>
        <v>-1136917</v>
      </c>
      <c r="F36" s="80">
        <f>IF(C36=0,0,+E36/C36)</f>
        <v>-0.36509858702633269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906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907</v>
      </c>
      <c r="C39" s="76">
        <f>+C25</f>
        <v>221047</v>
      </c>
      <c r="D39" s="76">
        <f>+D25</f>
        <v>160881</v>
      </c>
      <c r="E39" s="76">
        <f>+D39-C39</f>
        <v>-60166</v>
      </c>
      <c r="F39" s="77">
        <f>IF(C39=0,0,+E39/C39)</f>
        <v>-0.272186458083575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908</v>
      </c>
      <c r="C40" s="185">
        <f>+C36</f>
        <v>3114000</v>
      </c>
      <c r="D40" s="185">
        <f>+D36</f>
        <v>1977083</v>
      </c>
      <c r="E40" s="185">
        <f>+D40-C40</f>
        <v>-1136917</v>
      </c>
      <c r="F40" s="77">
        <f>IF(C40=0,0,+E40/C40)</f>
        <v>-0.36509858702633269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909</v>
      </c>
      <c r="C41" s="79">
        <f>+C39+C40</f>
        <v>3335047</v>
      </c>
      <c r="D41" s="79">
        <f>+D39+D40</f>
        <v>2137964</v>
      </c>
      <c r="E41" s="79">
        <f>+E39+E40</f>
        <v>-1197083</v>
      </c>
      <c r="F41" s="80">
        <f>IF(C41=0,0,+E41/C41)</f>
        <v>-0.35894036875642232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910</v>
      </c>
      <c r="C43" s="76">
        <f t="shared" ref="C43:D45" si="0">+C22+C33</f>
        <v>883741</v>
      </c>
      <c r="D43" s="76">
        <f t="shared" si="0"/>
        <v>565380</v>
      </c>
      <c r="E43" s="76">
        <f>+D43-C43</f>
        <v>-318361</v>
      </c>
      <c r="F43" s="77">
        <f>IF(C43=0,0,+E43/C43)</f>
        <v>-0.36024242396810829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911</v>
      </c>
      <c r="C44" s="185">
        <f t="shared" si="0"/>
        <v>644420</v>
      </c>
      <c r="D44" s="185">
        <f t="shared" si="0"/>
        <v>488264</v>
      </c>
      <c r="E44" s="185">
        <f>+D44-C44</f>
        <v>-156156</v>
      </c>
      <c r="F44" s="77">
        <f>IF(C44=0,0,+E44/C44)</f>
        <v>-0.24232022593960462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912</v>
      </c>
      <c r="C45" s="185">
        <f t="shared" si="0"/>
        <v>1806886</v>
      </c>
      <c r="D45" s="185">
        <f t="shared" si="0"/>
        <v>1084320</v>
      </c>
      <c r="E45" s="185">
        <f>+D45-C45</f>
        <v>-722566</v>
      </c>
      <c r="F45" s="77">
        <f>IF(C45=0,0,+E45/C45)</f>
        <v>-0.39989573221553548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909</v>
      </c>
      <c r="C46" s="79">
        <f>+C43+C44+C45</f>
        <v>3335047</v>
      </c>
      <c r="D46" s="79">
        <f>+D43+D44+D45</f>
        <v>2137964</v>
      </c>
      <c r="E46" s="79">
        <f>+E43+E44+E45</f>
        <v>-1197083</v>
      </c>
      <c r="F46" s="80">
        <f>IF(C46=0,0,+E46/C46)</f>
        <v>-0.35894036875642232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913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75" bottom="0.75" header="0.3" footer="0.3"/>
  <pageSetup scale="75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M25" sqref="M2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631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914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915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916</v>
      </c>
      <c r="D10" s="177" t="s">
        <v>916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917</v>
      </c>
      <c r="D11" s="693" t="s">
        <v>917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918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54974285</v>
      </c>
      <c r="D15" s="76">
        <v>48576137</v>
      </c>
      <c r="E15" s="76">
        <f>+D15-C15</f>
        <v>-6398148</v>
      </c>
      <c r="F15" s="77">
        <f>IF(C15=0,0,E15/C15)</f>
        <v>-0.11638437862356918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919</v>
      </c>
      <c r="C17" s="76">
        <v>19744023</v>
      </c>
      <c r="D17" s="76">
        <v>20300865</v>
      </c>
      <c r="E17" s="76">
        <f>+D17-C17</f>
        <v>556842</v>
      </c>
      <c r="F17" s="77">
        <f>IF(C17=0,0,E17/C17)</f>
        <v>2.8203066821792095E-2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920</v>
      </c>
      <c r="C19" s="79">
        <f>+C15-C17</f>
        <v>35230262</v>
      </c>
      <c r="D19" s="79">
        <f>+D15-D17</f>
        <v>28275272</v>
      </c>
      <c r="E19" s="79">
        <f>+D19-C19</f>
        <v>-6954990</v>
      </c>
      <c r="F19" s="80">
        <f>IF(C19=0,0,E19/C19)</f>
        <v>-0.19741522217461793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921</v>
      </c>
      <c r="C21" s="720">
        <f>IF(C15=0,0,C17/C15)</f>
        <v>0.35915015538628653</v>
      </c>
      <c r="D21" s="720">
        <f>IF(D15=0,0,D17/D15)</f>
        <v>0.4179184730148468</v>
      </c>
      <c r="E21" s="720">
        <f>+D21-C21</f>
        <v>5.8768317628560274E-2</v>
      </c>
      <c r="F21" s="80">
        <f>IF(C21=0,0,E21/C21)</f>
        <v>0.16363160852694492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922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75" bottom="0.75" header="0.3" footer="0.3"/>
  <pageSetup scale="67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activeCell="M25" sqref="M25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923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924</v>
      </c>
      <c r="B6" s="734" t="s">
        <v>925</v>
      </c>
      <c r="C6" s="734" t="s">
        <v>926</v>
      </c>
      <c r="D6" s="734" t="s">
        <v>927</v>
      </c>
      <c r="E6" s="734" t="s">
        <v>928</v>
      </c>
    </row>
    <row r="7" spans="1:6" ht="37.5" customHeight="1" x14ac:dyDescent="0.25">
      <c r="A7" s="735" t="s">
        <v>8</v>
      </c>
      <c r="B7" s="736" t="s">
        <v>9</v>
      </c>
      <c r="C7" s="737" t="s">
        <v>929</v>
      </c>
      <c r="D7" s="737" t="s">
        <v>930</v>
      </c>
      <c r="E7" s="737" t="s">
        <v>931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932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933</v>
      </c>
      <c r="C10" s="744">
        <v>61453127</v>
      </c>
      <c r="D10" s="744">
        <v>59163980</v>
      </c>
      <c r="E10" s="744">
        <v>56442155</v>
      </c>
    </row>
    <row r="11" spans="1:6" ht="26.1" customHeight="1" x14ac:dyDescent="0.25">
      <c r="A11" s="742">
        <v>2</v>
      </c>
      <c r="B11" s="743" t="s">
        <v>934</v>
      </c>
      <c r="C11" s="744">
        <v>109147635</v>
      </c>
      <c r="D11" s="744">
        <v>112155339</v>
      </c>
      <c r="E11" s="744">
        <v>111583707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170600762</v>
      </c>
      <c r="D12" s="744">
        <f>+D11+D10</f>
        <v>171319319</v>
      </c>
      <c r="E12" s="744">
        <f>+E11+E10</f>
        <v>168025862</v>
      </c>
    </row>
    <row r="13" spans="1:6" ht="26.1" customHeight="1" x14ac:dyDescent="0.25">
      <c r="A13" s="742">
        <v>4</v>
      </c>
      <c r="B13" s="743" t="s">
        <v>507</v>
      </c>
      <c r="C13" s="744">
        <v>66648825</v>
      </c>
      <c r="D13" s="744">
        <v>65387734</v>
      </c>
      <c r="E13" s="744">
        <v>59116648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935</v>
      </c>
      <c r="C16" s="744">
        <v>66456723</v>
      </c>
      <c r="D16" s="744">
        <v>70240063</v>
      </c>
      <c r="E16" s="744">
        <v>66930968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936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16270</v>
      </c>
      <c r="D19" s="747">
        <v>15091</v>
      </c>
      <c r="E19" s="747">
        <v>15364</v>
      </c>
    </row>
    <row r="20" spans="1:5" ht="26.1" customHeight="1" x14ac:dyDescent="0.25">
      <c r="A20" s="742">
        <v>2</v>
      </c>
      <c r="B20" s="743" t="s">
        <v>381</v>
      </c>
      <c r="C20" s="748">
        <v>3191</v>
      </c>
      <c r="D20" s="748">
        <v>3036</v>
      </c>
      <c r="E20" s="748">
        <v>3138</v>
      </c>
    </row>
    <row r="21" spans="1:5" ht="26.1" customHeight="1" x14ac:dyDescent="0.25">
      <c r="A21" s="742">
        <v>3</v>
      </c>
      <c r="B21" s="743" t="s">
        <v>937</v>
      </c>
      <c r="C21" s="749">
        <f>IF(C20=0,0,+C19/C20)</f>
        <v>5.0987151363209025</v>
      </c>
      <c r="D21" s="749">
        <f>IF(D20=0,0,+D19/D20)</f>
        <v>4.9706851119894599</v>
      </c>
      <c r="E21" s="749">
        <f>IF(E20=0,0,+E19/E20)</f>
        <v>4.8961121733588273</v>
      </c>
    </row>
    <row r="22" spans="1:5" ht="26.1" customHeight="1" x14ac:dyDescent="0.25">
      <c r="A22" s="742">
        <v>4</v>
      </c>
      <c r="B22" s="743" t="s">
        <v>938</v>
      </c>
      <c r="C22" s="748">
        <f>IF(C10=0,0,C19*(C12/C10))</f>
        <v>45167.341895230165</v>
      </c>
      <c r="D22" s="748">
        <f>IF(D10=0,0,D19*(D12/D10))</f>
        <v>43698.545010477654</v>
      </c>
      <c r="E22" s="748">
        <f>IF(E10=0,0,E19*(E12/E10))</f>
        <v>45737.965599789728</v>
      </c>
    </row>
    <row r="23" spans="1:5" ht="26.1" customHeight="1" x14ac:dyDescent="0.25">
      <c r="A23" s="742">
        <v>0</v>
      </c>
      <c r="B23" s="743" t="s">
        <v>939</v>
      </c>
      <c r="C23" s="748">
        <f>IF(C10=0,0,C20*(C12/C10))</f>
        <v>8858.5733243810355</v>
      </c>
      <c r="D23" s="748">
        <f>IF(D10=0,0,D20*(D12/D10))</f>
        <v>8791.2519151686538</v>
      </c>
      <c r="E23" s="748">
        <f>IF(E10=0,0,E20*(E12/E10))</f>
        <v>9341.6907089390897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940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1.1182115324349735</v>
      </c>
      <c r="D26" s="750">
        <v>1.1270036166007906</v>
      </c>
      <c r="E26" s="750">
        <v>1.104925812619503</v>
      </c>
    </row>
    <row r="27" spans="1:5" ht="26.1" customHeight="1" x14ac:dyDescent="0.25">
      <c r="A27" s="742">
        <v>2</v>
      </c>
      <c r="B27" s="743" t="s">
        <v>941</v>
      </c>
      <c r="C27" s="748">
        <f>C19*C26</f>
        <v>18193.301632717019</v>
      </c>
      <c r="D27" s="748">
        <f>D19*D26</f>
        <v>17007.611578122531</v>
      </c>
      <c r="E27" s="748">
        <f>E19*E26</f>
        <v>16976.080185086044</v>
      </c>
    </row>
    <row r="28" spans="1:5" ht="26.1" customHeight="1" x14ac:dyDescent="0.25">
      <c r="A28" s="742">
        <v>3</v>
      </c>
      <c r="B28" s="743" t="s">
        <v>942</v>
      </c>
      <c r="C28" s="748">
        <f>C20*C26</f>
        <v>3568.2130000000006</v>
      </c>
      <c r="D28" s="748">
        <f>D20*D26</f>
        <v>3421.5829800000001</v>
      </c>
      <c r="E28" s="748">
        <f>E20*E26</f>
        <v>3467.2572000000005</v>
      </c>
    </row>
    <row r="29" spans="1:5" ht="26.1" customHeight="1" x14ac:dyDescent="0.25">
      <c r="A29" s="742">
        <v>4</v>
      </c>
      <c r="B29" s="743" t="s">
        <v>943</v>
      </c>
      <c r="C29" s="748">
        <f>C22*C26</f>
        <v>50506.642596679703</v>
      </c>
      <c r="D29" s="748">
        <f>D22*D26</f>
        <v>49248.41826700075</v>
      </c>
      <c r="E29" s="748">
        <f>E22*E26</f>
        <v>50537.058807910536</v>
      </c>
    </row>
    <row r="30" spans="1:5" ht="26.1" customHeight="1" x14ac:dyDescent="0.25">
      <c r="A30" s="742">
        <v>5</v>
      </c>
      <c r="B30" s="743" t="s">
        <v>944</v>
      </c>
      <c r="C30" s="748">
        <f>C23*C26</f>
        <v>9905.7588522436945</v>
      </c>
      <c r="D30" s="748">
        <f>D23*D26</f>
        <v>9907.7727028437002</v>
      </c>
      <c r="E30" s="748">
        <f>E23*E26</f>
        <v>10321.875197814585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945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946</v>
      </c>
      <c r="C33" s="744">
        <f>IF(C19=0,0,C12/C19)</f>
        <v>10485.60307314075</v>
      </c>
      <c r="D33" s="744">
        <f>IF(D19=0,0,D12/D19)</f>
        <v>11352.416605924062</v>
      </c>
      <c r="E33" s="744">
        <f>IF(E19=0,0,E12/E19)</f>
        <v>10936.335719864619</v>
      </c>
    </row>
    <row r="34" spans="1:5" ht="26.1" customHeight="1" x14ac:dyDescent="0.25">
      <c r="A34" s="742">
        <v>2</v>
      </c>
      <c r="B34" s="743" t="s">
        <v>947</v>
      </c>
      <c r="C34" s="744">
        <f>IF(C20=0,0,C12/C20)</f>
        <v>53463.10310247571</v>
      </c>
      <c r="D34" s="744">
        <f>IF(D20=0,0,D12/D20)</f>
        <v>56429.28820816864</v>
      </c>
      <c r="E34" s="744">
        <f>IF(E20=0,0,E12/E20)</f>
        <v>53545.526449968136</v>
      </c>
    </row>
    <row r="35" spans="1:5" ht="26.1" customHeight="1" x14ac:dyDescent="0.25">
      <c r="A35" s="742">
        <v>3</v>
      </c>
      <c r="B35" s="743" t="s">
        <v>948</v>
      </c>
      <c r="C35" s="744">
        <f>IF(C22=0,0,C12/C22)</f>
        <v>3777.0821757836507</v>
      </c>
      <c r="D35" s="744">
        <f>IF(D22=0,0,D12/D22)</f>
        <v>3920.481081439269</v>
      </c>
      <c r="E35" s="744">
        <f>IF(E22=0,0,E12/E22)</f>
        <v>3673.6627831293936</v>
      </c>
    </row>
    <row r="36" spans="1:5" ht="26.1" customHeight="1" x14ac:dyDescent="0.25">
      <c r="A36" s="742">
        <v>4</v>
      </c>
      <c r="B36" s="743" t="s">
        <v>949</v>
      </c>
      <c r="C36" s="744">
        <f>IF(C23=0,0,C12/C23)</f>
        <v>19258.266060795992</v>
      </c>
      <c r="D36" s="744">
        <f>IF(D23=0,0,D12/D23)</f>
        <v>19487.476943346512</v>
      </c>
      <c r="E36" s="744">
        <f>IF(E23=0,0,E12/E23)</f>
        <v>17986.665073295091</v>
      </c>
    </row>
    <row r="37" spans="1:5" ht="26.1" customHeight="1" x14ac:dyDescent="0.25">
      <c r="A37" s="742">
        <v>5</v>
      </c>
      <c r="B37" s="743" t="s">
        <v>950</v>
      </c>
      <c r="C37" s="744">
        <f>IF(C29=0,0,C12/C29)</f>
        <v>3377.7886081704282</v>
      </c>
      <c r="D37" s="744">
        <f>IF(D29=0,0,D12/D29)</f>
        <v>3478.6765753813806</v>
      </c>
      <c r="E37" s="744">
        <f>IF(E29=0,0,E12/E29)</f>
        <v>3324.8049246130449</v>
      </c>
    </row>
    <row r="38" spans="1:5" ht="26.1" customHeight="1" x14ac:dyDescent="0.25">
      <c r="A38" s="742">
        <v>6</v>
      </c>
      <c r="B38" s="743" t="s">
        <v>951</v>
      </c>
      <c r="C38" s="744">
        <f>IF(C30=0,0,C12/C30)</f>
        <v>17222.381903770878</v>
      </c>
      <c r="D38" s="744">
        <f>IF(D30=0,0,D12/D30)</f>
        <v>17291.40586267471</v>
      </c>
      <c r="E38" s="744">
        <f>IF(E30=0,0,E12/E30)</f>
        <v>16278.617865441305</v>
      </c>
    </row>
    <row r="39" spans="1:5" ht="26.1" customHeight="1" x14ac:dyDescent="0.25">
      <c r="A39" s="742">
        <v>7</v>
      </c>
      <c r="B39" s="743" t="s">
        <v>952</v>
      </c>
      <c r="C39" s="744">
        <f>IF(C22=0,0,C10/C22)</f>
        <v>1360.5654975788973</v>
      </c>
      <c r="D39" s="744">
        <f>IF(D22=0,0,D10/D22)</f>
        <v>1353.9118976573288</v>
      </c>
      <c r="E39" s="744">
        <f>IF(E22=0,0,E10/E22)</f>
        <v>1234.0329146659615</v>
      </c>
    </row>
    <row r="40" spans="1:5" ht="26.1" customHeight="1" x14ac:dyDescent="0.25">
      <c r="A40" s="742">
        <v>8</v>
      </c>
      <c r="B40" s="743" t="s">
        <v>953</v>
      </c>
      <c r="C40" s="744">
        <f>IF(C23=0,0,C10/C23)</f>
        <v>6937.1358964615038</v>
      </c>
      <c r="D40" s="744">
        <f>IF(D23=0,0,D10/D23)</f>
        <v>6729.8697126306815</v>
      </c>
      <c r="E40" s="744">
        <f>IF(E23=0,0,E10/E23)</f>
        <v>6041.963575821489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954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955</v>
      </c>
      <c r="C43" s="744">
        <f>IF(C19=0,0,C13/C19)</f>
        <v>4096.4244007375537</v>
      </c>
      <c r="D43" s="744">
        <f>IF(D19=0,0,D13/D19)</f>
        <v>4332.8960307468024</v>
      </c>
      <c r="E43" s="744">
        <f>IF(E19=0,0,E13/E19)</f>
        <v>3847.7380890393129</v>
      </c>
    </row>
    <row r="44" spans="1:5" ht="26.1" customHeight="1" x14ac:dyDescent="0.25">
      <c r="A44" s="742">
        <v>2</v>
      </c>
      <c r="B44" s="743" t="s">
        <v>956</v>
      </c>
      <c r="C44" s="744">
        <f>IF(C20=0,0,C13/C20)</f>
        <v>20886.501096834847</v>
      </c>
      <c r="D44" s="744">
        <f>IF(D20=0,0,D13/D20)</f>
        <v>21537.461791831356</v>
      </c>
      <c r="E44" s="744">
        <f>IF(E20=0,0,E13/E20)</f>
        <v>18838.957297641809</v>
      </c>
    </row>
    <row r="45" spans="1:5" ht="26.1" customHeight="1" x14ac:dyDescent="0.25">
      <c r="A45" s="742">
        <v>3</v>
      </c>
      <c r="B45" s="743" t="s">
        <v>957</v>
      </c>
      <c r="C45" s="744">
        <f>IF(C22=0,0,C13/C22)</f>
        <v>1475.5976819401533</v>
      </c>
      <c r="D45" s="744">
        <f>IF(D22=0,0,D13/D22)</f>
        <v>1496.3366396826691</v>
      </c>
      <c r="E45" s="744">
        <f>IF(E22=0,0,E13/E22)</f>
        <v>1292.5071595285772</v>
      </c>
    </row>
    <row r="46" spans="1:5" ht="26.1" customHeight="1" x14ac:dyDescent="0.25">
      <c r="A46" s="742">
        <v>4</v>
      </c>
      <c r="B46" s="743" t="s">
        <v>958</v>
      </c>
      <c r="C46" s="744">
        <f>IF(C23=0,0,C13/C23)</f>
        <v>7523.652236028297</v>
      </c>
      <c r="D46" s="744">
        <f>IF(D23=0,0,D13/D23)</f>
        <v>7437.8182573949807</v>
      </c>
      <c r="E46" s="744">
        <f>IF(E23=0,0,E13/E23)</f>
        <v>6328.2600379213063</v>
      </c>
    </row>
    <row r="47" spans="1:5" ht="26.1" customHeight="1" x14ac:dyDescent="0.25">
      <c r="A47" s="742">
        <v>5</v>
      </c>
      <c r="B47" s="743" t="s">
        <v>959</v>
      </c>
      <c r="C47" s="744">
        <f>IF(C29=0,0,C13/C29)</f>
        <v>1319.6051365406238</v>
      </c>
      <c r="D47" s="744">
        <f>IF(D29=0,0,D13/D29)</f>
        <v>1327.7123672378634</v>
      </c>
      <c r="E47" s="744">
        <f>IF(E29=0,0,E13/E29)</f>
        <v>1169.7682729163198</v>
      </c>
    </row>
    <row r="48" spans="1:5" ht="26.1" customHeight="1" x14ac:dyDescent="0.25">
      <c r="A48" s="742">
        <v>6</v>
      </c>
      <c r="B48" s="743" t="s">
        <v>960</v>
      </c>
      <c r="C48" s="744">
        <f>IF(C30=0,0,C13/C30)</f>
        <v>6728.2906836464899</v>
      </c>
      <c r="D48" s="744">
        <f>IF(D30=0,0,D13/D30)</f>
        <v>6599.6400968335292</v>
      </c>
      <c r="E48" s="744">
        <f>IF(E30=0,0,E13/E30)</f>
        <v>5727.3166810345238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961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962</v>
      </c>
      <c r="C51" s="744">
        <f>IF(C19=0,0,C16/C19)</f>
        <v>4084.6172710510141</v>
      </c>
      <c r="D51" s="744">
        <f>IF(D19=0,0,D16/D19)</f>
        <v>4654.4339672652577</v>
      </c>
      <c r="E51" s="744">
        <f>IF(E19=0,0,E16/E19)</f>
        <v>4356.3504295756311</v>
      </c>
    </row>
    <row r="52" spans="1:6" ht="26.1" customHeight="1" x14ac:dyDescent="0.25">
      <c r="A52" s="742">
        <v>2</v>
      </c>
      <c r="B52" s="743" t="s">
        <v>963</v>
      </c>
      <c r="C52" s="744">
        <f>IF(C20=0,0,C16/C20)</f>
        <v>20826.299905985583</v>
      </c>
      <c r="D52" s="744">
        <f>IF(D20=0,0,D16/D20)</f>
        <v>23135.725625823452</v>
      </c>
      <c r="E52" s="744">
        <f>IF(E20=0,0,E16/E20)</f>
        <v>21329.180369662205</v>
      </c>
    </row>
    <row r="53" spans="1:6" ht="26.1" customHeight="1" x14ac:dyDescent="0.25">
      <c r="A53" s="742">
        <v>3</v>
      </c>
      <c r="B53" s="743" t="s">
        <v>964</v>
      </c>
      <c r="C53" s="744">
        <f>IF(C22=0,0,C16/C22)</f>
        <v>1471.3445647112139</v>
      </c>
      <c r="D53" s="744">
        <f>IF(D22=0,0,D16/D22)</f>
        <v>1607.3776136747449</v>
      </c>
      <c r="E53" s="744">
        <f>IF(E22=0,0,E16/E22)</f>
        <v>1463.3569097858542</v>
      </c>
    </row>
    <row r="54" spans="1:6" ht="26.1" customHeight="1" x14ac:dyDescent="0.25">
      <c r="A54" s="742">
        <v>4</v>
      </c>
      <c r="B54" s="743" t="s">
        <v>965</v>
      </c>
      <c r="C54" s="744">
        <f>IF(C23=0,0,C16/C23)</f>
        <v>7501.9668028365559</v>
      </c>
      <c r="D54" s="744">
        <f>IF(D23=0,0,D16/D23)</f>
        <v>7989.7679736381997</v>
      </c>
      <c r="E54" s="744">
        <f>IF(E23=0,0,E16/E23)</f>
        <v>7164.7595799712753</v>
      </c>
    </row>
    <row r="55" spans="1:6" ht="26.1" customHeight="1" x14ac:dyDescent="0.25">
      <c r="A55" s="742">
        <v>5</v>
      </c>
      <c r="B55" s="743" t="s">
        <v>966</v>
      </c>
      <c r="C55" s="744">
        <f>IF(C29=0,0,C16/C29)</f>
        <v>1315.8016368399203</v>
      </c>
      <c r="D55" s="744">
        <f>IF(D29=0,0,D16/D29)</f>
        <v>1426.2399782911373</v>
      </c>
      <c r="E55" s="744">
        <f>IF(E29=0,0,E16/E29)</f>
        <v>1324.3938127543611</v>
      </c>
    </row>
    <row r="56" spans="1:6" ht="26.1" customHeight="1" x14ac:dyDescent="0.25">
      <c r="A56" s="742">
        <v>6</v>
      </c>
      <c r="B56" s="743" t="s">
        <v>967</v>
      </c>
      <c r="C56" s="744">
        <f>IF(C30=0,0,C16/C30)</f>
        <v>6708.8977221515224</v>
      </c>
      <c r="D56" s="744">
        <f>IF(D30=0,0,D16/D30)</f>
        <v>7089.3898262159264</v>
      </c>
      <c r="E56" s="744">
        <f>IF(E30=0,0,E16/E30)</f>
        <v>6484.3806689477378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968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969</v>
      </c>
      <c r="C59" s="752">
        <v>9346702</v>
      </c>
      <c r="D59" s="752">
        <v>8836210</v>
      </c>
      <c r="E59" s="752">
        <v>9248301</v>
      </c>
    </row>
    <row r="60" spans="1:6" ht="26.1" customHeight="1" x14ac:dyDescent="0.25">
      <c r="A60" s="742">
        <v>2</v>
      </c>
      <c r="B60" s="743" t="s">
        <v>970</v>
      </c>
      <c r="C60" s="752">
        <v>2547260</v>
      </c>
      <c r="D60" s="752">
        <v>2174748</v>
      </c>
      <c r="E60" s="752">
        <v>2237353</v>
      </c>
    </row>
    <row r="61" spans="1:6" ht="26.1" customHeight="1" x14ac:dyDescent="0.25">
      <c r="A61" s="753">
        <v>3</v>
      </c>
      <c r="B61" s="754" t="s">
        <v>971</v>
      </c>
      <c r="C61" s="755">
        <f>C59+C60</f>
        <v>11893962</v>
      </c>
      <c r="D61" s="755">
        <f>D59+D60</f>
        <v>11010958</v>
      </c>
      <c r="E61" s="755">
        <f>E59+E60</f>
        <v>11485654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972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973</v>
      </c>
      <c r="C64" s="744">
        <v>0</v>
      </c>
      <c r="D64" s="744">
        <v>0</v>
      </c>
      <c r="E64" s="752">
        <v>0</v>
      </c>
      <c r="F64" s="756"/>
    </row>
    <row r="65" spans="1:6" ht="26.1" customHeight="1" x14ac:dyDescent="0.25">
      <c r="A65" s="742">
        <v>2</v>
      </c>
      <c r="B65" s="743" t="s">
        <v>974</v>
      </c>
      <c r="C65" s="752">
        <v>0</v>
      </c>
      <c r="D65" s="752">
        <v>0</v>
      </c>
      <c r="E65" s="752">
        <v>0</v>
      </c>
      <c r="F65" s="756"/>
    </row>
    <row r="66" spans="1:6" ht="26.1" customHeight="1" x14ac:dyDescent="0.25">
      <c r="A66" s="753">
        <v>3</v>
      </c>
      <c r="B66" s="754" t="s">
        <v>975</v>
      </c>
      <c r="C66" s="757">
        <f>C64+C65</f>
        <v>0</v>
      </c>
      <c r="D66" s="757">
        <f>D64+D65</f>
        <v>0</v>
      </c>
      <c r="E66" s="757">
        <f>E64+E65</f>
        <v>0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976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977</v>
      </c>
      <c r="C69" s="752">
        <v>15764903</v>
      </c>
      <c r="D69" s="752">
        <v>15997009</v>
      </c>
      <c r="E69" s="752">
        <v>16499323</v>
      </c>
    </row>
    <row r="70" spans="1:6" ht="26.1" customHeight="1" x14ac:dyDescent="0.25">
      <c r="A70" s="742">
        <v>2</v>
      </c>
      <c r="B70" s="743" t="s">
        <v>978</v>
      </c>
      <c r="C70" s="752">
        <v>3900830</v>
      </c>
      <c r="D70" s="752">
        <v>3937147</v>
      </c>
      <c r="E70" s="752">
        <v>3991524</v>
      </c>
    </row>
    <row r="71" spans="1:6" ht="26.1" customHeight="1" x14ac:dyDescent="0.25">
      <c r="A71" s="753">
        <v>3</v>
      </c>
      <c r="B71" s="754" t="s">
        <v>979</v>
      </c>
      <c r="C71" s="755">
        <f>C69+C70</f>
        <v>19665733</v>
      </c>
      <c r="D71" s="755">
        <f>D69+D70</f>
        <v>19934156</v>
      </c>
      <c r="E71" s="755">
        <f>E69+E70</f>
        <v>20490847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980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981</v>
      </c>
      <c r="C75" s="744">
        <f t="shared" ref="C75:E76" si="0">+C59+C64+C69</f>
        <v>25111605</v>
      </c>
      <c r="D75" s="744">
        <f t="shared" si="0"/>
        <v>24833219</v>
      </c>
      <c r="E75" s="744">
        <f t="shared" si="0"/>
        <v>25747624</v>
      </c>
    </row>
    <row r="76" spans="1:6" ht="26.1" customHeight="1" x14ac:dyDescent="0.25">
      <c r="A76" s="742">
        <v>2</v>
      </c>
      <c r="B76" s="743" t="s">
        <v>982</v>
      </c>
      <c r="C76" s="744">
        <f t="shared" si="0"/>
        <v>6448090</v>
      </c>
      <c r="D76" s="744">
        <f t="shared" si="0"/>
        <v>6111895</v>
      </c>
      <c r="E76" s="744">
        <f t="shared" si="0"/>
        <v>6228877</v>
      </c>
    </row>
    <row r="77" spans="1:6" ht="26.1" customHeight="1" x14ac:dyDescent="0.25">
      <c r="A77" s="753">
        <v>3</v>
      </c>
      <c r="B77" s="754" t="s">
        <v>980</v>
      </c>
      <c r="C77" s="757">
        <f>C75+C76</f>
        <v>31559695</v>
      </c>
      <c r="D77" s="757">
        <f>D75+D76</f>
        <v>30945114</v>
      </c>
      <c r="E77" s="757">
        <f>E75+E76</f>
        <v>31976501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983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115.5</v>
      </c>
      <c r="D80" s="749">
        <v>113.6</v>
      </c>
      <c r="E80" s="749">
        <v>111.6</v>
      </c>
    </row>
    <row r="81" spans="1:5" ht="26.1" customHeight="1" x14ac:dyDescent="0.25">
      <c r="A81" s="742">
        <v>2</v>
      </c>
      <c r="B81" s="743" t="s">
        <v>617</v>
      </c>
      <c r="C81" s="749">
        <v>0</v>
      </c>
      <c r="D81" s="749">
        <v>0</v>
      </c>
      <c r="E81" s="749">
        <v>0</v>
      </c>
    </row>
    <row r="82" spans="1:5" ht="26.1" customHeight="1" x14ac:dyDescent="0.25">
      <c r="A82" s="742">
        <v>3</v>
      </c>
      <c r="B82" s="743" t="s">
        <v>984</v>
      </c>
      <c r="C82" s="749">
        <v>331.7</v>
      </c>
      <c r="D82" s="749">
        <v>337.7</v>
      </c>
      <c r="E82" s="749">
        <v>344.7</v>
      </c>
    </row>
    <row r="83" spans="1:5" ht="26.1" customHeight="1" x14ac:dyDescent="0.25">
      <c r="A83" s="753">
        <v>4</v>
      </c>
      <c r="B83" s="754" t="s">
        <v>983</v>
      </c>
      <c r="C83" s="759">
        <f>C80+C81+C82</f>
        <v>447.2</v>
      </c>
      <c r="D83" s="759">
        <f>D80+D81+D82</f>
        <v>451.29999999999995</v>
      </c>
      <c r="E83" s="759">
        <f>E80+E81+E82</f>
        <v>456.29999999999995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985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986</v>
      </c>
      <c r="C86" s="752">
        <f>IF(C80=0,0,C59/C80)</f>
        <v>80923.826839826841</v>
      </c>
      <c r="D86" s="752">
        <f>IF(D80=0,0,D59/D80)</f>
        <v>77783.538732394372</v>
      </c>
      <c r="E86" s="752">
        <f>IF(E80=0,0,E59/E80)</f>
        <v>82870.080645161288</v>
      </c>
    </row>
    <row r="87" spans="1:5" ht="26.1" customHeight="1" x14ac:dyDescent="0.25">
      <c r="A87" s="742">
        <v>2</v>
      </c>
      <c r="B87" s="743" t="s">
        <v>987</v>
      </c>
      <c r="C87" s="752">
        <f>IF(C80=0,0,C60/C80)</f>
        <v>22054.199134199134</v>
      </c>
      <c r="D87" s="752">
        <f>IF(D80=0,0,D60/D80)</f>
        <v>19143.908450704228</v>
      </c>
      <c r="E87" s="752">
        <f>IF(E80=0,0,E60/E80)</f>
        <v>20047.965949820791</v>
      </c>
    </row>
    <row r="88" spans="1:5" ht="26.1" customHeight="1" x14ac:dyDescent="0.25">
      <c r="A88" s="753">
        <v>3</v>
      </c>
      <c r="B88" s="754" t="s">
        <v>988</v>
      </c>
      <c r="C88" s="755">
        <f>+C86+C87</f>
        <v>102978.02597402598</v>
      </c>
      <c r="D88" s="755">
        <f>+D86+D87</f>
        <v>96927.4471830986</v>
      </c>
      <c r="E88" s="755">
        <f>+E86+E87</f>
        <v>102918.04659498208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989</v>
      </c>
    </row>
    <row r="91" spans="1:5" ht="26.1" customHeight="1" x14ac:dyDescent="0.25">
      <c r="A91" s="742">
        <v>1</v>
      </c>
      <c r="B91" s="743" t="s">
        <v>990</v>
      </c>
      <c r="C91" s="744">
        <f>IF(C81=0,0,C64/C81)</f>
        <v>0</v>
      </c>
      <c r="D91" s="744">
        <f>IF(D81=0,0,D64/D81)</f>
        <v>0</v>
      </c>
      <c r="E91" s="744">
        <f>IF(E81=0,0,E64/E81)</f>
        <v>0</v>
      </c>
    </row>
    <row r="92" spans="1:5" ht="26.1" customHeight="1" x14ac:dyDescent="0.25">
      <c r="A92" s="742">
        <v>2</v>
      </c>
      <c r="B92" s="743" t="s">
        <v>991</v>
      </c>
      <c r="C92" s="744">
        <f>IF(C81=0,0,C65/C81)</f>
        <v>0</v>
      </c>
      <c r="D92" s="744">
        <f>IF(D81=0,0,D65/D81)</f>
        <v>0</v>
      </c>
      <c r="E92" s="744">
        <f>IF(E81=0,0,E65/E81)</f>
        <v>0</v>
      </c>
    </row>
    <row r="93" spans="1:5" ht="26.1" customHeight="1" x14ac:dyDescent="0.25">
      <c r="A93" s="753">
        <v>3</v>
      </c>
      <c r="B93" s="754" t="s">
        <v>992</v>
      </c>
      <c r="C93" s="757">
        <f>+C91+C92</f>
        <v>0</v>
      </c>
      <c r="D93" s="757">
        <f>+D91+D92</f>
        <v>0</v>
      </c>
      <c r="E93" s="757">
        <f>+E91+E92</f>
        <v>0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993</v>
      </c>
      <c r="B95" s="745" t="s">
        <v>994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995</v>
      </c>
      <c r="C96" s="752">
        <f>IF(C82=0,0,C69/C82)</f>
        <v>47527.594211637021</v>
      </c>
      <c r="D96" s="752">
        <f>IF(D82=0,0,D69/D82)</f>
        <v>47370.473793307669</v>
      </c>
      <c r="E96" s="752">
        <f>IF(E82=0,0,E69/E82)</f>
        <v>47865.747026399767</v>
      </c>
    </row>
    <row r="97" spans="1:5" ht="26.1" customHeight="1" x14ac:dyDescent="0.25">
      <c r="A97" s="742">
        <v>2</v>
      </c>
      <c r="B97" s="743" t="s">
        <v>996</v>
      </c>
      <c r="C97" s="752">
        <f>IF(C82=0,0,C70/C82)</f>
        <v>11760.114561350618</v>
      </c>
      <c r="D97" s="752">
        <f>IF(D82=0,0,D70/D82)</f>
        <v>11658.711874444774</v>
      </c>
      <c r="E97" s="752">
        <f>IF(E82=0,0,E70/E82)</f>
        <v>11579.704090513491</v>
      </c>
    </row>
    <row r="98" spans="1:5" ht="26.1" customHeight="1" x14ac:dyDescent="0.25">
      <c r="A98" s="753">
        <v>3</v>
      </c>
      <c r="B98" s="754" t="s">
        <v>997</v>
      </c>
      <c r="C98" s="757">
        <f>+C96+C97</f>
        <v>59287.708772987637</v>
      </c>
      <c r="D98" s="757">
        <f>+D96+D97</f>
        <v>59029.185667752441</v>
      </c>
      <c r="E98" s="757">
        <f>+E96+E97</f>
        <v>59445.45111691326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998</v>
      </c>
      <c r="B100" s="745" t="s">
        <v>999</v>
      </c>
    </row>
    <row r="101" spans="1:5" ht="26.1" customHeight="1" x14ac:dyDescent="0.25">
      <c r="A101" s="742">
        <v>1</v>
      </c>
      <c r="B101" s="743" t="s">
        <v>1000</v>
      </c>
      <c r="C101" s="744">
        <f>IF(C83=0,0,C75/C83)</f>
        <v>56152.962880143117</v>
      </c>
      <c r="D101" s="744">
        <f>IF(D83=0,0,D75/D83)</f>
        <v>55025.967205849774</v>
      </c>
      <c r="E101" s="744">
        <f>IF(E83=0,0,E75/E83)</f>
        <v>56426.964716195493</v>
      </c>
    </row>
    <row r="102" spans="1:5" ht="26.1" customHeight="1" x14ac:dyDescent="0.25">
      <c r="A102" s="742">
        <v>2</v>
      </c>
      <c r="B102" s="743" t="s">
        <v>1001</v>
      </c>
      <c r="C102" s="761">
        <f>IF(C83=0,0,C76/C83)</f>
        <v>14418.805903398927</v>
      </c>
      <c r="D102" s="761">
        <f>IF(D83=0,0,D76/D83)</f>
        <v>13542.865056503437</v>
      </c>
      <c r="E102" s="761">
        <f>IF(E83=0,0,E76/E83)</f>
        <v>13650.837168529477</v>
      </c>
    </row>
    <row r="103" spans="1:5" ht="26.1" customHeight="1" x14ac:dyDescent="0.25">
      <c r="A103" s="753">
        <v>3</v>
      </c>
      <c r="B103" s="754" t="s">
        <v>999</v>
      </c>
      <c r="C103" s="757">
        <f>+C101+C102</f>
        <v>70571.768783542037</v>
      </c>
      <c r="D103" s="757">
        <f>+D101+D102</f>
        <v>68568.832262353215</v>
      </c>
      <c r="E103" s="757">
        <f>+E101+E102</f>
        <v>70077.801884724962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1002</v>
      </c>
      <c r="B107" s="736" t="s">
        <v>1003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1004</v>
      </c>
      <c r="C108" s="744">
        <f>IF(C19=0,0,C77/C19)</f>
        <v>1939.7476951444376</v>
      </c>
      <c r="D108" s="744">
        <f>IF(D19=0,0,D77/D19)</f>
        <v>2050.567490557286</v>
      </c>
      <c r="E108" s="744">
        <f>IF(E19=0,0,E77/E19)</f>
        <v>2081.2614553501694</v>
      </c>
    </row>
    <row r="109" spans="1:5" ht="26.1" customHeight="1" x14ac:dyDescent="0.25">
      <c r="A109" s="742">
        <v>2</v>
      </c>
      <c r="B109" s="743" t="s">
        <v>1005</v>
      </c>
      <c r="C109" s="744">
        <f>IF(C20=0,0,C77/C20)</f>
        <v>9890.2209338765279</v>
      </c>
      <c r="D109" s="744">
        <f>IF(D20=0,0,D77/D20)</f>
        <v>10192.725296442688</v>
      </c>
      <c r="E109" s="744">
        <f>IF(E20=0,0,E77/E20)</f>
        <v>10190.089547482474</v>
      </c>
    </row>
    <row r="110" spans="1:5" ht="26.1" customHeight="1" x14ac:dyDescent="0.25">
      <c r="A110" s="742">
        <v>3</v>
      </c>
      <c r="B110" s="743" t="s">
        <v>1006</v>
      </c>
      <c r="C110" s="744">
        <f>IF(C22=0,0,C77/C22)</f>
        <v>698.72818890262874</v>
      </c>
      <c r="D110" s="744">
        <f>IF(D22=0,0,D77/D22)</f>
        <v>708.14975630379115</v>
      </c>
      <c r="E110" s="744">
        <f>IF(E22=0,0,E77/E22)</f>
        <v>699.12381498986053</v>
      </c>
    </row>
    <row r="111" spans="1:5" ht="26.1" customHeight="1" x14ac:dyDescent="0.25">
      <c r="A111" s="742">
        <v>4</v>
      </c>
      <c r="B111" s="743" t="s">
        <v>1007</v>
      </c>
      <c r="C111" s="744">
        <f>IF(C23=0,0,C77/C23)</f>
        <v>3562.6159929319242</v>
      </c>
      <c r="D111" s="744">
        <f>IF(D23=0,0,D77/D23)</f>
        <v>3519.9894507182189</v>
      </c>
      <c r="E111" s="744">
        <f>IF(E23=0,0,E77/E23)</f>
        <v>3422.9886212569204</v>
      </c>
    </row>
    <row r="112" spans="1:5" ht="26.1" customHeight="1" x14ac:dyDescent="0.25">
      <c r="A112" s="742">
        <v>5</v>
      </c>
      <c r="B112" s="743" t="s">
        <v>1008</v>
      </c>
      <c r="C112" s="744">
        <f>IF(C29=0,0,C77/C29)</f>
        <v>624.86226320802257</v>
      </c>
      <c r="D112" s="744">
        <f>IF(D29=0,0,D77/D29)</f>
        <v>628.34736807648892</v>
      </c>
      <c r="E112" s="744">
        <f>IF(E29=0,0,E77/E29)</f>
        <v>632.7337156984438</v>
      </c>
    </row>
    <row r="113" spans="1:7" ht="25.5" customHeight="1" x14ac:dyDescent="0.25">
      <c r="A113" s="742">
        <v>6</v>
      </c>
      <c r="B113" s="743" t="s">
        <v>1009</v>
      </c>
      <c r="C113" s="744">
        <f>IF(C30=0,0,C77/C30)</f>
        <v>3185.9946795344813</v>
      </c>
      <c r="D113" s="744">
        <f>IF(D30=0,0,D77/D30)</f>
        <v>3123.3169076555646</v>
      </c>
      <c r="E113" s="744">
        <f>IF(E30=0,0,E77/E30)</f>
        <v>3097.9352479257136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75" bottom="0.75" header="0.3" footer="0.3"/>
  <pageSetup scale="68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G37" sqref="G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171319321</v>
      </c>
      <c r="D12" s="76">
        <v>168025861</v>
      </c>
      <c r="E12" s="76">
        <f t="shared" ref="E12:E21" si="0">D12-C12</f>
        <v>-3293460</v>
      </c>
      <c r="F12" s="77">
        <f t="shared" ref="F12:F21" si="1">IF(C12=0,0,E12/C12)</f>
        <v>-1.9224101407686527E-2</v>
      </c>
    </row>
    <row r="13" spans="1:8" ht="23.1" customHeight="1" x14ac:dyDescent="0.2">
      <c r="A13" s="74">
        <v>2</v>
      </c>
      <c r="B13" s="75" t="s">
        <v>72</v>
      </c>
      <c r="C13" s="76">
        <v>102596531</v>
      </c>
      <c r="D13" s="76">
        <v>106771249</v>
      </c>
      <c r="E13" s="76">
        <f t="shared" si="0"/>
        <v>4174718</v>
      </c>
      <c r="F13" s="77">
        <f t="shared" si="1"/>
        <v>4.0690635046910117E-2</v>
      </c>
    </row>
    <row r="14" spans="1:8" ht="23.1" customHeight="1" x14ac:dyDescent="0.2">
      <c r="A14" s="74">
        <v>3</v>
      </c>
      <c r="B14" s="75" t="s">
        <v>73</v>
      </c>
      <c r="C14" s="76">
        <v>221056</v>
      </c>
      <c r="D14" s="76">
        <v>160880</v>
      </c>
      <c r="E14" s="76">
        <f t="shared" si="0"/>
        <v>-60176</v>
      </c>
      <c r="F14" s="77">
        <f t="shared" si="1"/>
        <v>-0.27222061378112333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68501734</v>
      </c>
      <c r="D16" s="79">
        <f>D12-D13-D14-D15</f>
        <v>61093732</v>
      </c>
      <c r="E16" s="79">
        <f t="shared" si="0"/>
        <v>-7408002</v>
      </c>
      <c r="F16" s="80">
        <f t="shared" si="1"/>
        <v>-0.10814327707383291</v>
      </c>
    </row>
    <row r="17" spans="1:7" ht="23.1" customHeight="1" x14ac:dyDescent="0.2">
      <c r="A17" s="74">
        <v>5</v>
      </c>
      <c r="B17" s="75" t="s">
        <v>76</v>
      </c>
      <c r="C17" s="76">
        <v>3114000</v>
      </c>
      <c r="D17" s="76">
        <v>1977084</v>
      </c>
      <c r="E17" s="76">
        <f t="shared" si="0"/>
        <v>-1136916</v>
      </c>
      <c r="F17" s="77">
        <f t="shared" si="1"/>
        <v>-0.36509826589595373</v>
      </c>
      <c r="G17" s="65"/>
    </row>
    <row r="18" spans="1:7" ht="31.5" customHeight="1" x14ac:dyDescent="0.25">
      <c r="A18" s="71"/>
      <c r="B18" s="81" t="s">
        <v>77</v>
      </c>
      <c r="C18" s="79">
        <f>C16-C17</f>
        <v>65387734</v>
      </c>
      <c r="D18" s="79">
        <f>D16-D17</f>
        <v>59116648</v>
      </c>
      <c r="E18" s="79">
        <f t="shared" si="0"/>
        <v>-6271086</v>
      </c>
      <c r="F18" s="80">
        <f t="shared" si="1"/>
        <v>-9.5906152673833289E-2</v>
      </c>
    </row>
    <row r="19" spans="1:7" ht="23.1" customHeight="1" x14ac:dyDescent="0.2">
      <c r="A19" s="74">
        <v>6</v>
      </c>
      <c r="B19" s="75" t="s">
        <v>78</v>
      </c>
      <c r="C19" s="76">
        <v>590810</v>
      </c>
      <c r="D19" s="76">
        <v>2726640</v>
      </c>
      <c r="E19" s="76">
        <f t="shared" si="0"/>
        <v>2135830</v>
      </c>
      <c r="F19" s="77">
        <f t="shared" si="1"/>
        <v>3.6150877608706691</v>
      </c>
      <c r="G19" s="65"/>
    </row>
    <row r="20" spans="1:7" ht="33" customHeight="1" x14ac:dyDescent="0.2">
      <c r="A20" s="74">
        <v>7</v>
      </c>
      <c r="B20" s="82" t="s">
        <v>79</v>
      </c>
      <c r="C20" s="76">
        <v>23905</v>
      </c>
      <c r="D20" s="76">
        <v>18000</v>
      </c>
      <c r="E20" s="76">
        <f t="shared" si="0"/>
        <v>-5905</v>
      </c>
      <c r="F20" s="77">
        <f t="shared" si="1"/>
        <v>-0.24701945199749006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66002449</v>
      </c>
      <c r="D21" s="79">
        <f>SUM(D18:D20)</f>
        <v>61861288</v>
      </c>
      <c r="E21" s="79">
        <f t="shared" si="0"/>
        <v>-4141161</v>
      </c>
      <c r="F21" s="80">
        <f t="shared" si="1"/>
        <v>-6.2742535508038502E-2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24833219</v>
      </c>
      <c r="D24" s="76">
        <v>25747624</v>
      </c>
      <c r="E24" s="76">
        <f t="shared" ref="E24:E33" si="2">D24-C24</f>
        <v>914405</v>
      </c>
      <c r="F24" s="77">
        <f t="shared" ref="F24:F33" si="3">IF(C24=0,0,E24/C24)</f>
        <v>3.6821847381122839E-2</v>
      </c>
    </row>
    <row r="25" spans="1:7" ht="23.1" customHeight="1" x14ac:dyDescent="0.2">
      <c r="A25" s="74">
        <v>2</v>
      </c>
      <c r="B25" s="75" t="s">
        <v>83</v>
      </c>
      <c r="C25" s="76">
        <v>6111895</v>
      </c>
      <c r="D25" s="76">
        <v>6228877</v>
      </c>
      <c r="E25" s="76">
        <f t="shared" si="2"/>
        <v>116982</v>
      </c>
      <c r="F25" s="77">
        <f t="shared" si="3"/>
        <v>1.9140053943989547E-2</v>
      </c>
    </row>
    <row r="26" spans="1:7" ht="23.1" customHeight="1" x14ac:dyDescent="0.2">
      <c r="A26" s="74">
        <v>3</v>
      </c>
      <c r="B26" s="75" t="s">
        <v>84</v>
      </c>
      <c r="C26" s="76">
        <v>4050496</v>
      </c>
      <c r="D26" s="76">
        <v>5219086</v>
      </c>
      <c r="E26" s="76">
        <f t="shared" si="2"/>
        <v>1168590</v>
      </c>
      <c r="F26" s="77">
        <f t="shared" si="3"/>
        <v>0.28850540773278138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10665670</v>
      </c>
      <c r="D27" s="76">
        <v>10205613</v>
      </c>
      <c r="E27" s="76">
        <f t="shared" si="2"/>
        <v>-460057</v>
      </c>
      <c r="F27" s="77">
        <f t="shared" si="3"/>
        <v>-4.3134374118081659E-2</v>
      </c>
    </row>
    <row r="28" spans="1:7" ht="23.1" customHeight="1" x14ac:dyDescent="0.2">
      <c r="A28" s="74">
        <v>5</v>
      </c>
      <c r="B28" s="75" t="s">
        <v>86</v>
      </c>
      <c r="C28" s="76">
        <v>1804654</v>
      </c>
      <c r="D28" s="76">
        <v>3012066</v>
      </c>
      <c r="E28" s="76">
        <f t="shared" si="2"/>
        <v>1207412</v>
      </c>
      <c r="F28" s="77">
        <f t="shared" si="3"/>
        <v>0.66905456669256269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975626</v>
      </c>
      <c r="D30" s="76">
        <v>913249</v>
      </c>
      <c r="E30" s="76">
        <f t="shared" si="2"/>
        <v>-62377</v>
      </c>
      <c r="F30" s="77">
        <f t="shared" si="3"/>
        <v>-6.3935360476248065E-2</v>
      </c>
    </row>
    <row r="31" spans="1:7" ht="23.1" customHeight="1" x14ac:dyDescent="0.2">
      <c r="A31" s="74">
        <v>8</v>
      </c>
      <c r="B31" s="75" t="s">
        <v>89</v>
      </c>
      <c r="C31" s="76">
        <v>1058521</v>
      </c>
      <c r="D31" s="76">
        <v>293627</v>
      </c>
      <c r="E31" s="76">
        <f t="shared" si="2"/>
        <v>-764894</v>
      </c>
      <c r="F31" s="77">
        <f t="shared" si="3"/>
        <v>-0.7226063535820263</v>
      </c>
    </row>
    <row r="32" spans="1:7" ht="23.1" customHeight="1" x14ac:dyDescent="0.2">
      <c r="A32" s="74">
        <v>9</v>
      </c>
      <c r="B32" s="75" t="s">
        <v>90</v>
      </c>
      <c r="C32" s="76">
        <v>20739982</v>
      </c>
      <c r="D32" s="76">
        <v>15310826</v>
      </c>
      <c r="E32" s="76">
        <f t="shared" si="2"/>
        <v>-5429156</v>
      </c>
      <c r="F32" s="77">
        <f t="shared" si="3"/>
        <v>-0.26177245476876498</v>
      </c>
    </row>
    <row r="33" spans="1:6" ht="23.1" customHeight="1" x14ac:dyDescent="0.25">
      <c r="A33" s="71"/>
      <c r="B33" s="78" t="s">
        <v>91</v>
      </c>
      <c r="C33" s="79">
        <f>SUM(C24:C32)</f>
        <v>70240063</v>
      </c>
      <c r="D33" s="79">
        <f>SUM(D24:D32)</f>
        <v>66930968</v>
      </c>
      <c r="E33" s="79">
        <f t="shared" si="2"/>
        <v>-3309095</v>
      </c>
      <c r="F33" s="80">
        <f t="shared" si="3"/>
        <v>-4.7111219134299463E-2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-4237614</v>
      </c>
      <c r="D35" s="79">
        <f>+D21-D33</f>
        <v>-5069680</v>
      </c>
      <c r="E35" s="79">
        <f>D35-C35</f>
        <v>-832066</v>
      </c>
      <c r="F35" s="80">
        <f>IF(C35=0,0,E35/C35)</f>
        <v>0.19635247570920805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228556</v>
      </c>
      <c r="D38" s="76">
        <v>33526</v>
      </c>
      <c r="E38" s="76">
        <f>D38-C38</f>
        <v>-195030</v>
      </c>
      <c r="F38" s="77">
        <f>IF(C38=0,0,E38/C38)</f>
        <v>-0.85331384868478621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0</v>
      </c>
      <c r="D40" s="76">
        <v>-241788</v>
      </c>
      <c r="E40" s="76">
        <f>D40-C40</f>
        <v>-241788</v>
      </c>
      <c r="F40" s="77">
        <f>IF(C40=0,0,E40/C40)</f>
        <v>0</v>
      </c>
    </row>
    <row r="41" spans="1:6" ht="23.1" customHeight="1" x14ac:dyDescent="0.25">
      <c r="A41" s="83"/>
      <c r="B41" s="78" t="s">
        <v>97</v>
      </c>
      <c r="C41" s="79">
        <f>SUM(C38:C40)</f>
        <v>228556</v>
      </c>
      <c r="D41" s="79">
        <f>SUM(D38:D40)</f>
        <v>-208262</v>
      </c>
      <c r="E41" s="79">
        <f>D41-C41</f>
        <v>-436818</v>
      </c>
      <c r="F41" s="80">
        <f>IF(C41=0,0,E41/C41)</f>
        <v>-1.9112077565235654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-4009058</v>
      </c>
      <c r="D43" s="79">
        <f>D35+D41</f>
        <v>-5277942</v>
      </c>
      <c r="E43" s="79">
        <f>D43-C43</f>
        <v>-1268884</v>
      </c>
      <c r="F43" s="80">
        <f>IF(C43=0,0,E43/C43)</f>
        <v>0.31650427606684661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-605078</v>
      </c>
      <c r="E47" s="76">
        <f>D47-C47</f>
        <v>-605078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-605078</v>
      </c>
      <c r="E48" s="79">
        <f>D48-C48</f>
        <v>-605078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-4009058</v>
      </c>
      <c r="D50" s="79">
        <f>D43+D48</f>
        <v>-5883020</v>
      </c>
      <c r="E50" s="79">
        <f>D50-C50</f>
        <v>-1873962</v>
      </c>
      <c r="F50" s="80">
        <f>IF(C50=0,0,E50/C50)</f>
        <v>0.46743200023546677</v>
      </c>
    </row>
    <row r="51" spans="1:6" ht="23.1" customHeight="1" x14ac:dyDescent="0.2">
      <c r="A51" s="85"/>
      <c r="B51" s="75" t="s">
        <v>104</v>
      </c>
      <c r="C51" s="76">
        <v>184222</v>
      </c>
      <c r="D51" s="76">
        <v>838273</v>
      </c>
      <c r="E51" s="76">
        <f>D51-C51</f>
        <v>654051</v>
      </c>
      <c r="F51" s="77">
        <f>IF(C51=0,0,E51/C51)</f>
        <v>3.5503414358762799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62" fitToWidth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M25" sqref="M25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26176710</v>
      </c>
      <c r="D14" s="113">
        <v>23833764</v>
      </c>
      <c r="E14" s="113">
        <f t="shared" ref="E14:E25" si="0">D14-C14</f>
        <v>-2342946</v>
      </c>
      <c r="F14" s="114">
        <f t="shared" ref="F14:F25" si="1">IF(C14=0,0,E14/C14)</f>
        <v>-8.9504983628576701E-2</v>
      </c>
    </row>
    <row r="15" spans="1:6" x14ac:dyDescent="0.2">
      <c r="A15" s="115">
        <v>2</v>
      </c>
      <c r="B15" s="116" t="s">
        <v>114</v>
      </c>
      <c r="C15" s="113">
        <v>9017001</v>
      </c>
      <c r="D15" s="113">
        <v>8815862</v>
      </c>
      <c r="E15" s="113">
        <f t="shared" si="0"/>
        <v>-201139</v>
      </c>
      <c r="F15" s="114">
        <f t="shared" si="1"/>
        <v>-2.2306640533809412E-2</v>
      </c>
    </row>
    <row r="16" spans="1:6" x14ac:dyDescent="0.2">
      <c r="A16" s="115">
        <v>3</v>
      </c>
      <c r="B16" s="116" t="s">
        <v>115</v>
      </c>
      <c r="C16" s="113">
        <v>10212033</v>
      </c>
      <c r="D16" s="113">
        <v>12596038</v>
      </c>
      <c r="E16" s="113">
        <f t="shared" si="0"/>
        <v>2384005</v>
      </c>
      <c r="F16" s="114">
        <f t="shared" si="1"/>
        <v>0.23345057737279148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741009</v>
      </c>
      <c r="D18" s="113">
        <v>195459</v>
      </c>
      <c r="E18" s="113">
        <f t="shared" si="0"/>
        <v>-545550</v>
      </c>
      <c r="F18" s="114">
        <f t="shared" si="1"/>
        <v>-0.73622587579907939</v>
      </c>
    </row>
    <row r="19" spans="1:6" x14ac:dyDescent="0.2">
      <c r="A19" s="115">
        <v>6</v>
      </c>
      <c r="B19" s="116" t="s">
        <v>118</v>
      </c>
      <c r="C19" s="113">
        <v>715246</v>
      </c>
      <c r="D19" s="113">
        <v>387265</v>
      </c>
      <c r="E19" s="113">
        <f t="shared" si="0"/>
        <v>-327981</v>
      </c>
      <c r="F19" s="114">
        <f t="shared" si="1"/>
        <v>-0.45855691608201932</v>
      </c>
    </row>
    <row r="20" spans="1:6" x14ac:dyDescent="0.2">
      <c r="A20" s="115">
        <v>7</v>
      </c>
      <c r="B20" s="116" t="s">
        <v>119</v>
      </c>
      <c r="C20" s="113">
        <v>11458464</v>
      </c>
      <c r="D20" s="113">
        <v>9997004</v>
      </c>
      <c r="E20" s="113">
        <f t="shared" si="0"/>
        <v>-1461460</v>
      </c>
      <c r="F20" s="114">
        <f t="shared" si="1"/>
        <v>-0.12754414553294402</v>
      </c>
    </row>
    <row r="21" spans="1:6" x14ac:dyDescent="0.2">
      <c r="A21" s="115">
        <v>8</v>
      </c>
      <c r="B21" s="116" t="s">
        <v>120</v>
      </c>
      <c r="C21" s="113">
        <v>136899</v>
      </c>
      <c r="D21" s="113">
        <v>50378</v>
      </c>
      <c r="E21" s="113">
        <f t="shared" si="0"/>
        <v>-86521</v>
      </c>
      <c r="F21" s="114">
        <f t="shared" si="1"/>
        <v>-0.63200607747317361</v>
      </c>
    </row>
    <row r="22" spans="1:6" x14ac:dyDescent="0.2">
      <c r="A22" s="115">
        <v>9</v>
      </c>
      <c r="B22" s="116" t="s">
        <v>121</v>
      </c>
      <c r="C22" s="113">
        <v>706618</v>
      </c>
      <c r="D22" s="113">
        <v>566385</v>
      </c>
      <c r="E22" s="113">
        <f t="shared" si="0"/>
        <v>-140233</v>
      </c>
      <c r="F22" s="114">
        <f t="shared" si="1"/>
        <v>-0.19845659182188963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59163980</v>
      </c>
      <c r="D25" s="119">
        <f>SUM(D14:D24)</f>
        <v>56442155</v>
      </c>
      <c r="E25" s="119">
        <f t="shared" si="0"/>
        <v>-2721825</v>
      </c>
      <c r="F25" s="120">
        <f t="shared" si="1"/>
        <v>-4.6004765061444478E-2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29476708</v>
      </c>
      <c r="D27" s="113">
        <v>32760209</v>
      </c>
      <c r="E27" s="113">
        <f t="shared" ref="E27:E38" si="2">D27-C27</f>
        <v>3283501</v>
      </c>
      <c r="F27" s="114">
        <f t="shared" ref="F27:F38" si="3">IF(C27=0,0,E27/C27)</f>
        <v>0.11139307008096019</v>
      </c>
    </row>
    <row r="28" spans="1:6" x14ac:dyDescent="0.2">
      <c r="A28" s="115">
        <v>2</v>
      </c>
      <c r="B28" s="116" t="s">
        <v>114</v>
      </c>
      <c r="C28" s="113">
        <v>13991385</v>
      </c>
      <c r="D28" s="113">
        <v>14850229</v>
      </c>
      <c r="E28" s="113">
        <f t="shared" si="2"/>
        <v>858844</v>
      </c>
      <c r="F28" s="114">
        <f t="shared" si="3"/>
        <v>6.1383772943136079E-2</v>
      </c>
    </row>
    <row r="29" spans="1:6" x14ac:dyDescent="0.2">
      <c r="A29" s="115">
        <v>3</v>
      </c>
      <c r="B29" s="116" t="s">
        <v>115</v>
      </c>
      <c r="C29" s="113">
        <v>21840217</v>
      </c>
      <c r="D29" s="113">
        <v>19887280</v>
      </c>
      <c r="E29" s="113">
        <f t="shared" si="2"/>
        <v>-1952937</v>
      </c>
      <c r="F29" s="114">
        <f t="shared" si="3"/>
        <v>-8.9419303846660497E-2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743123</v>
      </c>
      <c r="D31" s="113">
        <v>358237</v>
      </c>
      <c r="E31" s="113">
        <f t="shared" si="2"/>
        <v>-384886</v>
      </c>
      <c r="F31" s="114">
        <f t="shared" si="3"/>
        <v>-0.51793040990522432</v>
      </c>
    </row>
    <row r="32" spans="1:6" x14ac:dyDescent="0.2">
      <c r="A32" s="115">
        <v>6</v>
      </c>
      <c r="B32" s="116" t="s">
        <v>118</v>
      </c>
      <c r="C32" s="113">
        <v>1275247</v>
      </c>
      <c r="D32" s="113">
        <v>1652060</v>
      </c>
      <c r="E32" s="113">
        <f t="shared" si="2"/>
        <v>376813</v>
      </c>
      <c r="F32" s="114">
        <f t="shared" si="3"/>
        <v>0.2954823653770603</v>
      </c>
    </row>
    <row r="33" spans="1:6" x14ac:dyDescent="0.2">
      <c r="A33" s="115">
        <v>7</v>
      </c>
      <c r="B33" s="116" t="s">
        <v>119</v>
      </c>
      <c r="C33" s="113">
        <v>41336844</v>
      </c>
      <c r="D33" s="113">
        <v>38579134</v>
      </c>
      <c r="E33" s="113">
        <f t="shared" si="2"/>
        <v>-2757710</v>
      </c>
      <c r="F33" s="114">
        <f t="shared" si="3"/>
        <v>-6.6713124011112221E-2</v>
      </c>
    </row>
    <row r="34" spans="1:6" x14ac:dyDescent="0.2">
      <c r="A34" s="115">
        <v>8</v>
      </c>
      <c r="B34" s="116" t="s">
        <v>120</v>
      </c>
      <c r="C34" s="113">
        <v>2034037</v>
      </c>
      <c r="D34" s="113">
        <v>1820432</v>
      </c>
      <c r="E34" s="113">
        <f t="shared" si="2"/>
        <v>-213605</v>
      </c>
      <c r="F34" s="114">
        <f t="shared" si="3"/>
        <v>-0.10501529716519414</v>
      </c>
    </row>
    <row r="35" spans="1:6" x14ac:dyDescent="0.2">
      <c r="A35" s="115">
        <v>9</v>
      </c>
      <c r="B35" s="116" t="s">
        <v>121</v>
      </c>
      <c r="C35" s="113">
        <v>1457778</v>
      </c>
      <c r="D35" s="113">
        <v>1676126</v>
      </c>
      <c r="E35" s="113">
        <f t="shared" si="2"/>
        <v>218348</v>
      </c>
      <c r="F35" s="114">
        <f t="shared" si="3"/>
        <v>0.14978137960649701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112155339</v>
      </c>
      <c r="D38" s="119">
        <f>SUM(D27:D37)</f>
        <v>111583707</v>
      </c>
      <c r="E38" s="119">
        <f t="shared" si="2"/>
        <v>-571632</v>
      </c>
      <c r="F38" s="120">
        <f t="shared" si="3"/>
        <v>-5.0967881252625882E-3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55653418</v>
      </c>
      <c r="D41" s="119">
        <f t="shared" si="4"/>
        <v>56593973</v>
      </c>
      <c r="E41" s="123">
        <f t="shared" ref="E41:E52" si="5">D41-C41</f>
        <v>940555</v>
      </c>
      <c r="F41" s="124">
        <f t="shared" ref="F41:F52" si="6">IF(C41=0,0,E41/C41)</f>
        <v>1.6900219857116414E-2</v>
      </c>
    </row>
    <row r="42" spans="1:6" ht="15.75" x14ac:dyDescent="0.25">
      <c r="A42" s="121">
        <v>2</v>
      </c>
      <c r="B42" s="122" t="s">
        <v>114</v>
      </c>
      <c r="C42" s="119">
        <f t="shared" si="4"/>
        <v>23008386</v>
      </c>
      <c r="D42" s="119">
        <f t="shared" si="4"/>
        <v>23666091</v>
      </c>
      <c r="E42" s="123">
        <f t="shared" si="5"/>
        <v>657705</v>
      </c>
      <c r="F42" s="124">
        <f t="shared" si="6"/>
        <v>2.8585447062649243E-2</v>
      </c>
    </row>
    <row r="43" spans="1:6" ht="15.75" x14ac:dyDescent="0.25">
      <c r="A43" s="121">
        <v>3</v>
      </c>
      <c r="B43" s="122" t="s">
        <v>115</v>
      </c>
      <c r="C43" s="119">
        <f t="shared" si="4"/>
        <v>32052250</v>
      </c>
      <c r="D43" s="119">
        <f t="shared" si="4"/>
        <v>32483318</v>
      </c>
      <c r="E43" s="123">
        <f t="shared" si="5"/>
        <v>431068</v>
      </c>
      <c r="F43" s="124">
        <f t="shared" si="6"/>
        <v>1.3448915442753629E-2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1484132</v>
      </c>
      <c r="D45" s="119">
        <f t="shared" si="4"/>
        <v>553696</v>
      </c>
      <c r="E45" s="123">
        <f t="shared" si="5"/>
        <v>-930436</v>
      </c>
      <c r="F45" s="124">
        <f t="shared" si="6"/>
        <v>-0.62692267264636836</v>
      </c>
    </row>
    <row r="46" spans="1:6" ht="15.75" x14ac:dyDescent="0.25">
      <c r="A46" s="121">
        <v>6</v>
      </c>
      <c r="B46" s="122" t="s">
        <v>118</v>
      </c>
      <c r="C46" s="119">
        <f t="shared" si="4"/>
        <v>1990493</v>
      </c>
      <c r="D46" s="119">
        <f t="shared" si="4"/>
        <v>2039325</v>
      </c>
      <c r="E46" s="123">
        <f t="shared" si="5"/>
        <v>48832</v>
      </c>
      <c r="F46" s="124">
        <f t="shared" si="6"/>
        <v>2.4532615789153743E-2</v>
      </c>
    </row>
    <row r="47" spans="1:6" ht="15.75" x14ac:dyDescent="0.25">
      <c r="A47" s="121">
        <v>7</v>
      </c>
      <c r="B47" s="122" t="s">
        <v>119</v>
      </c>
      <c r="C47" s="119">
        <f t="shared" si="4"/>
        <v>52795308</v>
      </c>
      <c r="D47" s="119">
        <f t="shared" si="4"/>
        <v>48576138</v>
      </c>
      <c r="E47" s="123">
        <f t="shared" si="5"/>
        <v>-4219170</v>
      </c>
      <c r="F47" s="124">
        <f t="shared" si="6"/>
        <v>-7.9915624320252093E-2</v>
      </c>
    </row>
    <row r="48" spans="1:6" ht="15.75" x14ac:dyDescent="0.25">
      <c r="A48" s="121">
        <v>8</v>
      </c>
      <c r="B48" s="122" t="s">
        <v>120</v>
      </c>
      <c r="C48" s="119">
        <f t="shared" si="4"/>
        <v>2170936</v>
      </c>
      <c r="D48" s="119">
        <f t="shared" si="4"/>
        <v>1870810</v>
      </c>
      <c r="E48" s="123">
        <f t="shared" si="5"/>
        <v>-300126</v>
      </c>
      <c r="F48" s="124">
        <f t="shared" si="6"/>
        <v>-0.1382472813569815</v>
      </c>
    </row>
    <row r="49" spans="1:6" ht="15.75" x14ac:dyDescent="0.25">
      <c r="A49" s="121">
        <v>9</v>
      </c>
      <c r="B49" s="122" t="s">
        <v>121</v>
      </c>
      <c r="C49" s="119">
        <f t="shared" si="4"/>
        <v>2164396</v>
      </c>
      <c r="D49" s="119">
        <f t="shared" si="4"/>
        <v>2242511</v>
      </c>
      <c r="E49" s="123">
        <f t="shared" si="5"/>
        <v>78115</v>
      </c>
      <c r="F49" s="124">
        <f t="shared" si="6"/>
        <v>3.6090900186472347E-2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171319319</v>
      </c>
      <c r="D52" s="128">
        <f>SUM(D41:D51)</f>
        <v>168025862</v>
      </c>
      <c r="E52" s="127">
        <f t="shared" si="5"/>
        <v>-3293457</v>
      </c>
      <c r="F52" s="129">
        <f t="shared" si="6"/>
        <v>-1.9224084120950773E-2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9839566</v>
      </c>
      <c r="D57" s="113">
        <v>8581953</v>
      </c>
      <c r="E57" s="113">
        <f t="shared" ref="E57:E68" si="7">D57-C57</f>
        <v>-1257613</v>
      </c>
      <c r="F57" s="114">
        <f t="shared" ref="F57:F68" si="8">IF(C57=0,0,E57/C57)</f>
        <v>-0.12781183641636226</v>
      </c>
    </row>
    <row r="58" spans="1:6" x14ac:dyDescent="0.2">
      <c r="A58" s="115">
        <v>2</v>
      </c>
      <c r="B58" s="116" t="s">
        <v>114</v>
      </c>
      <c r="C58" s="113">
        <v>3039798</v>
      </c>
      <c r="D58" s="113">
        <v>2477586</v>
      </c>
      <c r="E58" s="113">
        <f t="shared" si="7"/>
        <v>-562212</v>
      </c>
      <c r="F58" s="114">
        <f t="shared" si="8"/>
        <v>-0.18495044736525257</v>
      </c>
    </row>
    <row r="59" spans="1:6" x14ac:dyDescent="0.2">
      <c r="A59" s="115">
        <v>3</v>
      </c>
      <c r="B59" s="116" t="s">
        <v>115</v>
      </c>
      <c r="C59" s="113">
        <v>3942846</v>
      </c>
      <c r="D59" s="113">
        <v>3771267</v>
      </c>
      <c r="E59" s="113">
        <f t="shared" si="7"/>
        <v>-171579</v>
      </c>
      <c r="F59" s="114">
        <f t="shared" si="8"/>
        <v>-4.3516536024993113E-2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273260</v>
      </c>
      <c r="D61" s="113">
        <v>71872</v>
      </c>
      <c r="E61" s="113">
        <f t="shared" si="7"/>
        <v>-201388</v>
      </c>
      <c r="F61" s="114">
        <f t="shared" si="8"/>
        <v>-0.7369830930249579</v>
      </c>
    </row>
    <row r="62" spans="1:6" x14ac:dyDescent="0.2">
      <c r="A62" s="115">
        <v>6</v>
      </c>
      <c r="B62" s="116" t="s">
        <v>118</v>
      </c>
      <c r="C62" s="113">
        <v>539280</v>
      </c>
      <c r="D62" s="113">
        <v>338805</v>
      </c>
      <c r="E62" s="113">
        <f t="shared" si="7"/>
        <v>-200475</v>
      </c>
      <c r="F62" s="114">
        <f t="shared" si="8"/>
        <v>-0.37174566088117489</v>
      </c>
    </row>
    <row r="63" spans="1:6" x14ac:dyDescent="0.2">
      <c r="A63" s="115">
        <v>7</v>
      </c>
      <c r="B63" s="116" t="s">
        <v>119</v>
      </c>
      <c r="C63" s="113">
        <v>7625014</v>
      </c>
      <c r="D63" s="113">
        <v>6882113</v>
      </c>
      <c r="E63" s="113">
        <f t="shared" si="7"/>
        <v>-742901</v>
      </c>
      <c r="F63" s="114">
        <f t="shared" si="8"/>
        <v>-9.7429460457384084E-2</v>
      </c>
    </row>
    <row r="64" spans="1:6" x14ac:dyDescent="0.2">
      <c r="A64" s="115">
        <v>8</v>
      </c>
      <c r="B64" s="116" t="s">
        <v>120</v>
      </c>
      <c r="C64" s="113">
        <v>109895</v>
      </c>
      <c r="D64" s="113">
        <v>5513</v>
      </c>
      <c r="E64" s="113">
        <f t="shared" si="7"/>
        <v>-104382</v>
      </c>
      <c r="F64" s="114">
        <f t="shared" si="8"/>
        <v>-0.94983393239000868</v>
      </c>
    </row>
    <row r="65" spans="1:6" x14ac:dyDescent="0.2">
      <c r="A65" s="115">
        <v>9</v>
      </c>
      <c r="B65" s="116" t="s">
        <v>121</v>
      </c>
      <c r="C65" s="113">
        <v>13345</v>
      </c>
      <c r="D65" s="113">
        <v>14173</v>
      </c>
      <c r="E65" s="113">
        <f t="shared" si="7"/>
        <v>828</v>
      </c>
      <c r="F65" s="114">
        <f t="shared" si="8"/>
        <v>6.2045710003746722E-2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25383004</v>
      </c>
      <c r="D68" s="119">
        <f>SUM(D57:D67)</f>
        <v>22143282</v>
      </c>
      <c r="E68" s="119">
        <f t="shared" si="7"/>
        <v>-3239722</v>
      </c>
      <c r="F68" s="120">
        <f t="shared" si="8"/>
        <v>-0.12763351414198257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6870264</v>
      </c>
      <c r="D70" s="113">
        <v>7968558</v>
      </c>
      <c r="E70" s="113">
        <f t="shared" ref="E70:E81" si="9">D70-C70</f>
        <v>1098294</v>
      </c>
      <c r="F70" s="114">
        <f t="shared" ref="F70:F81" si="10">IF(C70=0,0,E70/C70)</f>
        <v>0.15986197910298644</v>
      </c>
    </row>
    <row r="71" spans="1:6" x14ac:dyDescent="0.2">
      <c r="A71" s="115">
        <v>2</v>
      </c>
      <c r="B71" s="116" t="s">
        <v>114</v>
      </c>
      <c r="C71" s="113">
        <v>3272062</v>
      </c>
      <c r="D71" s="113">
        <v>2871669</v>
      </c>
      <c r="E71" s="113">
        <f t="shared" si="9"/>
        <v>-400393</v>
      </c>
      <c r="F71" s="114">
        <f t="shared" si="10"/>
        <v>-0.12236718008399597</v>
      </c>
    </row>
    <row r="72" spans="1:6" x14ac:dyDescent="0.2">
      <c r="A72" s="115">
        <v>3</v>
      </c>
      <c r="B72" s="116" t="s">
        <v>115</v>
      </c>
      <c r="C72" s="113">
        <v>4752140</v>
      </c>
      <c r="D72" s="113">
        <v>3399841</v>
      </c>
      <c r="E72" s="113">
        <f t="shared" si="9"/>
        <v>-1352299</v>
      </c>
      <c r="F72" s="114">
        <f t="shared" si="10"/>
        <v>-0.28456632169927654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257374</v>
      </c>
      <c r="D74" s="113">
        <v>56407</v>
      </c>
      <c r="E74" s="113">
        <f t="shared" si="9"/>
        <v>-200967</v>
      </c>
      <c r="F74" s="114">
        <f t="shared" si="10"/>
        <v>-0.78083644812607333</v>
      </c>
    </row>
    <row r="75" spans="1:6" x14ac:dyDescent="0.2">
      <c r="A75" s="115">
        <v>6</v>
      </c>
      <c r="B75" s="116" t="s">
        <v>118</v>
      </c>
      <c r="C75" s="113">
        <v>817554</v>
      </c>
      <c r="D75" s="113">
        <v>1059395</v>
      </c>
      <c r="E75" s="113">
        <f t="shared" si="9"/>
        <v>241841</v>
      </c>
      <c r="F75" s="114">
        <f t="shared" si="10"/>
        <v>0.29581042964746057</v>
      </c>
    </row>
    <row r="76" spans="1:6" x14ac:dyDescent="0.2">
      <c r="A76" s="115">
        <v>7</v>
      </c>
      <c r="B76" s="116" t="s">
        <v>119</v>
      </c>
      <c r="C76" s="113">
        <v>22881508</v>
      </c>
      <c r="D76" s="113">
        <v>20665333</v>
      </c>
      <c r="E76" s="113">
        <f t="shared" si="9"/>
        <v>-2216175</v>
      </c>
      <c r="F76" s="114">
        <f t="shared" si="10"/>
        <v>-9.6854411868308676E-2</v>
      </c>
    </row>
    <row r="77" spans="1:6" x14ac:dyDescent="0.2">
      <c r="A77" s="115">
        <v>8</v>
      </c>
      <c r="B77" s="116" t="s">
        <v>120</v>
      </c>
      <c r="C77" s="113">
        <v>1041324</v>
      </c>
      <c r="D77" s="113">
        <v>734031</v>
      </c>
      <c r="E77" s="113">
        <f t="shared" si="9"/>
        <v>-307293</v>
      </c>
      <c r="F77" s="114">
        <f t="shared" si="10"/>
        <v>-0.29509835555504338</v>
      </c>
    </row>
    <row r="78" spans="1:6" x14ac:dyDescent="0.2">
      <c r="A78" s="115">
        <v>9</v>
      </c>
      <c r="B78" s="116" t="s">
        <v>121</v>
      </c>
      <c r="C78" s="113">
        <v>112504</v>
      </c>
      <c r="D78" s="113">
        <v>218130</v>
      </c>
      <c r="E78" s="113">
        <f t="shared" si="9"/>
        <v>105626</v>
      </c>
      <c r="F78" s="114">
        <f t="shared" si="10"/>
        <v>0.93886439593258908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40004730</v>
      </c>
      <c r="D81" s="119">
        <f>SUM(D70:D80)</f>
        <v>36973364</v>
      </c>
      <c r="E81" s="119">
        <f t="shared" si="9"/>
        <v>-3031366</v>
      </c>
      <c r="F81" s="120">
        <f t="shared" si="10"/>
        <v>-7.5775189583831712E-2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16709830</v>
      </c>
      <c r="D84" s="119">
        <f t="shared" si="11"/>
        <v>16550511</v>
      </c>
      <c r="E84" s="119">
        <f t="shared" ref="E84:E95" si="12">D84-C84</f>
        <v>-159319</v>
      </c>
      <c r="F84" s="120">
        <f t="shared" ref="F84:F95" si="13">IF(C84=0,0,E84/C84)</f>
        <v>-9.5344476873792244E-3</v>
      </c>
    </row>
    <row r="85" spans="1:6" ht="15.75" x14ac:dyDescent="0.25">
      <c r="A85" s="130">
        <v>2</v>
      </c>
      <c r="B85" s="122" t="s">
        <v>114</v>
      </c>
      <c r="C85" s="119">
        <f t="shared" si="11"/>
        <v>6311860</v>
      </c>
      <c r="D85" s="119">
        <f t="shared" si="11"/>
        <v>5349255</v>
      </c>
      <c r="E85" s="119">
        <f t="shared" si="12"/>
        <v>-962605</v>
      </c>
      <c r="F85" s="120">
        <f t="shared" si="13"/>
        <v>-0.15250734331876817</v>
      </c>
    </row>
    <row r="86" spans="1:6" ht="15.75" x14ac:dyDescent="0.25">
      <c r="A86" s="130">
        <v>3</v>
      </c>
      <c r="B86" s="122" t="s">
        <v>115</v>
      </c>
      <c r="C86" s="119">
        <f t="shared" si="11"/>
        <v>8694986</v>
      </c>
      <c r="D86" s="119">
        <f t="shared" si="11"/>
        <v>7171108</v>
      </c>
      <c r="E86" s="119">
        <f t="shared" si="12"/>
        <v>-1523878</v>
      </c>
      <c r="F86" s="120">
        <f t="shared" si="13"/>
        <v>-0.17525939662237525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530634</v>
      </c>
      <c r="D88" s="119">
        <f t="shared" si="11"/>
        <v>128279</v>
      </c>
      <c r="E88" s="119">
        <f t="shared" si="12"/>
        <v>-402355</v>
      </c>
      <c r="F88" s="120">
        <f t="shared" si="13"/>
        <v>-0.75825333469020073</v>
      </c>
    </row>
    <row r="89" spans="1:6" ht="15.75" x14ac:dyDescent="0.25">
      <c r="A89" s="130">
        <v>6</v>
      </c>
      <c r="B89" s="122" t="s">
        <v>118</v>
      </c>
      <c r="C89" s="119">
        <f t="shared" si="11"/>
        <v>1356834</v>
      </c>
      <c r="D89" s="119">
        <f t="shared" si="11"/>
        <v>1398200</v>
      </c>
      <c r="E89" s="119">
        <f t="shared" si="12"/>
        <v>41366</v>
      </c>
      <c r="F89" s="120">
        <f t="shared" si="13"/>
        <v>3.048714875953875E-2</v>
      </c>
    </row>
    <row r="90" spans="1:6" ht="15.75" x14ac:dyDescent="0.25">
      <c r="A90" s="130">
        <v>7</v>
      </c>
      <c r="B90" s="122" t="s">
        <v>119</v>
      </c>
      <c r="C90" s="119">
        <f t="shared" si="11"/>
        <v>30506522</v>
      </c>
      <c r="D90" s="119">
        <f t="shared" si="11"/>
        <v>27547446</v>
      </c>
      <c r="E90" s="119">
        <f t="shared" si="12"/>
        <v>-2959076</v>
      </c>
      <c r="F90" s="120">
        <f t="shared" si="13"/>
        <v>-9.699814354451812E-2</v>
      </c>
    </row>
    <row r="91" spans="1:6" ht="15.75" x14ac:dyDescent="0.25">
      <c r="A91" s="130">
        <v>8</v>
      </c>
      <c r="B91" s="122" t="s">
        <v>120</v>
      </c>
      <c r="C91" s="119">
        <f t="shared" si="11"/>
        <v>1151219</v>
      </c>
      <c r="D91" s="119">
        <f t="shared" si="11"/>
        <v>739544</v>
      </c>
      <c r="E91" s="119">
        <f t="shared" si="12"/>
        <v>-411675</v>
      </c>
      <c r="F91" s="120">
        <f t="shared" si="13"/>
        <v>-0.35759920571151099</v>
      </c>
    </row>
    <row r="92" spans="1:6" ht="15.75" x14ac:dyDescent="0.25">
      <c r="A92" s="130">
        <v>9</v>
      </c>
      <c r="B92" s="122" t="s">
        <v>121</v>
      </c>
      <c r="C92" s="119">
        <f t="shared" si="11"/>
        <v>125849</v>
      </c>
      <c r="D92" s="119">
        <f t="shared" si="11"/>
        <v>232303</v>
      </c>
      <c r="E92" s="119">
        <f t="shared" si="12"/>
        <v>106454</v>
      </c>
      <c r="F92" s="120">
        <f t="shared" si="13"/>
        <v>0.84588673728039154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65387734</v>
      </c>
      <c r="D95" s="128">
        <f>SUM(D84:D94)</f>
        <v>59116646</v>
      </c>
      <c r="E95" s="128">
        <f t="shared" si="12"/>
        <v>-6271088</v>
      </c>
      <c r="F95" s="129">
        <f t="shared" si="13"/>
        <v>-9.5906183260609706E-2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1104</v>
      </c>
      <c r="D100" s="133">
        <v>1037</v>
      </c>
      <c r="E100" s="133">
        <f t="shared" ref="E100:E111" si="14">D100-C100</f>
        <v>-67</v>
      </c>
      <c r="F100" s="114">
        <f t="shared" ref="F100:F111" si="15">IF(C100=0,0,E100/C100)</f>
        <v>-6.0688405797101448E-2</v>
      </c>
    </row>
    <row r="101" spans="1:6" x14ac:dyDescent="0.2">
      <c r="A101" s="115">
        <v>2</v>
      </c>
      <c r="B101" s="116" t="s">
        <v>114</v>
      </c>
      <c r="C101" s="133">
        <v>373</v>
      </c>
      <c r="D101" s="133">
        <v>396</v>
      </c>
      <c r="E101" s="133">
        <f t="shared" si="14"/>
        <v>23</v>
      </c>
      <c r="F101" s="114">
        <f t="shared" si="15"/>
        <v>6.1662198391420911E-2</v>
      </c>
    </row>
    <row r="102" spans="1:6" x14ac:dyDescent="0.2">
      <c r="A102" s="115">
        <v>3</v>
      </c>
      <c r="B102" s="116" t="s">
        <v>115</v>
      </c>
      <c r="C102" s="133">
        <v>678</v>
      </c>
      <c r="D102" s="133">
        <v>892</v>
      </c>
      <c r="E102" s="133">
        <f t="shared" si="14"/>
        <v>214</v>
      </c>
      <c r="F102" s="114">
        <f t="shared" si="15"/>
        <v>0.31563421828908556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50</v>
      </c>
      <c r="D104" s="133">
        <v>20</v>
      </c>
      <c r="E104" s="133">
        <f t="shared" si="14"/>
        <v>-30</v>
      </c>
      <c r="F104" s="114">
        <f t="shared" si="15"/>
        <v>-0.6</v>
      </c>
    </row>
    <row r="105" spans="1:6" x14ac:dyDescent="0.2">
      <c r="A105" s="115">
        <v>6</v>
      </c>
      <c r="B105" s="116" t="s">
        <v>118</v>
      </c>
      <c r="C105" s="133">
        <v>46</v>
      </c>
      <c r="D105" s="133">
        <v>40</v>
      </c>
      <c r="E105" s="133">
        <f t="shared" si="14"/>
        <v>-6</v>
      </c>
      <c r="F105" s="114">
        <f t="shared" si="15"/>
        <v>-0.13043478260869565</v>
      </c>
    </row>
    <row r="106" spans="1:6" x14ac:dyDescent="0.2">
      <c r="A106" s="115">
        <v>7</v>
      </c>
      <c r="B106" s="116" t="s">
        <v>119</v>
      </c>
      <c r="C106" s="133">
        <v>743</v>
      </c>
      <c r="D106" s="133">
        <v>704</v>
      </c>
      <c r="E106" s="133">
        <f t="shared" si="14"/>
        <v>-39</v>
      </c>
      <c r="F106" s="114">
        <f t="shared" si="15"/>
        <v>-5.2489905787348586E-2</v>
      </c>
    </row>
    <row r="107" spans="1:6" x14ac:dyDescent="0.2">
      <c r="A107" s="115">
        <v>8</v>
      </c>
      <c r="B107" s="116" t="s">
        <v>120</v>
      </c>
      <c r="C107" s="133">
        <v>3</v>
      </c>
      <c r="D107" s="133">
        <v>2</v>
      </c>
      <c r="E107" s="133">
        <f t="shared" si="14"/>
        <v>-1</v>
      </c>
      <c r="F107" s="114">
        <f t="shared" si="15"/>
        <v>-0.33333333333333331</v>
      </c>
    </row>
    <row r="108" spans="1:6" x14ac:dyDescent="0.2">
      <c r="A108" s="115">
        <v>9</v>
      </c>
      <c r="B108" s="116" t="s">
        <v>121</v>
      </c>
      <c r="C108" s="133">
        <v>39</v>
      </c>
      <c r="D108" s="133">
        <v>47</v>
      </c>
      <c r="E108" s="133">
        <f t="shared" si="14"/>
        <v>8</v>
      </c>
      <c r="F108" s="114">
        <f t="shared" si="15"/>
        <v>0.20512820512820512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3036</v>
      </c>
      <c r="D111" s="134">
        <f>SUM(D100:D110)</f>
        <v>3138</v>
      </c>
      <c r="E111" s="134">
        <f t="shared" si="14"/>
        <v>102</v>
      </c>
      <c r="F111" s="120">
        <f t="shared" si="15"/>
        <v>3.3596837944664032E-2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6307</v>
      </c>
      <c r="D113" s="133">
        <v>5600</v>
      </c>
      <c r="E113" s="133">
        <f t="shared" ref="E113:E124" si="16">D113-C113</f>
        <v>-707</v>
      </c>
      <c r="F113" s="114">
        <f t="shared" ref="F113:F124" si="17">IF(C113=0,0,E113/C113)</f>
        <v>-0.1120976692563818</v>
      </c>
    </row>
    <row r="114" spans="1:6" x14ac:dyDescent="0.2">
      <c r="A114" s="115">
        <v>2</v>
      </c>
      <c r="B114" s="116" t="s">
        <v>114</v>
      </c>
      <c r="C114" s="133">
        <v>1969</v>
      </c>
      <c r="D114" s="133">
        <v>2075</v>
      </c>
      <c r="E114" s="133">
        <f t="shared" si="16"/>
        <v>106</v>
      </c>
      <c r="F114" s="114">
        <f t="shared" si="17"/>
        <v>5.3834433722701878E-2</v>
      </c>
    </row>
    <row r="115" spans="1:6" x14ac:dyDescent="0.2">
      <c r="A115" s="115">
        <v>3</v>
      </c>
      <c r="B115" s="116" t="s">
        <v>115</v>
      </c>
      <c r="C115" s="133">
        <v>3070</v>
      </c>
      <c r="D115" s="133">
        <v>4464</v>
      </c>
      <c r="E115" s="133">
        <f t="shared" si="16"/>
        <v>1394</v>
      </c>
      <c r="F115" s="114">
        <f t="shared" si="17"/>
        <v>0.45407166123778503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285</v>
      </c>
      <c r="D117" s="133">
        <v>58</v>
      </c>
      <c r="E117" s="133">
        <f t="shared" si="16"/>
        <v>-227</v>
      </c>
      <c r="F117" s="114">
        <f t="shared" si="17"/>
        <v>-0.79649122807017547</v>
      </c>
    </row>
    <row r="118" spans="1:6" x14ac:dyDescent="0.2">
      <c r="A118" s="115">
        <v>6</v>
      </c>
      <c r="B118" s="116" t="s">
        <v>118</v>
      </c>
      <c r="C118" s="133">
        <v>233</v>
      </c>
      <c r="D118" s="133">
        <v>198</v>
      </c>
      <c r="E118" s="133">
        <f t="shared" si="16"/>
        <v>-35</v>
      </c>
      <c r="F118" s="114">
        <f t="shared" si="17"/>
        <v>-0.15021459227467812</v>
      </c>
    </row>
    <row r="119" spans="1:6" x14ac:dyDescent="0.2">
      <c r="A119" s="115">
        <v>7</v>
      </c>
      <c r="B119" s="116" t="s">
        <v>119</v>
      </c>
      <c r="C119" s="133">
        <v>2988</v>
      </c>
      <c r="D119" s="133">
        <v>2813</v>
      </c>
      <c r="E119" s="133">
        <f t="shared" si="16"/>
        <v>-175</v>
      </c>
      <c r="F119" s="114">
        <f t="shared" si="17"/>
        <v>-5.856760374832664E-2</v>
      </c>
    </row>
    <row r="120" spans="1:6" x14ac:dyDescent="0.2">
      <c r="A120" s="115">
        <v>8</v>
      </c>
      <c r="B120" s="116" t="s">
        <v>120</v>
      </c>
      <c r="C120" s="133">
        <v>11</v>
      </c>
      <c r="D120" s="133">
        <v>8</v>
      </c>
      <c r="E120" s="133">
        <f t="shared" si="16"/>
        <v>-3</v>
      </c>
      <c r="F120" s="114">
        <f t="shared" si="17"/>
        <v>-0.27272727272727271</v>
      </c>
    </row>
    <row r="121" spans="1:6" x14ac:dyDescent="0.2">
      <c r="A121" s="115">
        <v>9</v>
      </c>
      <c r="B121" s="116" t="s">
        <v>121</v>
      </c>
      <c r="C121" s="133">
        <v>228</v>
      </c>
      <c r="D121" s="133">
        <v>148</v>
      </c>
      <c r="E121" s="133">
        <f t="shared" si="16"/>
        <v>-80</v>
      </c>
      <c r="F121" s="114">
        <f t="shared" si="17"/>
        <v>-0.35087719298245612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15091</v>
      </c>
      <c r="D124" s="134">
        <f>SUM(D113:D123)</f>
        <v>15364</v>
      </c>
      <c r="E124" s="134">
        <f t="shared" si="16"/>
        <v>273</v>
      </c>
      <c r="F124" s="120">
        <f t="shared" si="17"/>
        <v>1.8090252468358624E-2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23693</v>
      </c>
      <c r="D126" s="133">
        <v>19681</v>
      </c>
      <c r="E126" s="133">
        <f t="shared" ref="E126:E137" si="18">D126-C126</f>
        <v>-4012</v>
      </c>
      <c r="F126" s="114">
        <f t="shared" ref="F126:F137" si="19">IF(C126=0,0,E126/C126)</f>
        <v>-0.16933271430380281</v>
      </c>
    </row>
    <row r="127" spans="1:6" x14ac:dyDescent="0.2">
      <c r="A127" s="115">
        <v>2</v>
      </c>
      <c r="B127" s="116" t="s">
        <v>114</v>
      </c>
      <c r="C127" s="133">
        <v>10968</v>
      </c>
      <c r="D127" s="133">
        <v>9018</v>
      </c>
      <c r="E127" s="133">
        <f t="shared" si="18"/>
        <v>-1950</v>
      </c>
      <c r="F127" s="114">
        <f t="shared" si="19"/>
        <v>-0.17778993435448578</v>
      </c>
    </row>
    <row r="128" spans="1:6" x14ac:dyDescent="0.2">
      <c r="A128" s="115">
        <v>3</v>
      </c>
      <c r="B128" s="116" t="s">
        <v>115</v>
      </c>
      <c r="C128" s="133">
        <v>13058</v>
      </c>
      <c r="D128" s="133">
        <v>11508</v>
      </c>
      <c r="E128" s="133">
        <f t="shared" si="18"/>
        <v>-1550</v>
      </c>
      <c r="F128" s="114">
        <f t="shared" si="19"/>
        <v>-0.11870117935365293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458</v>
      </c>
      <c r="D130" s="133">
        <v>298</v>
      </c>
      <c r="E130" s="133">
        <f t="shared" si="18"/>
        <v>-160</v>
      </c>
      <c r="F130" s="114">
        <f t="shared" si="19"/>
        <v>-0.34934497816593885</v>
      </c>
    </row>
    <row r="131" spans="1:6" x14ac:dyDescent="0.2">
      <c r="A131" s="115">
        <v>6</v>
      </c>
      <c r="B131" s="116" t="s">
        <v>118</v>
      </c>
      <c r="C131" s="133">
        <v>931</v>
      </c>
      <c r="D131" s="133">
        <v>1006</v>
      </c>
      <c r="E131" s="133">
        <f t="shared" si="18"/>
        <v>75</v>
      </c>
      <c r="F131" s="114">
        <f t="shared" si="19"/>
        <v>8.0558539205155752E-2</v>
      </c>
    </row>
    <row r="132" spans="1:6" x14ac:dyDescent="0.2">
      <c r="A132" s="115">
        <v>7</v>
      </c>
      <c r="B132" s="116" t="s">
        <v>119</v>
      </c>
      <c r="C132" s="133">
        <v>28699</v>
      </c>
      <c r="D132" s="133">
        <v>24897</v>
      </c>
      <c r="E132" s="133">
        <f t="shared" si="18"/>
        <v>-3802</v>
      </c>
      <c r="F132" s="114">
        <f t="shared" si="19"/>
        <v>-0.13247848357085612</v>
      </c>
    </row>
    <row r="133" spans="1:6" x14ac:dyDescent="0.2">
      <c r="A133" s="115">
        <v>8</v>
      </c>
      <c r="B133" s="116" t="s">
        <v>120</v>
      </c>
      <c r="C133" s="133">
        <v>1259</v>
      </c>
      <c r="D133" s="133">
        <v>992</v>
      </c>
      <c r="E133" s="133">
        <f t="shared" si="18"/>
        <v>-267</v>
      </c>
      <c r="F133" s="114">
        <f t="shared" si="19"/>
        <v>-0.21207307386814933</v>
      </c>
    </row>
    <row r="134" spans="1:6" x14ac:dyDescent="0.2">
      <c r="A134" s="115">
        <v>9</v>
      </c>
      <c r="B134" s="116" t="s">
        <v>121</v>
      </c>
      <c r="C134" s="133">
        <v>1758</v>
      </c>
      <c r="D134" s="133">
        <v>1577</v>
      </c>
      <c r="E134" s="133">
        <f t="shared" si="18"/>
        <v>-181</v>
      </c>
      <c r="F134" s="114">
        <f t="shared" si="19"/>
        <v>-0.10295790671217292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80824</v>
      </c>
      <c r="D137" s="134">
        <f>SUM(D126:D136)</f>
        <v>68977</v>
      </c>
      <c r="E137" s="134">
        <f t="shared" si="18"/>
        <v>-11847</v>
      </c>
      <c r="F137" s="120">
        <f t="shared" si="19"/>
        <v>-0.14657774918341088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5940127</v>
      </c>
      <c r="D142" s="113">
        <v>7077789</v>
      </c>
      <c r="E142" s="113">
        <f t="shared" ref="E142:E153" si="20">D142-C142</f>
        <v>1137662</v>
      </c>
      <c r="F142" s="114">
        <f t="shared" ref="F142:F153" si="21">IF(C142=0,0,E142/C142)</f>
        <v>0.19152149440575933</v>
      </c>
    </row>
    <row r="143" spans="1:6" x14ac:dyDescent="0.2">
      <c r="A143" s="115">
        <v>2</v>
      </c>
      <c r="B143" s="116" t="s">
        <v>114</v>
      </c>
      <c r="C143" s="113">
        <v>2182741</v>
      </c>
      <c r="D143" s="113">
        <v>3742816</v>
      </c>
      <c r="E143" s="113">
        <f t="shared" si="20"/>
        <v>1560075</v>
      </c>
      <c r="F143" s="114">
        <f t="shared" si="21"/>
        <v>0.71473207311357601</v>
      </c>
    </row>
    <row r="144" spans="1:6" x14ac:dyDescent="0.2">
      <c r="A144" s="115">
        <v>3</v>
      </c>
      <c r="B144" s="116" t="s">
        <v>115</v>
      </c>
      <c r="C144" s="113">
        <v>11499785</v>
      </c>
      <c r="D144" s="113">
        <v>11694679</v>
      </c>
      <c r="E144" s="113">
        <f t="shared" si="20"/>
        <v>194894</v>
      </c>
      <c r="F144" s="114">
        <f t="shared" si="21"/>
        <v>1.6947621194657116E-2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315271</v>
      </c>
      <c r="D146" s="113">
        <v>174023</v>
      </c>
      <c r="E146" s="113">
        <f t="shared" si="20"/>
        <v>-141248</v>
      </c>
      <c r="F146" s="114">
        <f t="shared" si="21"/>
        <v>-0.44802090899575286</v>
      </c>
    </row>
    <row r="147" spans="1:6" x14ac:dyDescent="0.2">
      <c r="A147" s="115">
        <v>6</v>
      </c>
      <c r="B147" s="116" t="s">
        <v>118</v>
      </c>
      <c r="C147" s="113">
        <v>724048</v>
      </c>
      <c r="D147" s="113">
        <v>872585</v>
      </c>
      <c r="E147" s="113">
        <f t="shared" si="20"/>
        <v>148537</v>
      </c>
      <c r="F147" s="114">
        <f t="shared" si="21"/>
        <v>0.20514800123748703</v>
      </c>
    </row>
    <row r="148" spans="1:6" x14ac:dyDescent="0.2">
      <c r="A148" s="115">
        <v>7</v>
      </c>
      <c r="B148" s="116" t="s">
        <v>119</v>
      </c>
      <c r="C148" s="113">
        <v>10354744</v>
      </c>
      <c r="D148" s="113">
        <v>11772268</v>
      </c>
      <c r="E148" s="113">
        <f t="shared" si="20"/>
        <v>1417524</v>
      </c>
      <c r="F148" s="114">
        <f t="shared" si="21"/>
        <v>0.13689609323031066</v>
      </c>
    </row>
    <row r="149" spans="1:6" x14ac:dyDescent="0.2">
      <c r="A149" s="115">
        <v>8</v>
      </c>
      <c r="B149" s="116" t="s">
        <v>120</v>
      </c>
      <c r="C149" s="113">
        <v>726635</v>
      </c>
      <c r="D149" s="113">
        <v>576440</v>
      </c>
      <c r="E149" s="113">
        <f t="shared" si="20"/>
        <v>-150195</v>
      </c>
      <c r="F149" s="114">
        <f t="shared" si="21"/>
        <v>-0.20669937451402698</v>
      </c>
    </row>
    <row r="150" spans="1:6" x14ac:dyDescent="0.2">
      <c r="A150" s="115">
        <v>9</v>
      </c>
      <c r="B150" s="116" t="s">
        <v>121</v>
      </c>
      <c r="C150" s="113">
        <v>1091962</v>
      </c>
      <c r="D150" s="113">
        <v>1323150</v>
      </c>
      <c r="E150" s="113">
        <f t="shared" si="20"/>
        <v>231188</v>
      </c>
      <c r="F150" s="114">
        <f t="shared" si="21"/>
        <v>0.21171799018647169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32835313</v>
      </c>
      <c r="D153" s="119">
        <f>SUM(D142:D152)</f>
        <v>37233750</v>
      </c>
      <c r="E153" s="119">
        <f t="shared" si="20"/>
        <v>4398437</v>
      </c>
      <c r="F153" s="120">
        <f t="shared" si="21"/>
        <v>0.13395447151668693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1448125</v>
      </c>
      <c r="D155" s="113">
        <v>1601999</v>
      </c>
      <c r="E155" s="113">
        <f t="shared" ref="E155:E166" si="22">D155-C155</f>
        <v>153874</v>
      </c>
      <c r="F155" s="114">
        <f t="shared" ref="F155:F166" si="23">IF(C155=0,0,E155/C155)</f>
        <v>0.10625740181268882</v>
      </c>
    </row>
    <row r="156" spans="1:6" x14ac:dyDescent="0.2">
      <c r="A156" s="115">
        <v>2</v>
      </c>
      <c r="B156" s="116" t="s">
        <v>114</v>
      </c>
      <c r="C156" s="113">
        <v>507840</v>
      </c>
      <c r="D156" s="113">
        <v>800911</v>
      </c>
      <c r="E156" s="113">
        <f t="shared" si="22"/>
        <v>293071</v>
      </c>
      <c r="F156" s="114">
        <f t="shared" si="23"/>
        <v>0.57709317895400125</v>
      </c>
    </row>
    <row r="157" spans="1:6" x14ac:dyDescent="0.2">
      <c r="A157" s="115">
        <v>3</v>
      </c>
      <c r="B157" s="116" t="s">
        <v>115</v>
      </c>
      <c r="C157" s="113">
        <v>1906892</v>
      </c>
      <c r="D157" s="113">
        <v>1887526</v>
      </c>
      <c r="E157" s="113">
        <f t="shared" si="22"/>
        <v>-19366</v>
      </c>
      <c r="F157" s="114">
        <f t="shared" si="23"/>
        <v>-1.0155792776937551E-2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65666</v>
      </c>
      <c r="D159" s="113">
        <v>42441</v>
      </c>
      <c r="E159" s="113">
        <f t="shared" si="22"/>
        <v>-23225</v>
      </c>
      <c r="F159" s="114">
        <f t="shared" si="23"/>
        <v>-0.35368379374409892</v>
      </c>
    </row>
    <row r="160" spans="1:6" x14ac:dyDescent="0.2">
      <c r="A160" s="115">
        <v>6</v>
      </c>
      <c r="B160" s="116" t="s">
        <v>118</v>
      </c>
      <c r="C160" s="113">
        <v>326974</v>
      </c>
      <c r="D160" s="113">
        <v>461588</v>
      </c>
      <c r="E160" s="113">
        <f t="shared" si="22"/>
        <v>134614</v>
      </c>
      <c r="F160" s="114">
        <f t="shared" si="23"/>
        <v>0.41169634282848178</v>
      </c>
    </row>
    <row r="161" spans="1:6" x14ac:dyDescent="0.2">
      <c r="A161" s="115">
        <v>7</v>
      </c>
      <c r="B161" s="116" t="s">
        <v>119</v>
      </c>
      <c r="C161" s="113">
        <v>5060023</v>
      </c>
      <c r="D161" s="113">
        <v>5830516</v>
      </c>
      <c r="E161" s="113">
        <f t="shared" si="22"/>
        <v>770493</v>
      </c>
      <c r="F161" s="114">
        <f t="shared" si="23"/>
        <v>0.15227065173419171</v>
      </c>
    </row>
    <row r="162" spans="1:6" x14ac:dyDescent="0.2">
      <c r="A162" s="115">
        <v>8</v>
      </c>
      <c r="B162" s="116" t="s">
        <v>120</v>
      </c>
      <c r="C162" s="113">
        <v>435951</v>
      </c>
      <c r="D162" s="113">
        <v>315199</v>
      </c>
      <c r="E162" s="113">
        <f t="shared" si="22"/>
        <v>-120752</v>
      </c>
      <c r="F162" s="114">
        <f t="shared" si="23"/>
        <v>-0.27698525751747327</v>
      </c>
    </row>
    <row r="163" spans="1:6" x14ac:dyDescent="0.2">
      <c r="A163" s="115">
        <v>9</v>
      </c>
      <c r="B163" s="116" t="s">
        <v>121</v>
      </c>
      <c r="C163" s="113">
        <v>39347</v>
      </c>
      <c r="D163" s="113">
        <v>56305</v>
      </c>
      <c r="E163" s="113">
        <f t="shared" si="22"/>
        <v>16958</v>
      </c>
      <c r="F163" s="114">
        <f t="shared" si="23"/>
        <v>0.4309858439016952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9790818</v>
      </c>
      <c r="D166" s="119">
        <f>SUM(D155:D165)</f>
        <v>10996485</v>
      </c>
      <c r="E166" s="119">
        <f t="shared" si="22"/>
        <v>1205667</v>
      </c>
      <c r="F166" s="120">
        <f t="shared" si="23"/>
        <v>0.12314262199542469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2770</v>
      </c>
      <c r="D168" s="133">
        <v>2767</v>
      </c>
      <c r="E168" s="133">
        <f t="shared" ref="E168:E179" si="24">D168-C168</f>
        <v>-3</v>
      </c>
      <c r="F168" s="114">
        <f t="shared" ref="F168:F179" si="25">IF(C168=0,0,E168/C168)</f>
        <v>-1.0830324909747292E-3</v>
      </c>
    </row>
    <row r="169" spans="1:6" x14ac:dyDescent="0.2">
      <c r="A169" s="115">
        <v>2</v>
      </c>
      <c r="B169" s="116" t="s">
        <v>114</v>
      </c>
      <c r="C169" s="133">
        <v>1011</v>
      </c>
      <c r="D169" s="133">
        <v>1247</v>
      </c>
      <c r="E169" s="133">
        <f t="shared" si="24"/>
        <v>236</v>
      </c>
      <c r="F169" s="114">
        <f t="shared" si="25"/>
        <v>0.2334322453016815</v>
      </c>
    </row>
    <row r="170" spans="1:6" x14ac:dyDescent="0.2">
      <c r="A170" s="115">
        <v>3</v>
      </c>
      <c r="B170" s="116" t="s">
        <v>115</v>
      </c>
      <c r="C170" s="133">
        <v>5522</v>
      </c>
      <c r="D170" s="133">
        <v>5463</v>
      </c>
      <c r="E170" s="133">
        <f t="shared" si="24"/>
        <v>-59</v>
      </c>
      <c r="F170" s="114">
        <f t="shared" si="25"/>
        <v>-1.0684534588917058E-2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184</v>
      </c>
      <c r="D172" s="133">
        <v>112</v>
      </c>
      <c r="E172" s="133">
        <f t="shared" si="24"/>
        <v>-72</v>
      </c>
      <c r="F172" s="114">
        <f t="shared" si="25"/>
        <v>-0.39130434782608697</v>
      </c>
    </row>
    <row r="173" spans="1:6" x14ac:dyDescent="0.2">
      <c r="A173" s="115">
        <v>6</v>
      </c>
      <c r="B173" s="116" t="s">
        <v>118</v>
      </c>
      <c r="C173" s="133">
        <v>371</v>
      </c>
      <c r="D173" s="133">
        <v>403</v>
      </c>
      <c r="E173" s="133">
        <f t="shared" si="24"/>
        <v>32</v>
      </c>
      <c r="F173" s="114">
        <f t="shared" si="25"/>
        <v>8.6253369272237201E-2</v>
      </c>
    </row>
    <row r="174" spans="1:6" x14ac:dyDescent="0.2">
      <c r="A174" s="115">
        <v>7</v>
      </c>
      <c r="B174" s="116" t="s">
        <v>119</v>
      </c>
      <c r="C174" s="133">
        <v>5617</v>
      </c>
      <c r="D174" s="133">
        <v>5523</v>
      </c>
      <c r="E174" s="133">
        <f t="shared" si="24"/>
        <v>-94</v>
      </c>
      <c r="F174" s="114">
        <f t="shared" si="25"/>
        <v>-1.6734911874666192E-2</v>
      </c>
    </row>
    <row r="175" spans="1:6" x14ac:dyDescent="0.2">
      <c r="A175" s="115">
        <v>8</v>
      </c>
      <c r="B175" s="116" t="s">
        <v>120</v>
      </c>
      <c r="C175" s="133">
        <v>500</v>
      </c>
      <c r="D175" s="133">
        <v>441</v>
      </c>
      <c r="E175" s="133">
        <f t="shared" si="24"/>
        <v>-59</v>
      </c>
      <c r="F175" s="114">
        <f t="shared" si="25"/>
        <v>-0.11799999999999999</v>
      </c>
    </row>
    <row r="176" spans="1:6" x14ac:dyDescent="0.2">
      <c r="A176" s="115">
        <v>9</v>
      </c>
      <c r="B176" s="116" t="s">
        <v>121</v>
      </c>
      <c r="C176" s="133">
        <v>654</v>
      </c>
      <c r="D176" s="133">
        <v>794</v>
      </c>
      <c r="E176" s="133">
        <f t="shared" si="24"/>
        <v>140</v>
      </c>
      <c r="F176" s="114">
        <f t="shared" si="25"/>
        <v>0.21406727828746178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16629</v>
      </c>
      <c r="D179" s="134">
        <f>SUM(D168:D178)</f>
        <v>16750</v>
      </c>
      <c r="E179" s="134">
        <f t="shared" si="24"/>
        <v>121</v>
      </c>
      <c r="F179" s="120">
        <f t="shared" si="25"/>
        <v>7.2764447651692829E-3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gridLines="1"/>
  <pageMargins left="0.25" right="0.25" top="0.75" bottom="0.75" header="0.3" footer="0.3"/>
  <pageSetup scale="75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topLeftCell="B1" zoomScale="75" workbookViewId="0">
      <selection activeCell="M25" sqref="M25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8836210</v>
      </c>
      <c r="D15" s="157">
        <v>9248301</v>
      </c>
      <c r="E15" s="157">
        <f>+D15-C15</f>
        <v>412091</v>
      </c>
      <c r="F15" s="161">
        <f>IF(C15=0,0,E15/C15)</f>
        <v>4.66366236203078E-2</v>
      </c>
    </row>
    <row r="16" spans="1:6" ht="15" customHeight="1" x14ac:dyDescent="0.2">
      <c r="A16" s="147">
        <v>2</v>
      </c>
      <c r="B16" s="160" t="s">
        <v>157</v>
      </c>
      <c r="C16" s="157">
        <v>0</v>
      </c>
      <c r="D16" s="157">
        <v>0</v>
      </c>
      <c r="E16" s="157">
        <f>+D16-C16</f>
        <v>0</v>
      </c>
      <c r="F16" s="161">
        <f>IF(C16=0,0,E16/C16)</f>
        <v>0</v>
      </c>
    </row>
    <row r="17" spans="1:6" ht="15" customHeight="1" x14ac:dyDescent="0.2">
      <c r="A17" s="147">
        <v>3</v>
      </c>
      <c r="B17" s="160" t="s">
        <v>158</v>
      </c>
      <c r="C17" s="157">
        <v>15997009</v>
      </c>
      <c r="D17" s="157">
        <v>16499323</v>
      </c>
      <c r="E17" s="157">
        <f>+D17-C17</f>
        <v>502314</v>
      </c>
      <c r="F17" s="161">
        <f>IF(C17=0,0,E17/C17)</f>
        <v>3.1400494930020978E-2</v>
      </c>
    </row>
    <row r="18" spans="1:6" ht="15.75" customHeight="1" x14ac:dyDescent="0.25">
      <c r="A18" s="147"/>
      <c r="B18" s="162" t="s">
        <v>159</v>
      </c>
      <c r="C18" s="158">
        <f>SUM(C15:C17)</f>
        <v>24833219</v>
      </c>
      <c r="D18" s="158">
        <f>SUM(D15:D17)</f>
        <v>25747624</v>
      </c>
      <c r="E18" s="158">
        <f>+D18-C18</f>
        <v>914405</v>
      </c>
      <c r="F18" s="159">
        <f>IF(C18=0,0,E18/C18)</f>
        <v>3.6821847381122839E-2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2174748</v>
      </c>
      <c r="D21" s="157">
        <v>2237353</v>
      </c>
      <c r="E21" s="157">
        <f>+D21-C21</f>
        <v>62605</v>
      </c>
      <c r="F21" s="161">
        <f>IF(C21=0,0,E21/C21)</f>
        <v>2.8787243395556633E-2</v>
      </c>
    </row>
    <row r="22" spans="1:6" ht="15" customHeight="1" x14ac:dyDescent="0.2">
      <c r="A22" s="147">
        <v>2</v>
      </c>
      <c r="B22" s="160" t="s">
        <v>162</v>
      </c>
      <c r="C22" s="157">
        <v>0</v>
      </c>
      <c r="D22" s="157">
        <v>0</v>
      </c>
      <c r="E22" s="157">
        <f>+D22-C22</f>
        <v>0</v>
      </c>
      <c r="F22" s="161">
        <f>IF(C22=0,0,E22/C22)</f>
        <v>0</v>
      </c>
    </row>
    <row r="23" spans="1:6" ht="15" customHeight="1" x14ac:dyDescent="0.2">
      <c r="A23" s="147">
        <v>3</v>
      </c>
      <c r="B23" s="160" t="s">
        <v>163</v>
      </c>
      <c r="C23" s="157">
        <v>3937147</v>
      </c>
      <c r="D23" s="157">
        <v>3991524</v>
      </c>
      <c r="E23" s="157">
        <f>+D23-C23</f>
        <v>54377</v>
      </c>
      <c r="F23" s="161">
        <f>IF(C23=0,0,E23/C23)</f>
        <v>1.3811269937342954E-2</v>
      </c>
    </row>
    <row r="24" spans="1:6" ht="15.75" customHeight="1" x14ac:dyDescent="0.25">
      <c r="A24" s="147"/>
      <c r="B24" s="162" t="s">
        <v>164</v>
      </c>
      <c r="C24" s="158">
        <f>SUM(C21:C23)</f>
        <v>6111895</v>
      </c>
      <c r="D24" s="158">
        <f>SUM(D21:D23)</f>
        <v>6228877</v>
      </c>
      <c r="E24" s="158">
        <f>+D24-C24</f>
        <v>116982</v>
      </c>
      <c r="F24" s="159">
        <f>IF(C24=0,0,E24/C24)</f>
        <v>1.9140053943989547E-2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669863</v>
      </c>
      <c r="D27" s="157">
        <v>726832</v>
      </c>
      <c r="E27" s="157">
        <f>+D27-C27</f>
        <v>56969</v>
      </c>
      <c r="F27" s="161">
        <f>IF(C27=0,0,E27/C27)</f>
        <v>8.5045748160444745E-2</v>
      </c>
    </row>
    <row r="28" spans="1:6" ht="15" customHeight="1" x14ac:dyDescent="0.2">
      <c r="A28" s="147">
        <v>2</v>
      </c>
      <c r="B28" s="160" t="s">
        <v>167</v>
      </c>
      <c r="C28" s="157">
        <v>4050496</v>
      </c>
      <c r="D28" s="157">
        <v>5219086</v>
      </c>
      <c r="E28" s="157">
        <f>+D28-C28</f>
        <v>1168590</v>
      </c>
      <c r="F28" s="161">
        <f>IF(C28=0,0,E28/C28)</f>
        <v>0.28850540773278138</v>
      </c>
    </row>
    <row r="29" spans="1:6" ht="15" customHeight="1" x14ac:dyDescent="0.2">
      <c r="A29" s="147">
        <v>3</v>
      </c>
      <c r="B29" s="160" t="s">
        <v>168</v>
      </c>
      <c r="C29" s="157">
        <v>937174</v>
      </c>
      <c r="D29" s="157">
        <v>525802</v>
      </c>
      <c r="E29" s="157">
        <f>+D29-C29</f>
        <v>-411372</v>
      </c>
      <c r="F29" s="161">
        <f>IF(C29=0,0,E29/C29)</f>
        <v>-0.43894943735101488</v>
      </c>
    </row>
    <row r="30" spans="1:6" ht="15.75" customHeight="1" x14ac:dyDescent="0.25">
      <c r="A30" s="147"/>
      <c r="B30" s="162" t="s">
        <v>169</v>
      </c>
      <c r="C30" s="158">
        <f>SUM(C27:C29)</f>
        <v>5657533</v>
      </c>
      <c r="D30" s="158">
        <f>SUM(D27:D29)</f>
        <v>6471720</v>
      </c>
      <c r="E30" s="158">
        <f>+D30-C30</f>
        <v>814187</v>
      </c>
      <c r="F30" s="159">
        <f>IF(C30=0,0,E30/C30)</f>
        <v>0.14391201960289052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4253115</v>
      </c>
      <c r="D33" s="157">
        <v>3535930</v>
      </c>
      <c r="E33" s="157">
        <f>+D33-C33</f>
        <v>-717185</v>
      </c>
      <c r="F33" s="161">
        <f>IF(C33=0,0,E33/C33)</f>
        <v>-0.16862581895857506</v>
      </c>
    </row>
    <row r="34" spans="1:6" ht="15" customHeight="1" x14ac:dyDescent="0.2">
      <c r="A34" s="147">
        <v>2</v>
      </c>
      <c r="B34" s="160" t="s">
        <v>173</v>
      </c>
      <c r="C34" s="157">
        <v>6412555</v>
      </c>
      <c r="D34" s="157">
        <v>6669683</v>
      </c>
      <c r="E34" s="157">
        <f>+D34-C34</f>
        <v>257128</v>
      </c>
      <c r="F34" s="161">
        <f>IF(C34=0,0,E34/C34)</f>
        <v>4.0097589806247273E-2</v>
      </c>
    </row>
    <row r="35" spans="1:6" ht="15.75" customHeight="1" x14ac:dyDescent="0.25">
      <c r="A35" s="147"/>
      <c r="B35" s="162" t="s">
        <v>174</v>
      </c>
      <c r="C35" s="158">
        <f>SUM(C33:C34)</f>
        <v>10665670</v>
      </c>
      <c r="D35" s="158">
        <f>SUM(D33:D34)</f>
        <v>10205613</v>
      </c>
      <c r="E35" s="158">
        <f>+D35-C35</f>
        <v>-460057</v>
      </c>
      <c r="F35" s="159">
        <f>IF(C35=0,0,E35/C35)</f>
        <v>-4.3134374118081659E-2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978079</v>
      </c>
      <c r="D38" s="157">
        <v>456943</v>
      </c>
      <c r="E38" s="157">
        <f>+D38-C38</f>
        <v>-521136</v>
      </c>
      <c r="F38" s="161">
        <f>IF(C38=0,0,E38/C38)</f>
        <v>-0.53281585638787865</v>
      </c>
    </row>
    <row r="39" spans="1:6" ht="15" customHeight="1" x14ac:dyDescent="0.2">
      <c r="A39" s="147">
        <v>2</v>
      </c>
      <c r="B39" s="160" t="s">
        <v>178</v>
      </c>
      <c r="C39" s="157">
        <v>774017</v>
      </c>
      <c r="D39" s="157">
        <v>2533348</v>
      </c>
      <c r="E39" s="157">
        <f>+D39-C39</f>
        <v>1759331</v>
      </c>
      <c r="F39" s="161">
        <f>IF(C39=0,0,E39/C39)</f>
        <v>2.2729875442012255</v>
      </c>
    </row>
    <row r="40" spans="1:6" ht="15" customHeight="1" x14ac:dyDescent="0.2">
      <c r="A40" s="147">
        <v>3</v>
      </c>
      <c r="B40" s="160" t="s">
        <v>179</v>
      </c>
      <c r="C40" s="157">
        <v>52558</v>
      </c>
      <c r="D40" s="157">
        <v>21775</v>
      </c>
      <c r="E40" s="157">
        <f>+D40-C40</f>
        <v>-30783</v>
      </c>
      <c r="F40" s="161">
        <f>IF(C40=0,0,E40/C40)</f>
        <v>-0.58569580273221966</v>
      </c>
    </row>
    <row r="41" spans="1:6" ht="15.75" customHeight="1" x14ac:dyDescent="0.25">
      <c r="A41" s="147"/>
      <c r="B41" s="162" t="s">
        <v>180</v>
      </c>
      <c r="C41" s="158">
        <f>SUM(C38:C40)</f>
        <v>1804654</v>
      </c>
      <c r="D41" s="158">
        <f>SUM(D38:D40)</f>
        <v>3012066</v>
      </c>
      <c r="E41" s="158">
        <f>+D41-C41</f>
        <v>1207412</v>
      </c>
      <c r="F41" s="159">
        <f>IF(C41=0,0,E41/C41)</f>
        <v>0.66905456669256269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975626</v>
      </c>
      <c r="D47" s="157">
        <v>913249</v>
      </c>
      <c r="E47" s="157">
        <f>+D47-C47</f>
        <v>-62377</v>
      </c>
      <c r="F47" s="161">
        <f>IF(C47=0,0,E47/C47)</f>
        <v>-6.3935360476248065E-2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1058521</v>
      </c>
      <c r="D50" s="157">
        <v>293627</v>
      </c>
      <c r="E50" s="157">
        <f>+D50-C50</f>
        <v>-764894</v>
      </c>
      <c r="F50" s="161">
        <f>IF(C50=0,0,E50/C50)</f>
        <v>-0.7226063535820263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35952</v>
      </c>
      <c r="D53" s="157">
        <v>96109</v>
      </c>
      <c r="E53" s="157">
        <f t="shared" ref="E53:E59" si="0">+D53-C53</f>
        <v>60157</v>
      </c>
      <c r="F53" s="161">
        <f t="shared" ref="F53:F59" si="1">IF(C53=0,0,E53/C53)</f>
        <v>1.6732587894971072</v>
      </c>
    </row>
    <row r="54" spans="1:6" ht="15" customHeight="1" x14ac:dyDescent="0.2">
      <c r="A54" s="147">
        <v>2</v>
      </c>
      <c r="B54" s="160" t="s">
        <v>189</v>
      </c>
      <c r="C54" s="157">
        <v>36036</v>
      </c>
      <c r="D54" s="157">
        <v>15878</v>
      </c>
      <c r="E54" s="157">
        <f t="shared" si="0"/>
        <v>-20158</v>
      </c>
      <c r="F54" s="161">
        <f t="shared" si="1"/>
        <v>-0.55938505938505934</v>
      </c>
    </row>
    <row r="55" spans="1:6" ht="15" customHeight="1" x14ac:dyDescent="0.2">
      <c r="A55" s="147">
        <v>3</v>
      </c>
      <c r="B55" s="160" t="s">
        <v>190</v>
      </c>
      <c r="C55" s="157">
        <v>609556</v>
      </c>
      <c r="D55" s="157">
        <v>404694</v>
      </c>
      <c r="E55" s="157">
        <f t="shared" si="0"/>
        <v>-204862</v>
      </c>
      <c r="F55" s="161">
        <f t="shared" si="1"/>
        <v>-0.33608396931537055</v>
      </c>
    </row>
    <row r="56" spans="1:6" ht="15" customHeight="1" x14ac:dyDescent="0.2">
      <c r="A56" s="147">
        <v>4</v>
      </c>
      <c r="B56" s="160" t="s">
        <v>191</v>
      </c>
      <c r="C56" s="157">
        <v>749113</v>
      </c>
      <c r="D56" s="157">
        <v>681927</v>
      </c>
      <c r="E56" s="157">
        <f t="shared" si="0"/>
        <v>-67186</v>
      </c>
      <c r="F56" s="161">
        <f t="shared" si="1"/>
        <v>-8.9687403636033544E-2</v>
      </c>
    </row>
    <row r="57" spans="1:6" ht="15" customHeight="1" x14ac:dyDescent="0.2">
      <c r="A57" s="147">
        <v>5</v>
      </c>
      <c r="B57" s="160" t="s">
        <v>192</v>
      </c>
      <c r="C57" s="157">
        <v>170367</v>
      </c>
      <c r="D57" s="157">
        <v>200104</v>
      </c>
      <c r="E57" s="157">
        <f t="shared" si="0"/>
        <v>29737</v>
      </c>
      <c r="F57" s="161">
        <f t="shared" si="1"/>
        <v>0.17454671385890461</v>
      </c>
    </row>
    <row r="58" spans="1:6" ht="15" customHeight="1" x14ac:dyDescent="0.2">
      <c r="A58" s="147">
        <v>6</v>
      </c>
      <c r="B58" s="160" t="s">
        <v>193</v>
      </c>
      <c r="C58" s="157">
        <v>77710</v>
      </c>
      <c r="D58" s="157">
        <v>145206</v>
      </c>
      <c r="E58" s="157">
        <f t="shared" si="0"/>
        <v>67496</v>
      </c>
      <c r="F58" s="161">
        <f t="shared" si="1"/>
        <v>0.86856260455539824</v>
      </c>
    </row>
    <row r="59" spans="1:6" ht="15.75" customHeight="1" x14ac:dyDescent="0.25">
      <c r="A59" s="147"/>
      <c r="B59" s="162" t="s">
        <v>194</v>
      </c>
      <c r="C59" s="158">
        <f>SUM(C53:C58)</f>
        <v>1678734</v>
      </c>
      <c r="D59" s="158">
        <f>SUM(D53:D58)</f>
        <v>1543918</v>
      </c>
      <c r="E59" s="158">
        <f t="shared" si="0"/>
        <v>-134816</v>
      </c>
      <c r="F59" s="159">
        <f t="shared" si="1"/>
        <v>-8.0308136965117766E-2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97600</v>
      </c>
      <c r="D62" s="157">
        <v>52926</v>
      </c>
      <c r="E62" s="157">
        <f t="shared" ref="E62:E90" si="2">+D62-C62</f>
        <v>-44674</v>
      </c>
      <c r="F62" s="161">
        <f t="shared" ref="F62:F90" si="3">IF(C62=0,0,E62/C62)</f>
        <v>-0.45772540983606558</v>
      </c>
    </row>
    <row r="63" spans="1:6" ht="15" customHeight="1" x14ac:dyDescent="0.2">
      <c r="A63" s="147">
        <v>2</v>
      </c>
      <c r="B63" s="160" t="s">
        <v>198</v>
      </c>
      <c r="C63" s="157">
        <v>1849015</v>
      </c>
      <c r="D63" s="157">
        <v>133817</v>
      </c>
      <c r="E63" s="157">
        <f t="shared" si="2"/>
        <v>-1715198</v>
      </c>
      <c r="F63" s="161">
        <f t="shared" si="3"/>
        <v>-0.92762795326160141</v>
      </c>
    </row>
    <row r="64" spans="1:6" ht="15" customHeight="1" x14ac:dyDescent="0.2">
      <c r="A64" s="147">
        <v>3</v>
      </c>
      <c r="B64" s="160" t="s">
        <v>199</v>
      </c>
      <c r="C64" s="157">
        <v>1982669</v>
      </c>
      <c r="D64" s="157">
        <v>235015</v>
      </c>
      <c r="E64" s="157">
        <f t="shared" si="2"/>
        <v>-1747654</v>
      </c>
      <c r="F64" s="161">
        <f t="shared" si="3"/>
        <v>-0.88146533788544634</v>
      </c>
    </row>
    <row r="65" spans="1:6" ht="15" customHeight="1" x14ac:dyDescent="0.2">
      <c r="A65" s="147">
        <v>4</v>
      </c>
      <c r="B65" s="160" t="s">
        <v>200</v>
      </c>
      <c r="C65" s="157">
        <v>223876</v>
      </c>
      <c r="D65" s="157">
        <v>220251</v>
      </c>
      <c r="E65" s="157">
        <f t="shared" si="2"/>
        <v>-3625</v>
      </c>
      <c r="F65" s="161">
        <f t="shared" si="3"/>
        <v>-1.6191999142382389E-2</v>
      </c>
    </row>
    <row r="66" spans="1:6" ht="15" customHeight="1" x14ac:dyDescent="0.2">
      <c r="A66" s="147">
        <v>5</v>
      </c>
      <c r="B66" s="160" t="s">
        <v>201</v>
      </c>
      <c r="C66" s="157">
        <v>427556</v>
      </c>
      <c r="D66" s="157">
        <v>355306</v>
      </c>
      <c r="E66" s="157">
        <f t="shared" si="2"/>
        <v>-72250</v>
      </c>
      <c r="F66" s="161">
        <f t="shared" si="3"/>
        <v>-0.16898371207514337</v>
      </c>
    </row>
    <row r="67" spans="1:6" ht="15" customHeight="1" x14ac:dyDescent="0.2">
      <c r="A67" s="147">
        <v>6</v>
      </c>
      <c r="B67" s="160" t="s">
        <v>202</v>
      </c>
      <c r="C67" s="157">
        <v>945902</v>
      </c>
      <c r="D67" s="157">
        <v>802745</v>
      </c>
      <c r="E67" s="157">
        <f t="shared" si="2"/>
        <v>-143157</v>
      </c>
      <c r="F67" s="161">
        <f t="shared" si="3"/>
        <v>-0.15134443102985298</v>
      </c>
    </row>
    <row r="68" spans="1:6" ht="15" customHeight="1" x14ac:dyDescent="0.2">
      <c r="A68" s="147">
        <v>7</v>
      </c>
      <c r="B68" s="160" t="s">
        <v>203</v>
      </c>
      <c r="C68" s="157">
        <v>496838</v>
      </c>
      <c r="D68" s="157">
        <v>471109</v>
      </c>
      <c r="E68" s="157">
        <f t="shared" si="2"/>
        <v>-25729</v>
      </c>
      <c r="F68" s="161">
        <f t="shared" si="3"/>
        <v>-5.1785491447916623E-2</v>
      </c>
    </row>
    <row r="69" spans="1:6" ht="15" customHeight="1" x14ac:dyDescent="0.2">
      <c r="A69" s="147">
        <v>8</v>
      </c>
      <c r="B69" s="160" t="s">
        <v>204</v>
      </c>
      <c r="C69" s="157">
        <v>175514</v>
      </c>
      <c r="D69" s="157">
        <v>192017</v>
      </c>
      <c r="E69" s="157">
        <f t="shared" si="2"/>
        <v>16503</v>
      </c>
      <c r="F69" s="161">
        <f t="shared" si="3"/>
        <v>9.4026687329785655E-2</v>
      </c>
    </row>
    <row r="70" spans="1:6" ht="15" customHeight="1" x14ac:dyDescent="0.2">
      <c r="A70" s="147">
        <v>9</v>
      </c>
      <c r="B70" s="160" t="s">
        <v>205</v>
      </c>
      <c r="C70" s="157">
        <v>26680</v>
      </c>
      <c r="D70" s="157">
        <v>18334</v>
      </c>
      <c r="E70" s="157">
        <f t="shared" si="2"/>
        <v>-8346</v>
      </c>
      <c r="F70" s="161">
        <f t="shared" si="3"/>
        <v>-0.31281859070464768</v>
      </c>
    </row>
    <row r="71" spans="1:6" ht="15" customHeight="1" x14ac:dyDescent="0.2">
      <c r="A71" s="147">
        <v>10</v>
      </c>
      <c r="B71" s="160" t="s">
        <v>206</v>
      </c>
      <c r="C71" s="157">
        <v>2261</v>
      </c>
      <c r="D71" s="157">
        <v>1766</v>
      </c>
      <c r="E71" s="157">
        <f t="shared" si="2"/>
        <v>-495</v>
      </c>
      <c r="F71" s="161">
        <f t="shared" si="3"/>
        <v>-0.21892967713401149</v>
      </c>
    </row>
    <row r="72" spans="1:6" ht="15" customHeight="1" x14ac:dyDescent="0.2">
      <c r="A72" s="147">
        <v>11</v>
      </c>
      <c r="B72" s="160" t="s">
        <v>207</v>
      </c>
      <c r="C72" s="157">
        <v>0</v>
      </c>
      <c r="D72" s="157">
        <v>0</v>
      </c>
      <c r="E72" s="157">
        <f t="shared" si="2"/>
        <v>0</v>
      </c>
      <c r="F72" s="161">
        <f t="shared" si="3"/>
        <v>0</v>
      </c>
    </row>
    <row r="73" spans="1:6" ht="15" customHeight="1" x14ac:dyDescent="0.2">
      <c r="A73" s="147">
        <v>12</v>
      </c>
      <c r="B73" s="160" t="s">
        <v>208</v>
      </c>
      <c r="C73" s="157">
        <v>445464</v>
      </c>
      <c r="D73" s="157">
        <v>372708</v>
      </c>
      <c r="E73" s="157">
        <f t="shared" si="2"/>
        <v>-72756</v>
      </c>
      <c r="F73" s="161">
        <f t="shared" si="3"/>
        <v>-0.16332632940035557</v>
      </c>
    </row>
    <row r="74" spans="1:6" ht="15" customHeight="1" x14ac:dyDescent="0.2">
      <c r="A74" s="147">
        <v>13</v>
      </c>
      <c r="B74" s="160" t="s">
        <v>209</v>
      </c>
      <c r="C74" s="157">
        <v>34738</v>
      </c>
      <c r="D74" s="157">
        <v>36019</v>
      </c>
      <c r="E74" s="157">
        <f t="shared" si="2"/>
        <v>1281</v>
      </c>
      <c r="F74" s="161">
        <f t="shared" si="3"/>
        <v>3.6876043525821869E-2</v>
      </c>
    </row>
    <row r="75" spans="1:6" ht="15" customHeight="1" x14ac:dyDescent="0.2">
      <c r="A75" s="147">
        <v>14</v>
      </c>
      <c r="B75" s="160" t="s">
        <v>210</v>
      </c>
      <c r="C75" s="157">
        <v>107486</v>
      </c>
      <c r="D75" s="157">
        <v>91216</v>
      </c>
      <c r="E75" s="157">
        <f t="shared" si="2"/>
        <v>-16270</v>
      </c>
      <c r="F75" s="161">
        <f t="shared" si="3"/>
        <v>-0.15136855032283275</v>
      </c>
    </row>
    <row r="76" spans="1:6" ht="15" customHeight="1" x14ac:dyDescent="0.2">
      <c r="A76" s="147">
        <v>15</v>
      </c>
      <c r="B76" s="160" t="s">
        <v>211</v>
      </c>
      <c r="C76" s="157">
        <v>109814</v>
      </c>
      <c r="D76" s="157">
        <v>57412</v>
      </c>
      <c r="E76" s="157">
        <f t="shared" si="2"/>
        <v>-52402</v>
      </c>
      <c r="F76" s="161">
        <f t="shared" si="3"/>
        <v>-0.47718870089423937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670856</v>
      </c>
      <c r="D78" s="157">
        <v>220494</v>
      </c>
      <c r="E78" s="157">
        <f t="shared" si="2"/>
        <v>-450362</v>
      </c>
      <c r="F78" s="161">
        <f t="shared" si="3"/>
        <v>-0.67132439748619677</v>
      </c>
    </row>
    <row r="79" spans="1:6" ht="15" customHeight="1" x14ac:dyDescent="0.2">
      <c r="A79" s="147">
        <v>18</v>
      </c>
      <c r="B79" s="160" t="s">
        <v>214</v>
      </c>
      <c r="C79" s="157">
        <v>86730</v>
      </c>
      <c r="D79" s="157">
        <v>141943</v>
      </c>
      <c r="E79" s="157">
        <f t="shared" si="2"/>
        <v>55213</v>
      </c>
      <c r="F79" s="161">
        <f t="shared" si="3"/>
        <v>0.63660786348437681</v>
      </c>
    </row>
    <row r="80" spans="1:6" ht="15" customHeight="1" x14ac:dyDescent="0.2">
      <c r="A80" s="147">
        <v>19</v>
      </c>
      <c r="B80" s="160" t="s">
        <v>215</v>
      </c>
      <c r="C80" s="157">
        <v>237249</v>
      </c>
      <c r="D80" s="157">
        <v>302017</v>
      </c>
      <c r="E80" s="157">
        <f t="shared" si="2"/>
        <v>64768</v>
      </c>
      <c r="F80" s="161">
        <f t="shared" si="3"/>
        <v>0.2729958819636753</v>
      </c>
    </row>
    <row r="81" spans="1:6" ht="15" customHeight="1" x14ac:dyDescent="0.2">
      <c r="A81" s="147">
        <v>20</v>
      </c>
      <c r="B81" s="160" t="s">
        <v>216</v>
      </c>
      <c r="C81" s="157">
        <v>478483</v>
      </c>
      <c r="D81" s="157">
        <v>706359</v>
      </c>
      <c r="E81" s="157">
        <f t="shared" si="2"/>
        <v>227876</v>
      </c>
      <c r="F81" s="161">
        <f t="shared" si="3"/>
        <v>0.47624680500665645</v>
      </c>
    </row>
    <row r="82" spans="1:6" ht="15" customHeight="1" x14ac:dyDescent="0.2">
      <c r="A82" s="147">
        <v>21</v>
      </c>
      <c r="B82" s="160" t="s">
        <v>217</v>
      </c>
      <c r="C82" s="157">
        <v>682014</v>
      </c>
      <c r="D82" s="157">
        <v>451228</v>
      </c>
      <c r="E82" s="157">
        <f t="shared" si="2"/>
        <v>-230786</v>
      </c>
      <c r="F82" s="161">
        <f t="shared" si="3"/>
        <v>-0.33838894802745983</v>
      </c>
    </row>
    <row r="83" spans="1:6" ht="15" customHeight="1" x14ac:dyDescent="0.2">
      <c r="A83" s="147">
        <v>22</v>
      </c>
      <c r="B83" s="160" t="s">
        <v>218</v>
      </c>
      <c r="C83" s="157">
        <v>0</v>
      </c>
      <c r="D83" s="157">
        <v>25000</v>
      </c>
      <c r="E83" s="157">
        <f t="shared" si="2"/>
        <v>25000</v>
      </c>
      <c r="F83" s="161">
        <f t="shared" si="3"/>
        <v>0</v>
      </c>
    </row>
    <row r="84" spans="1:6" ht="15" customHeight="1" x14ac:dyDescent="0.2">
      <c r="A84" s="147">
        <v>23</v>
      </c>
      <c r="B84" s="160" t="s">
        <v>219</v>
      </c>
      <c r="C84" s="157">
        <v>174093</v>
      </c>
      <c r="D84" s="157">
        <v>186034</v>
      </c>
      <c r="E84" s="157">
        <f t="shared" si="2"/>
        <v>11941</v>
      </c>
      <c r="F84" s="161">
        <f t="shared" si="3"/>
        <v>6.8589776728530158E-2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200106</v>
      </c>
      <c r="D86" s="157">
        <v>165765</v>
      </c>
      <c r="E86" s="157">
        <f t="shared" si="2"/>
        <v>-34341</v>
      </c>
      <c r="F86" s="161">
        <f t="shared" si="3"/>
        <v>-0.17161404455638513</v>
      </c>
    </row>
    <row r="87" spans="1:6" ht="15" customHeight="1" x14ac:dyDescent="0.2">
      <c r="A87" s="147">
        <v>26</v>
      </c>
      <c r="B87" s="160" t="s">
        <v>222</v>
      </c>
      <c r="C87" s="157">
        <v>727770</v>
      </c>
      <c r="D87" s="157">
        <v>1546556</v>
      </c>
      <c r="E87" s="157">
        <f t="shared" si="2"/>
        <v>818786</v>
      </c>
      <c r="F87" s="161">
        <f t="shared" si="3"/>
        <v>1.125061489206755</v>
      </c>
    </row>
    <row r="88" spans="1:6" ht="15" customHeight="1" x14ac:dyDescent="0.2">
      <c r="A88" s="147">
        <v>27</v>
      </c>
      <c r="B88" s="160" t="s">
        <v>223</v>
      </c>
      <c r="C88" s="157">
        <v>2160261</v>
      </c>
      <c r="D88" s="157">
        <v>2220526</v>
      </c>
      <c r="E88" s="157">
        <f t="shared" si="2"/>
        <v>60265</v>
      </c>
      <c r="F88" s="161">
        <f t="shared" si="3"/>
        <v>2.7897092064338522E-2</v>
      </c>
    </row>
    <row r="89" spans="1:6" ht="15" customHeight="1" x14ac:dyDescent="0.2">
      <c r="A89" s="147">
        <v>28</v>
      </c>
      <c r="B89" s="160" t="s">
        <v>224</v>
      </c>
      <c r="C89" s="157">
        <v>5111236</v>
      </c>
      <c r="D89" s="157">
        <v>3507711</v>
      </c>
      <c r="E89" s="157">
        <f t="shared" si="2"/>
        <v>-1603525</v>
      </c>
      <c r="F89" s="161">
        <f t="shared" si="3"/>
        <v>-0.31372548635985503</v>
      </c>
    </row>
    <row r="90" spans="1:6" ht="15.75" customHeight="1" x14ac:dyDescent="0.25">
      <c r="A90" s="147"/>
      <c r="B90" s="162" t="s">
        <v>225</v>
      </c>
      <c r="C90" s="158">
        <f>SUM(C62:C89)</f>
        <v>17454211</v>
      </c>
      <c r="D90" s="158">
        <f>SUM(D62:D89)</f>
        <v>12514274</v>
      </c>
      <c r="E90" s="158">
        <f t="shared" si="2"/>
        <v>-4939937</v>
      </c>
      <c r="F90" s="159">
        <f t="shared" si="3"/>
        <v>-0.28302264708499286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70240063</v>
      </c>
      <c r="D95" s="158">
        <f>+D93+D90+D59+D50+D47+D44+D41+D35+D30+D24+D18</f>
        <v>66930968</v>
      </c>
      <c r="E95" s="158">
        <f>+D95-C95</f>
        <v>-3309095</v>
      </c>
      <c r="F95" s="159">
        <f>IF(C95=0,0,E95/C95)</f>
        <v>-4.7111219134299463E-2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10363995</v>
      </c>
      <c r="D103" s="157">
        <v>10943732</v>
      </c>
      <c r="E103" s="157">
        <f t="shared" ref="E103:E121" si="4">D103-C103</f>
        <v>579737</v>
      </c>
      <c r="F103" s="161">
        <f t="shared" ref="F103:F121" si="5">IF(C103=0,0,E103/C103)</f>
        <v>5.5937599352373288E-2</v>
      </c>
    </row>
    <row r="104" spans="1:6" ht="15" customHeight="1" x14ac:dyDescent="0.2">
      <c r="A104" s="147">
        <v>2</v>
      </c>
      <c r="B104" s="169" t="s">
        <v>234</v>
      </c>
      <c r="C104" s="157">
        <v>628869</v>
      </c>
      <c r="D104" s="157">
        <v>514618</v>
      </c>
      <c r="E104" s="157">
        <f t="shared" si="4"/>
        <v>-114251</v>
      </c>
      <c r="F104" s="161">
        <f t="shared" si="5"/>
        <v>-0.18167694702712331</v>
      </c>
    </row>
    <row r="105" spans="1:6" ht="15" customHeight="1" x14ac:dyDescent="0.2">
      <c r="A105" s="147">
        <v>3</v>
      </c>
      <c r="B105" s="169" t="s">
        <v>235</v>
      </c>
      <c r="C105" s="157">
        <v>1024262</v>
      </c>
      <c r="D105" s="157">
        <v>814087</v>
      </c>
      <c r="E105" s="157">
        <f t="shared" si="4"/>
        <v>-210175</v>
      </c>
      <c r="F105" s="161">
        <f t="shared" si="5"/>
        <v>-0.20519652198363308</v>
      </c>
    </row>
    <row r="106" spans="1:6" ht="15" customHeight="1" x14ac:dyDescent="0.2">
      <c r="A106" s="147">
        <v>4</v>
      </c>
      <c r="B106" s="169" t="s">
        <v>236</v>
      </c>
      <c r="C106" s="157">
        <v>802905</v>
      </c>
      <c r="D106" s="157">
        <v>920270</v>
      </c>
      <c r="E106" s="157">
        <f t="shared" si="4"/>
        <v>117365</v>
      </c>
      <c r="F106" s="161">
        <f t="shared" si="5"/>
        <v>0.14617545039575044</v>
      </c>
    </row>
    <row r="107" spans="1:6" ht="15" customHeight="1" x14ac:dyDescent="0.2">
      <c r="A107" s="147">
        <v>5</v>
      </c>
      <c r="B107" s="169" t="s">
        <v>237</v>
      </c>
      <c r="C107" s="157">
        <v>1652458</v>
      </c>
      <c r="D107" s="157">
        <v>1160679</v>
      </c>
      <c r="E107" s="157">
        <f t="shared" si="4"/>
        <v>-491779</v>
      </c>
      <c r="F107" s="161">
        <f t="shared" si="5"/>
        <v>-0.29760453820914057</v>
      </c>
    </row>
    <row r="108" spans="1:6" ht="15" customHeight="1" x14ac:dyDescent="0.2">
      <c r="A108" s="147">
        <v>6</v>
      </c>
      <c r="B108" s="169" t="s">
        <v>238</v>
      </c>
      <c r="C108" s="157">
        <v>120058</v>
      </c>
      <c r="D108" s="157">
        <v>125168</v>
      </c>
      <c r="E108" s="157">
        <f t="shared" si="4"/>
        <v>5110</v>
      </c>
      <c r="F108" s="161">
        <f t="shared" si="5"/>
        <v>4.2562761332022858E-2</v>
      </c>
    </row>
    <row r="109" spans="1:6" ht="15" customHeight="1" x14ac:dyDescent="0.2">
      <c r="A109" s="147">
        <v>7</v>
      </c>
      <c r="B109" s="169" t="s">
        <v>239</v>
      </c>
      <c r="C109" s="157">
        <v>6358239</v>
      </c>
      <c r="D109" s="157">
        <v>1251875</v>
      </c>
      <c r="E109" s="157">
        <f t="shared" si="4"/>
        <v>-5106364</v>
      </c>
      <c r="F109" s="161">
        <f t="shared" si="5"/>
        <v>-0.80310979187790832</v>
      </c>
    </row>
    <row r="110" spans="1:6" ht="15" customHeight="1" x14ac:dyDescent="0.2">
      <c r="A110" s="147">
        <v>8</v>
      </c>
      <c r="B110" s="169" t="s">
        <v>240</v>
      </c>
      <c r="C110" s="157">
        <v>65396</v>
      </c>
      <c r="D110" s="157">
        <v>49734</v>
      </c>
      <c r="E110" s="157">
        <f t="shared" si="4"/>
        <v>-15662</v>
      </c>
      <c r="F110" s="161">
        <f t="shared" si="5"/>
        <v>-0.23949477032234387</v>
      </c>
    </row>
    <row r="111" spans="1:6" ht="15" customHeight="1" x14ac:dyDescent="0.2">
      <c r="A111" s="147">
        <v>9</v>
      </c>
      <c r="B111" s="169" t="s">
        <v>241</v>
      </c>
      <c r="C111" s="157">
        <v>304713</v>
      </c>
      <c r="D111" s="157">
        <v>600650</v>
      </c>
      <c r="E111" s="157">
        <f t="shared" si="4"/>
        <v>295937</v>
      </c>
      <c r="F111" s="161">
        <f t="shared" si="5"/>
        <v>0.971199128360129</v>
      </c>
    </row>
    <row r="112" spans="1:6" ht="15" customHeight="1" x14ac:dyDescent="0.2">
      <c r="A112" s="147">
        <v>10</v>
      </c>
      <c r="B112" s="169" t="s">
        <v>242</v>
      </c>
      <c r="C112" s="157">
        <v>998552</v>
      </c>
      <c r="D112" s="157">
        <v>1012451</v>
      </c>
      <c r="E112" s="157">
        <f t="shared" si="4"/>
        <v>13899</v>
      </c>
      <c r="F112" s="161">
        <f t="shared" si="5"/>
        <v>1.3919154936347832E-2</v>
      </c>
    </row>
    <row r="113" spans="1:6" ht="15" customHeight="1" x14ac:dyDescent="0.2">
      <c r="A113" s="147">
        <v>11</v>
      </c>
      <c r="B113" s="169" t="s">
        <v>243</v>
      </c>
      <c r="C113" s="157">
        <v>764911</v>
      </c>
      <c r="D113" s="157">
        <v>741192</v>
      </c>
      <c r="E113" s="157">
        <f t="shared" si="4"/>
        <v>-23719</v>
      </c>
      <c r="F113" s="161">
        <f t="shared" si="5"/>
        <v>-3.100883632213421E-2</v>
      </c>
    </row>
    <row r="114" spans="1:6" ht="15" customHeight="1" x14ac:dyDescent="0.2">
      <c r="A114" s="147">
        <v>12</v>
      </c>
      <c r="B114" s="169" t="s">
        <v>244</v>
      </c>
      <c r="C114" s="157">
        <v>176177</v>
      </c>
      <c r="D114" s="157">
        <v>186034</v>
      </c>
      <c r="E114" s="157">
        <f t="shared" si="4"/>
        <v>9857</v>
      </c>
      <c r="F114" s="161">
        <f t="shared" si="5"/>
        <v>5.5949414509271926E-2</v>
      </c>
    </row>
    <row r="115" spans="1:6" ht="15" customHeight="1" x14ac:dyDescent="0.2">
      <c r="A115" s="147">
        <v>13</v>
      </c>
      <c r="B115" s="169" t="s">
        <v>245</v>
      </c>
      <c r="C115" s="157">
        <v>1736946</v>
      </c>
      <c r="D115" s="157">
        <v>1591300</v>
      </c>
      <c r="E115" s="157">
        <f t="shared" si="4"/>
        <v>-145646</v>
      </c>
      <c r="F115" s="161">
        <f t="shared" si="5"/>
        <v>-8.3851772018243509E-2</v>
      </c>
    </row>
    <row r="116" spans="1:6" ht="15" customHeight="1" x14ac:dyDescent="0.2">
      <c r="A116" s="147">
        <v>14</v>
      </c>
      <c r="B116" s="169" t="s">
        <v>246</v>
      </c>
      <c r="C116" s="157">
        <v>207118</v>
      </c>
      <c r="D116" s="157">
        <v>216586</v>
      </c>
      <c r="E116" s="157">
        <f t="shared" si="4"/>
        <v>9468</v>
      </c>
      <c r="F116" s="161">
        <f t="shared" si="5"/>
        <v>4.5713071775509616E-2</v>
      </c>
    </row>
    <row r="117" spans="1:6" ht="15" customHeight="1" x14ac:dyDescent="0.2">
      <c r="A117" s="147">
        <v>15</v>
      </c>
      <c r="B117" s="169" t="s">
        <v>203</v>
      </c>
      <c r="C117" s="157">
        <v>1253439</v>
      </c>
      <c r="D117" s="157">
        <v>1424205</v>
      </c>
      <c r="E117" s="157">
        <f t="shared" si="4"/>
        <v>170766</v>
      </c>
      <c r="F117" s="161">
        <f t="shared" si="5"/>
        <v>0.13623798206374621</v>
      </c>
    </row>
    <row r="118" spans="1:6" ht="15" customHeight="1" x14ac:dyDescent="0.2">
      <c r="A118" s="147">
        <v>16</v>
      </c>
      <c r="B118" s="169" t="s">
        <v>247</v>
      </c>
      <c r="C118" s="157">
        <v>208842</v>
      </c>
      <c r="D118" s="157">
        <v>204132</v>
      </c>
      <c r="E118" s="157">
        <f t="shared" si="4"/>
        <v>-4710</v>
      </c>
      <c r="F118" s="161">
        <f t="shared" si="5"/>
        <v>-2.2552934754503404E-2</v>
      </c>
    </row>
    <row r="119" spans="1:6" ht="15" customHeight="1" x14ac:dyDescent="0.2">
      <c r="A119" s="147">
        <v>17</v>
      </c>
      <c r="B119" s="169" t="s">
        <v>248</v>
      </c>
      <c r="C119" s="157">
        <v>7546779</v>
      </c>
      <c r="D119" s="157">
        <v>7560889</v>
      </c>
      <c r="E119" s="157">
        <f t="shared" si="4"/>
        <v>14110</v>
      </c>
      <c r="F119" s="161">
        <f t="shared" si="5"/>
        <v>1.8696718162808266E-3</v>
      </c>
    </row>
    <row r="120" spans="1:6" ht="15" customHeight="1" x14ac:dyDescent="0.2">
      <c r="A120" s="147">
        <v>18</v>
      </c>
      <c r="B120" s="169" t="s">
        <v>249</v>
      </c>
      <c r="C120" s="157">
        <v>3843312</v>
      </c>
      <c r="D120" s="157">
        <v>4307968</v>
      </c>
      <c r="E120" s="157">
        <f t="shared" si="4"/>
        <v>464656</v>
      </c>
      <c r="F120" s="161">
        <f t="shared" si="5"/>
        <v>0.12089989051110084</v>
      </c>
    </row>
    <row r="121" spans="1:6" ht="15.75" customHeight="1" x14ac:dyDescent="0.25">
      <c r="A121" s="147"/>
      <c r="B121" s="165" t="s">
        <v>250</v>
      </c>
      <c r="C121" s="158">
        <f>SUM(C103:C120)</f>
        <v>38056971</v>
      </c>
      <c r="D121" s="158">
        <f>SUM(D103:D120)</f>
        <v>33625570</v>
      </c>
      <c r="E121" s="158">
        <f t="shared" si="4"/>
        <v>-4431401</v>
      </c>
      <c r="F121" s="159">
        <f t="shared" si="5"/>
        <v>-0.11644124278834488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1292204</v>
      </c>
      <c r="D124" s="157">
        <v>3086332</v>
      </c>
      <c r="E124" s="157">
        <f t="shared" ref="E124:E130" si="6">D124-C124</f>
        <v>1794128</v>
      </c>
      <c r="F124" s="161">
        <f t="shared" ref="F124:F130" si="7">IF(C124=0,0,E124/C124)</f>
        <v>1.388424737889683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750074</v>
      </c>
      <c r="D126" s="157">
        <v>1313981</v>
      </c>
      <c r="E126" s="157">
        <f t="shared" si="6"/>
        <v>563907</v>
      </c>
      <c r="F126" s="161">
        <f t="shared" si="7"/>
        <v>0.75180182222020764</v>
      </c>
    </row>
    <row r="127" spans="1:6" ht="15" customHeight="1" x14ac:dyDescent="0.2">
      <c r="A127" s="147">
        <v>4</v>
      </c>
      <c r="B127" s="169" t="s">
        <v>255</v>
      </c>
      <c r="C127" s="157">
        <v>928439</v>
      </c>
      <c r="D127" s="157">
        <v>610739</v>
      </c>
      <c r="E127" s="157">
        <f t="shared" si="6"/>
        <v>-317700</v>
      </c>
      <c r="F127" s="161">
        <f t="shared" si="7"/>
        <v>-0.34218726270654293</v>
      </c>
    </row>
    <row r="128" spans="1:6" ht="15" customHeight="1" x14ac:dyDescent="0.2">
      <c r="A128" s="147">
        <v>5</v>
      </c>
      <c r="B128" s="169" t="s">
        <v>256</v>
      </c>
      <c r="C128" s="157">
        <v>0</v>
      </c>
      <c r="D128" s="157">
        <v>476908</v>
      </c>
      <c r="E128" s="157">
        <f t="shared" si="6"/>
        <v>476908</v>
      </c>
      <c r="F128" s="161">
        <f t="shared" si="7"/>
        <v>0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2970717</v>
      </c>
      <c r="D130" s="158">
        <f>SUM(D124:D129)</f>
        <v>5487960</v>
      </c>
      <c r="E130" s="158">
        <f t="shared" si="6"/>
        <v>2517243</v>
      </c>
      <c r="F130" s="159">
        <f t="shared" si="7"/>
        <v>0.84735200290030988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1980520</v>
      </c>
      <c r="D133" s="157">
        <v>1562776</v>
      </c>
      <c r="E133" s="157">
        <f t="shared" ref="E133:E167" si="8">D133-C133</f>
        <v>-417744</v>
      </c>
      <c r="F133" s="161">
        <f t="shared" ref="F133:F167" si="9">IF(C133=0,0,E133/C133)</f>
        <v>-0.21092642336356107</v>
      </c>
    </row>
    <row r="134" spans="1:6" ht="15" customHeight="1" x14ac:dyDescent="0.2">
      <c r="A134" s="147">
        <v>2</v>
      </c>
      <c r="B134" s="169" t="s">
        <v>261</v>
      </c>
      <c r="C134" s="157">
        <v>289245</v>
      </c>
      <c r="D134" s="157">
        <v>318060</v>
      </c>
      <c r="E134" s="157">
        <f t="shared" si="8"/>
        <v>28815</v>
      </c>
      <c r="F134" s="161">
        <f t="shared" si="9"/>
        <v>9.9621428201006071E-2</v>
      </c>
    </row>
    <row r="135" spans="1:6" ht="15" customHeight="1" x14ac:dyDescent="0.2">
      <c r="A135" s="147">
        <v>3</v>
      </c>
      <c r="B135" s="169" t="s">
        <v>262</v>
      </c>
      <c r="C135" s="157">
        <v>544823</v>
      </c>
      <c r="D135" s="157">
        <v>79532</v>
      </c>
      <c r="E135" s="157">
        <f t="shared" si="8"/>
        <v>-465291</v>
      </c>
      <c r="F135" s="161">
        <f t="shared" si="9"/>
        <v>-0.85402231550430141</v>
      </c>
    </row>
    <row r="136" spans="1:6" ht="15" customHeight="1" x14ac:dyDescent="0.2">
      <c r="A136" s="147">
        <v>4</v>
      </c>
      <c r="B136" s="169" t="s">
        <v>263</v>
      </c>
      <c r="C136" s="157">
        <v>0</v>
      </c>
      <c r="D136" s="157">
        <v>0</v>
      </c>
      <c r="E136" s="157">
        <f t="shared" si="8"/>
        <v>0</v>
      </c>
      <c r="F136" s="161">
        <f t="shared" si="9"/>
        <v>0</v>
      </c>
    </row>
    <row r="137" spans="1:6" ht="15" customHeight="1" x14ac:dyDescent="0.2">
      <c r="A137" s="147">
        <v>5</v>
      </c>
      <c r="B137" s="169" t="s">
        <v>264</v>
      </c>
      <c r="C137" s="157">
        <v>1804224</v>
      </c>
      <c r="D137" s="157">
        <v>1722720</v>
      </c>
      <c r="E137" s="157">
        <f t="shared" si="8"/>
        <v>-81504</v>
      </c>
      <c r="F137" s="161">
        <f t="shared" si="9"/>
        <v>-4.5173991699478555E-2</v>
      </c>
    </row>
    <row r="138" spans="1:6" ht="15" customHeight="1" x14ac:dyDescent="0.2">
      <c r="A138" s="147">
        <v>6</v>
      </c>
      <c r="B138" s="169" t="s">
        <v>265</v>
      </c>
      <c r="C138" s="157">
        <v>298225</v>
      </c>
      <c r="D138" s="157">
        <v>278545</v>
      </c>
      <c r="E138" s="157">
        <f t="shared" si="8"/>
        <v>-19680</v>
      </c>
      <c r="F138" s="161">
        <f t="shared" si="9"/>
        <v>-6.5990443457121295E-2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395264</v>
      </c>
      <c r="D140" s="157">
        <v>251609</v>
      </c>
      <c r="E140" s="157">
        <f t="shared" si="8"/>
        <v>-143655</v>
      </c>
      <c r="F140" s="161">
        <f t="shared" si="9"/>
        <v>-0.36344063714378239</v>
      </c>
    </row>
    <row r="141" spans="1:6" ht="15" customHeight="1" x14ac:dyDescent="0.2">
      <c r="A141" s="147">
        <v>9</v>
      </c>
      <c r="B141" s="169" t="s">
        <v>268</v>
      </c>
      <c r="C141" s="157">
        <v>439767</v>
      </c>
      <c r="D141" s="157">
        <v>287620</v>
      </c>
      <c r="E141" s="157">
        <f t="shared" si="8"/>
        <v>-152147</v>
      </c>
      <c r="F141" s="161">
        <f t="shared" si="9"/>
        <v>-0.3459718441811232</v>
      </c>
    </row>
    <row r="142" spans="1:6" ht="15" customHeight="1" x14ac:dyDescent="0.2">
      <c r="A142" s="147">
        <v>10</v>
      </c>
      <c r="B142" s="169" t="s">
        <v>269</v>
      </c>
      <c r="C142" s="157">
        <v>3723481</v>
      </c>
      <c r="D142" s="157">
        <v>3899525</v>
      </c>
      <c r="E142" s="157">
        <f t="shared" si="8"/>
        <v>176044</v>
      </c>
      <c r="F142" s="161">
        <f t="shared" si="9"/>
        <v>4.7279414075162465E-2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361747</v>
      </c>
      <c r="D144" s="157">
        <v>365727</v>
      </c>
      <c r="E144" s="157">
        <f t="shared" si="8"/>
        <v>3980</v>
      </c>
      <c r="F144" s="161">
        <f t="shared" si="9"/>
        <v>1.1002164496181032E-2</v>
      </c>
    </row>
    <row r="145" spans="1:6" ht="15" customHeight="1" x14ac:dyDescent="0.2">
      <c r="A145" s="147">
        <v>13</v>
      </c>
      <c r="B145" s="169" t="s">
        <v>272</v>
      </c>
      <c r="C145" s="157">
        <v>51013</v>
      </c>
      <c r="D145" s="157">
        <v>54307</v>
      </c>
      <c r="E145" s="157">
        <f t="shared" si="8"/>
        <v>3294</v>
      </c>
      <c r="F145" s="161">
        <f t="shared" si="9"/>
        <v>6.4571775821849337E-2</v>
      </c>
    </row>
    <row r="146" spans="1:6" ht="15" customHeight="1" x14ac:dyDescent="0.2">
      <c r="A146" s="147">
        <v>14</v>
      </c>
      <c r="B146" s="169" t="s">
        <v>273</v>
      </c>
      <c r="C146" s="157">
        <v>19448</v>
      </c>
      <c r="D146" s="157">
        <v>13224</v>
      </c>
      <c r="E146" s="157">
        <f t="shared" si="8"/>
        <v>-6224</v>
      </c>
      <c r="F146" s="161">
        <f t="shared" si="9"/>
        <v>-0.32003290826820241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751524</v>
      </c>
      <c r="D150" s="157">
        <v>785965</v>
      </c>
      <c r="E150" s="157">
        <f t="shared" si="8"/>
        <v>34441</v>
      </c>
      <c r="F150" s="161">
        <f t="shared" si="9"/>
        <v>4.5828210409780662E-2</v>
      </c>
    </row>
    <row r="151" spans="1:6" ht="15" customHeight="1" x14ac:dyDescent="0.2">
      <c r="A151" s="147">
        <v>19</v>
      </c>
      <c r="B151" s="169" t="s">
        <v>278</v>
      </c>
      <c r="C151" s="157">
        <v>297637</v>
      </c>
      <c r="D151" s="157">
        <v>274688</v>
      </c>
      <c r="E151" s="157">
        <f t="shared" si="8"/>
        <v>-22949</v>
      </c>
      <c r="F151" s="161">
        <f t="shared" si="9"/>
        <v>-7.7103989087378255E-2</v>
      </c>
    </row>
    <row r="152" spans="1:6" ht="15" customHeight="1" x14ac:dyDescent="0.2">
      <c r="A152" s="147">
        <v>20</v>
      </c>
      <c r="B152" s="169" t="s">
        <v>279</v>
      </c>
      <c r="C152" s="157">
        <v>176380</v>
      </c>
      <c r="D152" s="157">
        <v>80677</v>
      </c>
      <c r="E152" s="157">
        <f t="shared" si="8"/>
        <v>-95703</v>
      </c>
      <c r="F152" s="161">
        <f t="shared" si="9"/>
        <v>-0.54259553237328495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312714</v>
      </c>
      <c r="D154" s="157">
        <v>383549</v>
      </c>
      <c r="E154" s="157">
        <f t="shared" si="8"/>
        <v>70835</v>
      </c>
      <c r="F154" s="161">
        <f t="shared" si="9"/>
        <v>0.22651688123972705</v>
      </c>
    </row>
    <row r="155" spans="1:6" ht="15" customHeight="1" x14ac:dyDescent="0.2">
      <c r="A155" s="147">
        <v>23</v>
      </c>
      <c r="B155" s="169" t="s">
        <v>282</v>
      </c>
      <c r="C155" s="157">
        <v>59307</v>
      </c>
      <c r="D155" s="157">
        <v>54838</v>
      </c>
      <c r="E155" s="157">
        <f t="shared" si="8"/>
        <v>-4469</v>
      </c>
      <c r="F155" s="161">
        <f t="shared" si="9"/>
        <v>-7.5353668201055518E-2</v>
      </c>
    </row>
    <row r="156" spans="1:6" ht="15" customHeight="1" x14ac:dyDescent="0.2">
      <c r="A156" s="147">
        <v>24</v>
      </c>
      <c r="B156" s="169" t="s">
        <v>283</v>
      </c>
      <c r="C156" s="157">
        <v>2820754</v>
      </c>
      <c r="D156" s="157">
        <v>2652243</v>
      </c>
      <c r="E156" s="157">
        <f t="shared" si="8"/>
        <v>-168511</v>
      </c>
      <c r="F156" s="161">
        <f t="shared" si="9"/>
        <v>-5.9739700803402213E-2</v>
      </c>
    </row>
    <row r="157" spans="1:6" ht="15" customHeight="1" x14ac:dyDescent="0.2">
      <c r="A157" s="147">
        <v>25</v>
      </c>
      <c r="B157" s="169" t="s">
        <v>284</v>
      </c>
      <c r="C157" s="157">
        <v>756851</v>
      </c>
      <c r="D157" s="157">
        <v>650465</v>
      </c>
      <c r="E157" s="157">
        <f t="shared" si="8"/>
        <v>-106386</v>
      </c>
      <c r="F157" s="161">
        <f t="shared" si="9"/>
        <v>-0.14056399476250939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0</v>
      </c>
      <c r="D160" s="157">
        <v>219761</v>
      </c>
      <c r="E160" s="157">
        <f t="shared" si="8"/>
        <v>219761</v>
      </c>
      <c r="F160" s="161">
        <f t="shared" si="9"/>
        <v>0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328469</v>
      </c>
      <c r="E163" s="157">
        <f t="shared" si="8"/>
        <v>328469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792202</v>
      </c>
      <c r="D164" s="157">
        <v>804878</v>
      </c>
      <c r="E164" s="157">
        <f t="shared" si="8"/>
        <v>12676</v>
      </c>
      <c r="F164" s="161">
        <f t="shared" si="9"/>
        <v>1.6000969449711057E-2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2637109</v>
      </c>
      <c r="D166" s="157">
        <v>1933843</v>
      </c>
      <c r="E166" s="157">
        <f t="shared" si="8"/>
        <v>-703266</v>
      </c>
      <c r="F166" s="161">
        <f t="shared" si="9"/>
        <v>-0.26668067190245076</v>
      </c>
    </row>
    <row r="167" spans="1:6" ht="15.75" customHeight="1" x14ac:dyDescent="0.25">
      <c r="A167" s="147"/>
      <c r="B167" s="165" t="s">
        <v>294</v>
      </c>
      <c r="C167" s="158">
        <f>SUM(C133:C166)</f>
        <v>18512235</v>
      </c>
      <c r="D167" s="158">
        <f>SUM(D133:D166)</f>
        <v>17003021</v>
      </c>
      <c r="E167" s="158">
        <f t="shared" si="8"/>
        <v>-1509214</v>
      </c>
      <c r="F167" s="159">
        <f t="shared" si="9"/>
        <v>-8.1525218321828782E-2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3526977</v>
      </c>
      <c r="D170" s="157">
        <v>3414269</v>
      </c>
      <c r="E170" s="157">
        <f t="shared" ref="E170:E183" si="10">D170-C170</f>
        <v>-112708</v>
      </c>
      <c r="F170" s="161">
        <f t="shared" ref="F170:F183" si="11">IF(C170=0,0,E170/C170)</f>
        <v>-3.195597816487037E-2</v>
      </c>
    </row>
    <row r="171" spans="1:6" ht="15" customHeight="1" x14ac:dyDescent="0.2">
      <c r="A171" s="147">
        <v>2</v>
      </c>
      <c r="B171" s="169" t="s">
        <v>297</v>
      </c>
      <c r="C171" s="157">
        <v>1385381</v>
      </c>
      <c r="D171" s="157">
        <v>1474312</v>
      </c>
      <c r="E171" s="157">
        <f t="shared" si="10"/>
        <v>88931</v>
      </c>
      <c r="F171" s="161">
        <f t="shared" si="11"/>
        <v>6.4192449586070552E-2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2079092</v>
      </c>
      <c r="D173" s="157">
        <v>2276714</v>
      </c>
      <c r="E173" s="157">
        <f t="shared" si="10"/>
        <v>197622</v>
      </c>
      <c r="F173" s="161">
        <f t="shared" si="11"/>
        <v>9.5052070807833414E-2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1099133</v>
      </c>
      <c r="D175" s="157">
        <v>1075679</v>
      </c>
      <c r="E175" s="157">
        <f t="shared" si="10"/>
        <v>-23454</v>
      </c>
      <c r="F175" s="161">
        <f t="shared" si="11"/>
        <v>-2.1338636907453419E-2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19738</v>
      </c>
      <c r="E176" s="157">
        <f t="shared" si="10"/>
        <v>19738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2609557</v>
      </c>
      <c r="D179" s="157">
        <v>2553705</v>
      </c>
      <c r="E179" s="157">
        <f t="shared" si="10"/>
        <v>-55852</v>
      </c>
      <c r="F179" s="161">
        <f t="shared" si="11"/>
        <v>-2.1402866463541514E-2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10700140</v>
      </c>
      <c r="D183" s="158">
        <f>SUM(D170:D182)</f>
        <v>10814417</v>
      </c>
      <c r="E183" s="158">
        <f t="shared" si="10"/>
        <v>114277</v>
      </c>
      <c r="F183" s="159">
        <f t="shared" si="11"/>
        <v>1.0679953720231698E-2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70240063</v>
      </c>
      <c r="D188" s="158">
        <f>+D186+D183+D167+D130+D121</f>
        <v>66930968</v>
      </c>
      <c r="E188" s="158">
        <f>D188-C188</f>
        <v>-3309095</v>
      </c>
      <c r="F188" s="159">
        <f>IF(C188=0,0,E188/C188)</f>
        <v>-4.7111219134299463E-2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75" bottom="0.75" header="0.3" footer="0.3"/>
  <pageSetup scale="74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M25" sqref="M25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66648825</v>
      </c>
      <c r="D11" s="183">
        <v>65387734</v>
      </c>
      <c r="E11" s="76">
        <v>59116648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650812</v>
      </c>
      <c r="D12" s="185">
        <v>614715</v>
      </c>
      <c r="E12" s="185">
        <v>2744640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67299637</v>
      </c>
      <c r="D13" s="76">
        <f>+D11+D12</f>
        <v>66002449</v>
      </c>
      <c r="E13" s="76">
        <f>+E11+E12</f>
        <v>61861288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66456723</v>
      </c>
      <c r="D14" s="185">
        <v>70240063</v>
      </c>
      <c r="E14" s="185">
        <v>66930968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842914</v>
      </c>
      <c r="D15" s="76">
        <f>+D13-D14</f>
        <v>-4237614</v>
      </c>
      <c r="E15" s="76">
        <f>+E13-E14</f>
        <v>-5069680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361403</v>
      </c>
      <c r="D16" s="185">
        <v>228556</v>
      </c>
      <c r="E16" s="185">
        <v>-813340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1204317</v>
      </c>
      <c r="D17" s="76">
        <f>D15+D16</f>
        <v>-4009058</v>
      </c>
      <c r="E17" s="76">
        <f>E15+E16</f>
        <v>-5883020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1.2457893050417198E-2</v>
      </c>
      <c r="D20" s="189">
        <f>IF(+D27=0,0,+D24/+D27)</f>
        <v>-6.3982329726085238E-2</v>
      </c>
      <c r="E20" s="189">
        <f>IF(+E27=0,0,+E24/+E27)</f>
        <v>-8.3044232707051843E-2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5.3413751843010395E-3</v>
      </c>
      <c r="D21" s="189">
        <f>IF(D27=0,0,+D26/D27)</f>
        <v>3.4508913159327719E-3</v>
      </c>
      <c r="E21" s="189">
        <f>IF(E27=0,0,+E26/E27)</f>
        <v>-1.3322970331451599E-2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1.7799268234718238E-2</v>
      </c>
      <c r="D22" s="189">
        <f>IF(D27=0,0,+D28/D27)</f>
        <v>-6.0531438410152467E-2</v>
      </c>
      <c r="E22" s="189">
        <f>IF(E27=0,0,+E28/E27)</f>
        <v>-9.6367203038503435E-2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842914</v>
      </c>
      <c r="D24" s="76">
        <f>+D15</f>
        <v>-4237614</v>
      </c>
      <c r="E24" s="76">
        <f>+E15</f>
        <v>-5069680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67299637</v>
      </c>
      <c r="D25" s="76">
        <f>+D13</f>
        <v>66002449</v>
      </c>
      <c r="E25" s="76">
        <f>+E13</f>
        <v>61861288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361403</v>
      </c>
      <c r="D26" s="76">
        <f>+D16</f>
        <v>228556</v>
      </c>
      <c r="E26" s="76">
        <f>+E16</f>
        <v>-813340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67661040</v>
      </c>
      <c r="D27" s="76">
        <f>+D25+D26</f>
        <v>66231005</v>
      </c>
      <c r="E27" s="76">
        <f>+E25+E26</f>
        <v>61047948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1204317</v>
      </c>
      <c r="D28" s="76">
        <f>+D17</f>
        <v>-4009058</v>
      </c>
      <c r="E28" s="76">
        <f>+E17</f>
        <v>-5883020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3321184</v>
      </c>
      <c r="D31" s="76">
        <v>-498600</v>
      </c>
      <c r="E31" s="76">
        <v>-6168689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8290975</v>
      </c>
      <c r="D32" s="76">
        <v>4242424</v>
      </c>
      <c r="E32" s="76">
        <v>-5626216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1379161</v>
      </c>
      <c r="D33" s="76">
        <f>+D32-C32</f>
        <v>-4048551</v>
      </c>
      <c r="E33" s="76">
        <f>+E32-D32</f>
        <v>-9868640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1.1995</v>
      </c>
      <c r="D34" s="193">
        <f>IF(C32=0,0,+D33/C32)</f>
        <v>-0.48830819053247659</v>
      </c>
      <c r="E34" s="193">
        <f>IF(D32=0,0,+E33/D32)</f>
        <v>-2.3261795614959748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0.38846739163696486</v>
      </c>
      <c r="D38" s="195">
        <f>IF((D40+D41)=0,0,+D39/(D40+D41))</f>
        <v>0.40858594783556934</v>
      </c>
      <c r="E38" s="195">
        <f>IF((E40+E41)=0,0,+E39/(E40+E41))</f>
        <v>0.39193518327890142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66456723</v>
      </c>
      <c r="D39" s="76">
        <v>70240063</v>
      </c>
      <c r="E39" s="196">
        <v>66930968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170600762</v>
      </c>
      <c r="D40" s="76">
        <v>171319319</v>
      </c>
      <c r="E40" s="196">
        <v>168025862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473373</v>
      </c>
      <c r="D41" s="76">
        <v>590810</v>
      </c>
      <c r="E41" s="196">
        <v>2744640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1.4372511733679871</v>
      </c>
      <c r="D43" s="197">
        <f>IF(D38=0,0,IF((D46-D47)=0,0,((+D44-D45)/(D46-D47)/D38)))</f>
        <v>1.4186562761093842</v>
      </c>
      <c r="E43" s="197">
        <f>IF(E38=0,0,IF((E46-E47)=0,0,((+E44-E45)/(E46-E47)/E38)))</f>
        <v>1.4430449088046569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32000079</v>
      </c>
      <c r="D44" s="76">
        <v>33140424</v>
      </c>
      <c r="E44" s="196">
        <v>29917493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290267</v>
      </c>
      <c r="D45" s="76">
        <v>125849</v>
      </c>
      <c r="E45" s="196">
        <v>232303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59307952</v>
      </c>
      <c r="D46" s="76">
        <v>59121133</v>
      </c>
      <c r="E46" s="196">
        <v>54728784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2513433</v>
      </c>
      <c r="D47" s="76">
        <v>2164396</v>
      </c>
      <c r="E47" s="76">
        <v>2242511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0.80327198976758829</v>
      </c>
      <c r="D49" s="198">
        <f>IF(D38=0,0,IF(D51=0,0,(D50/D51)/D38))</f>
        <v>0.71629162484719577</v>
      </c>
      <c r="E49" s="198">
        <f>IF(E38=0,0,IF(E51=0,0,(E50/E51)/E38))</f>
        <v>0.69618669911006492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24671781</v>
      </c>
      <c r="D50" s="199">
        <v>23021690</v>
      </c>
      <c r="E50" s="199">
        <v>21899766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79064824</v>
      </c>
      <c r="D51" s="199">
        <v>78661804</v>
      </c>
      <c r="E51" s="199">
        <v>80260064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0.79356982087102712</v>
      </c>
      <c r="D53" s="198">
        <f>IF(D38=0,0,IF(D55=0,0,(D54/D55)/D38))</f>
        <v>0.66393710337041978</v>
      </c>
      <c r="E53" s="198">
        <f>IF(E38=0,0,IF(E55=0,0,(E54/E55)/E38))</f>
        <v>0.56326352464594531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9637836</v>
      </c>
      <c r="D54" s="199">
        <v>8694986</v>
      </c>
      <c r="E54" s="199">
        <v>7171108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31263660</v>
      </c>
      <c r="D55" s="199">
        <v>32052250</v>
      </c>
      <c r="E55" s="199">
        <v>32483318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1750687.7359229026</v>
      </c>
      <c r="D57" s="88">
        <f>+D60*D38</f>
        <v>1362653.3395711721</v>
      </c>
      <c r="E57" s="88">
        <f>+E60*E38</f>
        <v>837943.31218369317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387404</v>
      </c>
      <c r="D58" s="199">
        <v>221047</v>
      </c>
      <c r="E58" s="199">
        <v>160881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4119249</v>
      </c>
      <c r="D59" s="199">
        <v>3114000</v>
      </c>
      <c r="E59" s="199">
        <v>1977083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4506653</v>
      </c>
      <c r="D60" s="76">
        <v>3335047</v>
      </c>
      <c r="E60" s="201">
        <v>2137964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2.6343275095326361E-2</v>
      </c>
      <c r="D62" s="202">
        <f>IF(D63=0,0,+D57/D63)</f>
        <v>1.9399944723443259E-2</v>
      </c>
      <c r="E62" s="202">
        <f>IF(E63=0,0,+E57/E63)</f>
        <v>1.2519515811928689E-2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66456723</v>
      </c>
      <c r="D63" s="199">
        <v>70240063</v>
      </c>
      <c r="E63" s="199">
        <v>66930968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0.44367606375174112</v>
      </c>
      <c r="D67" s="203">
        <f>IF(D69=0,0,D68/D69)</f>
        <v>0.40526165676017933</v>
      </c>
      <c r="E67" s="203">
        <f>IF(E69=0,0,E68/E69)</f>
        <v>0.75880132633971642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12570047</v>
      </c>
      <c r="D68" s="204">
        <v>14564184</v>
      </c>
      <c r="E68" s="204">
        <v>24285721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28331587</v>
      </c>
      <c r="D69" s="204">
        <v>35937730</v>
      </c>
      <c r="E69" s="204">
        <v>32005375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2.5306768913019182</v>
      </c>
      <c r="D71" s="203">
        <f>IF((D77/365)=0,0,+D74/(D77/365))</f>
        <v>8.9381557579351938</v>
      </c>
      <c r="E71" s="203">
        <f>IF((E77/365)=0,0,+E74/(E77/365))</f>
        <v>6.5880433928605342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444722</v>
      </c>
      <c r="D72" s="183">
        <v>1675853</v>
      </c>
      <c r="E72" s="183">
        <v>85944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1067756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444722</v>
      </c>
      <c r="D74" s="204">
        <f>+D72+D73</f>
        <v>1675853</v>
      </c>
      <c r="E74" s="204">
        <f>+E72+E73</f>
        <v>1153700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66456723</v>
      </c>
      <c r="D75" s="204">
        <f>+D14</f>
        <v>70240063</v>
      </c>
      <c r="E75" s="204">
        <f>+E14</f>
        <v>66930968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2314386</v>
      </c>
      <c r="D76" s="204">
        <v>1804654</v>
      </c>
      <c r="E76" s="204">
        <v>3012066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64142337</v>
      </c>
      <c r="D77" s="204">
        <f>+D75-D76</f>
        <v>68435409</v>
      </c>
      <c r="E77" s="204">
        <f>+E75-E76</f>
        <v>63918902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32.420501336670227</v>
      </c>
      <c r="D79" s="203">
        <f>IF((D84/365)=0,0,+D83/(D84/365))</f>
        <v>40.986895799141777</v>
      </c>
      <c r="E79" s="203">
        <f>IF((E84/365)=0,0,+E83/(E84/365))</f>
        <v>102.32480941747576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8595481</v>
      </c>
      <c r="D80" s="212">
        <v>9554938</v>
      </c>
      <c r="E80" s="212">
        <v>17416699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2675513</v>
      </c>
      <c r="D82" s="212">
        <v>2212362</v>
      </c>
      <c r="E82" s="212">
        <v>843823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5919968</v>
      </c>
      <c r="D83" s="212">
        <f>+D80+D81-D82</f>
        <v>7342576</v>
      </c>
      <c r="E83" s="212">
        <f>+E80+E81-E82</f>
        <v>16572876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66648825</v>
      </c>
      <c r="D84" s="204">
        <f>+D11</f>
        <v>65387734</v>
      </c>
      <c r="E84" s="204">
        <f>+E11</f>
        <v>59116648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161.22002625192781</v>
      </c>
      <c r="D86" s="203">
        <f>IF((D90/365)=0,0,+D87/(D90/365))</f>
        <v>191.67374962280124</v>
      </c>
      <c r="E86" s="203">
        <f>IF((E90/365)=0,0,+E87/(E90/365))</f>
        <v>182.76224261486846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28331587</v>
      </c>
      <c r="D87" s="76">
        <f>+D69</f>
        <v>35937730</v>
      </c>
      <c r="E87" s="76">
        <f>+E69</f>
        <v>32005375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66456723</v>
      </c>
      <c r="D88" s="76">
        <f t="shared" si="0"/>
        <v>70240063</v>
      </c>
      <c r="E88" s="76">
        <f t="shared" si="0"/>
        <v>66930968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2314386</v>
      </c>
      <c r="D89" s="201">
        <f t="shared" si="0"/>
        <v>1804654</v>
      </c>
      <c r="E89" s="201">
        <f t="shared" si="0"/>
        <v>3012066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64142337</v>
      </c>
      <c r="D90" s="76">
        <f>+D88-D89</f>
        <v>68435409</v>
      </c>
      <c r="E90" s="76">
        <f>+E88-E89</f>
        <v>63918902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18.220427400080457</v>
      </c>
      <c r="D94" s="214">
        <f>IF(D96=0,0,(D95/D96)*100)</f>
        <v>8.1294862082256927</v>
      </c>
      <c r="E94" s="214">
        <f>IF(E96=0,0,(E95/E96)*100)</f>
        <v>-11.345030135969786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8290975</v>
      </c>
      <c r="D95" s="76">
        <f>+D32</f>
        <v>4242424</v>
      </c>
      <c r="E95" s="76">
        <f>+E32</f>
        <v>-5626216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45503735</v>
      </c>
      <c r="D96" s="76">
        <v>52185635</v>
      </c>
      <c r="E96" s="76">
        <v>49591900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12.419717257631914</v>
      </c>
      <c r="D98" s="214">
        <f>IF(D104=0,0,(D101/D104)*100)</f>
        <v>-5.4416578393759512</v>
      </c>
      <c r="E98" s="214">
        <f>IF(E104=0,0,(E101/E104)*100)</f>
        <v>-7.8931339961106097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1204317</v>
      </c>
      <c r="D99" s="76">
        <f>+D28</f>
        <v>-4009058</v>
      </c>
      <c r="E99" s="76">
        <f>+E28</f>
        <v>-5883020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2314386</v>
      </c>
      <c r="D100" s="201">
        <f>+D76</f>
        <v>1804654</v>
      </c>
      <c r="E100" s="201">
        <f>+E76</f>
        <v>3012066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3518703</v>
      </c>
      <c r="D101" s="76">
        <f>+D99+D100</f>
        <v>-2204404</v>
      </c>
      <c r="E101" s="76">
        <f>+E99+E100</f>
        <v>-2870954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28331587</v>
      </c>
      <c r="D102" s="204">
        <f>+D69</f>
        <v>35937730</v>
      </c>
      <c r="E102" s="204">
        <f>+E69</f>
        <v>32005375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0</v>
      </c>
      <c r="D103" s="216">
        <v>4572057</v>
      </c>
      <c r="E103" s="216">
        <v>4367427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28331587</v>
      </c>
      <c r="D104" s="204">
        <f>+D102+D103</f>
        <v>40509787</v>
      </c>
      <c r="E104" s="204">
        <f>+E102+E103</f>
        <v>36372802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0</v>
      </c>
      <c r="D106" s="214">
        <f>IF(D109=0,0,(D107/D109)*100)</f>
        <v>51.869837827093846</v>
      </c>
      <c r="E106" s="214">
        <f>IF(E109=0,0,(E107/E109)*100)</f>
        <v>-346.95465244770969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0</v>
      </c>
      <c r="D107" s="204">
        <f>+D103</f>
        <v>4572057</v>
      </c>
      <c r="E107" s="204">
        <f>+E103</f>
        <v>4367427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8290975</v>
      </c>
      <c r="D108" s="204">
        <f>+D32</f>
        <v>4242424</v>
      </c>
      <c r="E108" s="204">
        <f>+E32</f>
        <v>-5626216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8290975</v>
      </c>
      <c r="D109" s="204">
        <f>+D107+D108</f>
        <v>8814481</v>
      </c>
      <c r="E109" s="204">
        <f>+E107+E108</f>
        <v>-1258789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3.178705723923783</v>
      </c>
      <c r="D111" s="214">
        <f>IF((+D113+D115)=0,0,((+D112+D113+D114)/(+D113+D115)))</f>
        <v>-1.0594302011987777</v>
      </c>
      <c r="E111" s="214">
        <f>IF((+E113+E115)=0,0,((+E112+E113+E114)/(+E113+E115)))</f>
        <v>-1.1177164774407629</v>
      </c>
    </row>
    <row r="112" spans="1:6" ht="24" customHeight="1" x14ac:dyDescent="0.2">
      <c r="A112" s="85">
        <v>16</v>
      </c>
      <c r="B112" s="75" t="s">
        <v>373</v>
      </c>
      <c r="C112" s="218">
        <f>+C17</f>
        <v>1204317</v>
      </c>
      <c r="D112" s="76">
        <f>+D17</f>
        <v>-4009058</v>
      </c>
      <c r="E112" s="76">
        <f>+E17</f>
        <v>-5883020</v>
      </c>
    </row>
    <row r="113" spans="1:8" ht="24" customHeight="1" x14ac:dyDescent="0.2">
      <c r="A113" s="85">
        <v>17</v>
      </c>
      <c r="B113" s="75" t="s">
        <v>88</v>
      </c>
      <c r="C113" s="218">
        <v>1459503</v>
      </c>
      <c r="D113" s="76">
        <v>975626</v>
      </c>
      <c r="E113" s="76">
        <v>913249</v>
      </c>
    </row>
    <row r="114" spans="1:8" ht="24" customHeight="1" x14ac:dyDescent="0.2">
      <c r="A114" s="85">
        <v>18</v>
      </c>
      <c r="B114" s="75" t="s">
        <v>374</v>
      </c>
      <c r="C114" s="218">
        <v>2314386</v>
      </c>
      <c r="D114" s="76">
        <v>1804654</v>
      </c>
      <c r="E114" s="76">
        <v>3012066</v>
      </c>
    </row>
    <row r="115" spans="1:8" ht="24" customHeight="1" x14ac:dyDescent="0.2">
      <c r="A115" s="85">
        <v>19</v>
      </c>
      <c r="B115" s="75" t="s">
        <v>104</v>
      </c>
      <c r="C115" s="218">
        <v>106608</v>
      </c>
      <c r="D115" s="76">
        <v>184222</v>
      </c>
      <c r="E115" s="76">
        <v>838273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19.067054933792374</v>
      </c>
      <c r="D119" s="214">
        <f>IF(+D121=0,0,(+D120)/(+D121))</f>
        <v>25.390975777074164</v>
      </c>
      <c r="E119" s="214">
        <f>IF(+E121=0,0,(+E120)/(+E121))</f>
        <v>0.28602726500680931</v>
      </c>
    </row>
    <row r="120" spans="1:8" ht="24" customHeight="1" x14ac:dyDescent="0.2">
      <c r="A120" s="85">
        <v>21</v>
      </c>
      <c r="B120" s="75" t="s">
        <v>378</v>
      </c>
      <c r="C120" s="218">
        <v>44128525</v>
      </c>
      <c r="D120" s="218">
        <v>45821926</v>
      </c>
      <c r="E120" s="218">
        <v>861533</v>
      </c>
    </row>
    <row r="121" spans="1:8" ht="24" customHeight="1" x14ac:dyDescent="0.2">
      <c r="A121" s="85">
        <v>22</v>
      </c>
      <c r="B121" s="75" t="s">
        <v>374</v>
      </c>
      <c r="C121" s="218">
        <v>2314386</v>
      </c>
      <c r="D121" s="218">
        <v>1804654</v>
      </c>
      <c r="E121" s="218">
        <v>3012066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16270</v>
      </c>
      <c r="D124" s="218">
        <v>15091</v>
      </c>
      <c r="E124" s="218">
        <v>15364</v>
      </c>
    </row>
    <row r="125" spans="1:8" ht="24" customHeight="1" x14ac:dyDescent="0.2">
      <c r="A125" s="85">
        <v>2</v>
      </c>
      <c r="B125" s="75" t="s">
        <v>381</v>
      </c>
      <c r="C125" s="218">
        <v>3191</v>
      </c>
      <c r="D125" s="218">
        <v>3036</v>
      </c>
      <c r="E125" s="218">
        <v>3138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5.0987151363209025</v>
      </c>
      <c r="D126" s="219">
        <f>IF(D125=0,0,D124/D125)</f>
        <v>4.9706851119894599</v>
      </c>
      <c r="E126" s="219">
        <f>IF(E125=0,0,E124/E125)</f>
        <v>4.8961121733588273</v>
      </c>
    </row>
    <row r="127" spans="1:8" ht="24" customHeight="1" x14ac:dyDescent="0.2">
      <c r="A127" s="85">
        <v>4</v>
      </c>
      <c r="B127" s="75" t="s">
        <v>383</v>
      </c>
      <c r="C127" s="218">
        <v>70</v>
      </c>
      <c r="D127" s="218">
        <v>70</v>
      </c>
      <c r="E127" s="218">
        <v>74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95</v>
      </c>
      <c r="E128" s="218">
        <v>98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95</v>
      </c>
      <c r="D129" s="218">
        <v>101</v>
      </c>
      <c r="E129" s="218">
        <v>101</v>
      </c>
    </row>
    <row r="130" spans="1:7" ht="24" customHeight="1" x14ac:dyDescent="0.2">
      <c r="A130" s="85">
        <v>7</v>
      </c>
      <c r="B130" s="75" t="s">
        <v>386</v>
      </c>
      <c r="C130" s="193">
        <v>0.63670000000000004</v>
      </c>
      <c r="D130" s="193">
        <v>0.59060000000000001</v>
      </c>
      <c r="E130" s="193">
        <v>0.56879999999999997</v>
      </c>
    </row>
    <row r="131" spans="1:7" ht="24" customHeight="1" x14ac:dyDescent="0.2">
      <c r="A131" s="85">
        <v>8</v>
      </c>
      <c r="B131" s="75" t="s">
        <v>387</v>
      </c>
      <c r="C131" s="193">
        <v>0.46920000000000001</v>
      </c>
      <c r="D131" s="193">
        <v>0.43519999999999998</v>
      </c>
      <c r="E131" s="193">
        <v>0.42949999999999999</v>
      </c>
    </row>
    <row r="132" spans="1:7" ht="24" customHeight="1" x14ac:dyDescent="0.2">
      <c r="A132" s="85">
        <v>9</v>
      </c>
      <c r="B132" s="75" t="s">
        <v>388</v>
      </c>
      <c r="C132" s="219">
        <v>447.2</v>
      </c>
      <c r="D132" s="219">
        <v>451.3</v>
      </c>
      <c r="E132" s="219">
        <v>456.3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0.3329089409342732</v>
      </c>
      <c r="D135" s="227">
        <f>IF(D149=0,0,D143/D149)</f>
        <v>0.33245951088563458</v>
      </c>
      <c r="E135" s="227">
        <f>IF(E149=0,0,E143/E149)</f>
        <v>0.31237020524852299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0.46344941882498741</v>
      </c>
      <c r="D136" s="227">
        <f>IF(D149=0,0,D144/D149)</f>
        <v>0.45915314431059584</v>
      </c>
      <c r="E136" s="227">
        <f>IF(E149=0,0,E144/E149)</f>
        <v>0.47766494422150324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0.18325627408393405</v>
      </c>
      <c r="D137" s="227">
        <f>IF(D149=0,0,D145/D149)</f>
        <v>0.18709069232291309</v>
      </c>
      <c r="E137" s="227">
        <f>IF(E149=0,0,E145/E149)</f>
        <v>0.19332332304892447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1.4732835718518069E-2</v>
      </c>
      <c r="D139" s="227">
        <f>IF(D149=0,0,D147/D149)</f>
        <v>1.2633694860764651E-2</v>
      </c>
      <c r="E139" s="227">
        <f>IF(E149=0,0,E147/E149)</f>
        <v>1.3346225237636334E-2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5.6525304382872565E-3</v>
      </c>
      <c r="D140" s="227">
        <f>IF(D149=0,0,D148/D149)</f>
        <v>8.6629576200918709E-3</v>
      </c>
      <c r="E140" s="227">
        <f>IF(E149=0,0,E148/E149)</f>
        <v>3.2953022434129811E-3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0.99999999999999989</v>
      </c>
      <c r="E141" s="227">
        <f>SUM(E135:E140)</f>
        <v>0.99999999999999989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56794519</v>
      </c>
      <c r="D143" s="229">
        <f>+D46-D147</f>
        <v>56956737</v>
      </c>
      <c r="E143" s="229">
        <f>+E46-E147</f>
        <v>52486273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79064824</v>
      </c>
      <c r="D144" s="229">
        <f>+D51</f>
        <v>78661804</v>
      </c>
      <c r="E144" s="229">
        <f>+E51</f>
        <v>80260064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31263660</v>
      </c>
      <c r="D145" s="229">
        <f>+D55</f>
        <v>32052250</v>
      </c>
      <c r="E145" s="229">
        <f>+E55</f>
        <v>32483318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2513433</v>
      </c>
      <c r="D147" s="229">
        <f>+D47</f>
        <v>2164396</v>
      </c>
      <c r="E147" s="229">
        <f>+E47</f>
        <v>2242511</v>
      </c>
    </row>
    <row r="148" spans="1:7" ht="20.100000000000001" customHeight="1" x14ac:dyDescent="0.2">
      <c r="A148" s="226">
        <v>13</v>
      </c>
      <c r="B148" s="224" t="s">
        <v>402</v>
      </c>
      <c r="C148" s="230">
        <v>964326</v>
      </c>
      <c r="D148" s="229">
        <v>1484132</v>
      </c>
      <c r="E148" s="229">
        <v>553696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170600762</v>
      </c>
      <c r="D149" s="229">
        <f>SUM(D143:D148)</f>
        <v>171319319</v>
      </c>
      <c r="E149" s="229">
        <f>SUM(E143:E148)</f>
        <v>168025862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0.47577431641283185</v>
      </c>
      <c r="D152" s="227">
        <f>IF(D166=0,0,D160/D166)</f>
        <v>0.50490471194490394</v>
      </c>
      <c r="E152" s="227">
        <f>IF(E166=0,0,E160/E166)</f>
        <v>0.50214604529492424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0.37017563333273917</v>
      </c>
      <c r="D153" s="227">
        <f>IF(D166=0,0,D161/D166)</f>
        <v>0.35207964233781214</v>
      </c>
      <c r="E153" s="227">
        <f>IF(E166=0,0,E161/E166)</f>
        <v>0.37045007593969387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0.14460618166386421</v>
      </c>
      <c r="D154" s="227">
        <f>IF(D166=0,0,D162/D166)</f>
        <v>0.13297579634736997</v>
      </c>
      <c r="E154" s="227">
        <f>IF(E166=0,0,E162/E166)</f>
        <v>0.1213043784655848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4.3551687882035835E-3</v>
      </c>
      <c r="D156" s="227">
        <f>IF(D166=0,0,D164/D166)</f>
        <v>1.9246576123895041E-3</v>
      </c>
      <c r="E156" s="227">
        <f>IF(E166=0,0,E164/E166)</f>
        <v>3.9295700233061264E-3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5.0886998023611874E-3</v>
      </c>
      <c r="D157" s="227">
        <f>IF(D166=0,0,D165/D166)</f>
        <v>8.1151917575244311E-3</v>
      </c>
      <c r="E157" s="227">
        <f>IF(E166=0,0,E165/E166)</f>
        <v>2.1699302764909903E-3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0.99999999999999989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31709812</v>
      </c>
      <c r="D160" s="229">
        <f>+D44-D164</f>
        <v>33014575</v>
      </c>
      <c r="E160" s="229">
        <f>+E44-E164</f>
        <v>29685190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24671781</v>
      </c>
      <c r="D161" s="229">
        <f>+D50</f>
        <v>23021690</v>
      </c>
      <c r="E161" s="229">
        <f>+E50</f>
        <v>21899766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9637836</v>
      </c>
      <c r="D162" s="229">
        <f>+D54</f>
        <v>8694986</v>
      </c>
      <c r="E162" s="229">
        <f>+E54</f>
        <v>7171108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290267</v>
      </c>
      <c r="D164" s="229">
        <f>+D45</f>
        <v>125849</v>
      </c>
      <c r="E164" s="229">
        <f>+E45</f>
        <v>232303</v>
      </c>
    </row>
    <row r="165" spans="1:6" ht="20.100000000000001" customHeight="1" x14ac:dyDescent="0.2">
      <c r="A165" s="226">
        <v>13</v>
      </c>
      <c r="B165" s="224" t="s">
        <v>417</v>
      </c>
      <c r="C165" s="230">
        <v>339156</v>
      </c>
      <c r="D165" s="229">
        <v>530634</v>
      </c>
      <c r="E165" s="229">
        <v>128279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66648852</v>
      </c>
      <c r="D166" s="229">
        <f>SUM(D160:D165)</f>
        <v>65387734</v>
      </c>
      <c r="E166" s="229">
        <f>SUM(E160:E165)</f>
        <v>59116646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915</v>
      </c>
      <c r="D169" s="218">
        <v>831</v>
      </c>
      <c r="E169" s="218">
        <v>793</v>
      </c>
    </row>
    <row r="170" spans="1:6" ht="20.100000000000001" customHeight="1" x14ac:dyDescent="0.2">
      <c r="A170" s="226">
        <v>2</v>
      </c>
      <c r="B170" s="224" t="s">
        <v>420</v>
      </c>
      <c r="C170" s="218">
        <v>1571</v>
      </c>
      <c r="D170" s="218">
        <v>1477</v>
      </c>
      <c r="E170" s="218">
        <v>1433</v>
      </c>
    </row>
    <row r="171" spans="1:6" ht="20.100000000000001" customHeight="1" x14ac:dyDescent="0.2">
      <c r="A171" s="226">
        <v>3</v>
      </c>
      <c r="B171" s="224" t="s">
        <v>421</v>
      </c>
      <c r="C171" s="218">
        <v>681</v>
      </c>
      <c r="D171" s="218">
        <v>678</v>
      </c>
      <c r="E171" s="218">
        <v>892</v>
      </c>
    </row>
    <row r="172" spans="1:6" ht="20.100000000000001" customHeight="1" x14ac:dyDescent="0.2">
      <c r="A172" s="226">
        <v>4</v>
      </c>
      <c r="B172" s="224" t="s">
        <v>422</v>
      </c>
      <c r="C172" s="218">
        <v>681</v>
      </c>
      <c r="D172" s="218">
        <v>678</v>
      </c>
      <c r="E172" s="218">
        <v>892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24</v>
      </c>
      <c r="D174" s="218">
        <v>50</v>
      </c>
      <c r="E174" s="218">
        <v>20</v>
      </c>
    </row>
    <row r="175" spans="1:6" ht="20.100000000000001" customHeight="1" x14ac:dyDescent="0.2">
      <c r="A175" s="226">
        <v>7</v>
      </c>
      <c r="B175" s="224" t="s">
        <v>425</v>
      </c>
      <c r="C175" s="218">
        <v>42</v>
      </c>
      <c r="D175" s="218">
        <v>39</v>
      </c>
      <c r="E175" s="218">
        <v>47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3191</v>
      </c>
      <c r="D176" s="218">
        <f>+D169+D170+D171+D174</f>
        <v>3036</v>
      </c>
      <c r="E176" s="218">
        <f>+E169+E170+E171+E174</f>
        <v>3138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1.0093000000000001</v>
      </c>
      <c r="D179" s="231">
        <v>1.0250999999999999</v>
      </c>
      <c r="E179" s="231">
        <v>1.0099</v>
      </c>
    </row>
    <row r="180" spans="1:6" ht="20.100000000000001" customHeight="1" x14ac:dyDescent="0.2">
      <c r="A180" s="226">
        <v>2</v>
      </c>
      <c r="B180" s="224" t="s">
        <v>420</v>
      </c>
      <c r="C180" s="231">
        <v>1.2617</v>
      </c>
      <c r="D180" s="231">
        <v>1.2758</v>
      </c>
      <c r="E180" s="231">
        <v>1.2533000000000001</v>
      </c>
    </row>
    <row r="181" spans="1:6" ht="20.100000000000001" customHeight="1" x14ac:dyDescent="0.2">
      <c r="A181" s="226">
        <v>3</v>
      </c>
      <c r="B181" s="224" t="s">
        <v>421</v>
      </c>
      <c r="C181" s="231">
        <v>0.94079999999999997</v>
      </c>
      <c r="D181" s="231">
        <v>0.93925999999999998</v>
      </c>
      <c r="E181" s="231">
        <v>0.95630000000000004</v>
      </c>
    </row>
    <row r="182" spans="1:6" ht="20.100000000000001" customHeight="1" x14ac:dyDescent="0.2">
      <c r="A182" s="226">
        <v>4</v>
      </c>
      <c r="B182" s="224" t="s">
        <v>422</v>
      </c>
      <c r="C182" s="231">
        <v>0.94079999999999997</v>
      </c>
      <c r="D182" s="231">
        <v>0.93925999999999998</v>
      </c>
      <c r="E182" s="231">
        <v>0.95630000000000004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0.91200000000000003</v>
      </c>
      <c r="D184" s="231">
        <v>0.97099999999999997</v>
      </c>
      <c r="E184" s="231">
        <v>0.87039999999999995</v>
      </c>
    </row>
    <row r="185" spans="1:6" ht="20.100000000000001" customHeight="1" x14ac:dyDescent="0.2">
      <c r="A185" s="226">
        <v>7</v>
      </c>
      <c r="B185" s="224" t="s">
        <v>425</v>
      </c>
      <c r="C185" s="231">
        <v>1.0101</v>
      </c>
      <c r="D185" s="231">
        <v>0.94589999999999996</v>
      </c>
      <c r="E185" s="231">
        <v>1.1941999999999999</v>
      </c>
    </row>
    <row r="186" spans="1:6" ht="20.100000000000001" customHeight="1" x14ac:dyDescent="0.2">
      <c r="A186" s="226">
        <v>8</v>
      </c>
      <c r="B186" s="224" t="s">
        <v>429</v>
      </c>
      <c r="C186" s="231">
        <v>1.1182110000000001</v>
      </c>
      <c r="D186" s="231">
        <v>1.127003</v>
      </c>
      <c r="E186" s="231">
        <v>1.1049249999999999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2270</v>
      </c>
      <c r="D189" s="218">
        <v>2297</v>
      </c>
      <c r="E189" s="218">
        <v>2304</v>
      </c>
    </row>
    <row r="190" spans="1:6" ht="20.100000000000001" customHeight="1" x14ac:dyDescent="0.2">
      <c r="A190" s="226">
        <v>2</v>
      </c>
      <c r="B190" s="224" t="s">
        <v>433</v>
      </c>
      <c r="C190" s="218">
        <v>16780</v>
      </c>
      <c r="D190" s="218">
        <v>16629</v>
      </c>
      <c r="E190" s="218">
        <v>16750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19050</v>
      </c>
      <c r="D191" s="218">
        <f>+D190+D189</f>
        <v>18926</v>
      </c>
      <c r="E191" s="218">
        <f>+E190+E189</f>
        <v>19054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75" bottom="0.75" header="0.3" footer="0.3"/>
  <pageSetup scale="75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M25" sqref="M25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391815</v>
      </c>
      <c r="D14" s="258">
        <v>425824</v>
      </c>
      <c r="E14" s="258">
        <f t="shared" ref="E14:E24" si="0">D14-C14</f>
        <v>34009</v>
      </c>
      <c r="F14" s="259">
        <f t="shared" ref="F14:F24" si="1">IF(C14=0,0,E14/C14)</f>
        <v>8.679861669410309E-2</v>
      </c>
    </row>
    <row r="15" spans="1:7" ht="20.25" customHeight="1" x14ac:dyDescent="0.3">
      <c r="A15" s="256">
        <v>2</v>
      </c>
      <c r="B15" s="257" t="s">
        <v>442</v>
      </c>
      <c r="C15" s="258">
        <v>154680</v>
      </c>
      <c r="D15" s="258">
        <v>121369</v>
      </c>
      <c r="E15" s="258">
        <f t="shared" si="0"/>
        <v>-33311</v>
      </c>
      <c r="F15" s="259">
        <f t="shared" si="1"/>
        <v>-0.21535427980346522</v>
      </c>
    </row>
    <row r="16" spans="1:7" ht="20.25" customHeight="1" x14ac:dyDescent="0.3">
      <c r="A16" s="256">
        <v>3</v>
      </c>
      <c r="B16" s="257" t="s">
        <v>443</v>
      </c>
      <c r="C16" s="258">
        <v>797093</v>
      </c>
      <c r="D16" s="258">
        <v>1428806</v>
      </c>
      <c r="E16" s="258">
        <f t="shared" si="0"/>
        <v>631713</v>
      </c>
      <c r="F16" s="259">
        <f t="shared" si="1"/>
        <v>0.79252107345065126</v>
      </c>
    </row>
    <row r="17" spans="1:6" ht="20.25" customHeight="1" x14ac:dyDescent="0.3">
      <c r="A17" s="256">
        <v>4</v>
      </c>
      <c r="B17" s="257" t="s">
        <v>444</v>
      </c>
      <c r="C17" s="258">
        <v>145405</v>
      </c>
      <c r="D17" s="258">
        <v>267408</v>
      </c>
      <c r="E17" s="258">
        <f t="shared" si="0"/>
        <v>122003</v>
      </c>
      <c r="F17" s="259">
        <f t="shared" si="1"/>
        <v>0.8390564285959905</v>
      </c>
    </row>
    <row r="18" spans="1:6" ht="20.25" customHeight="1" x14ac:dyDescent="0.3">
      <c r="A18" s="256">
        <v>5</v>
      </c>
      <c r="B18" s="257" t="s">
        <v>381</v>
      </c>
      <c r="C18" s="260">
        <v>17</v>
      </c>
      <c r="D18" s="260">
        <v>22</v>
      </c>
      <c r="E18" s="260">
        <f t="shared" si="0"/>
        <v>5</v>
      </c>
      <c r="F18" s="259">
        <f t="shared" si="1"/>
        <v>0.29411764705882354</v>
      </c>
    </row>
    <row r="19" spans="1:6" ht="20.25" customHeight="1" x14ac:dyDescent="0.3">
      <c r="A19" s="256">
        <v>6</v>
      </c>
      <c r="B19" s="257" t="s">
        <v>380</v>
      </c>
      <c r="C19" s="260">
        <v>93</v>
      </c>
      <c r="D19" s="260">
        <v>97</v>
      </c>
      <c r="E19" s="260">
        <f t="shared" si="0"/>
        <v>4</v>
      </c>
      <c r="F19" s="259">
        <f t="shared" si="1"/>
        <v>4.3010752688172046E-2</v>
      </c>
    </row>
    <row r="20" spans="1:6" ht="20.25" customHeight="1" x14ac:dyDescent="0.3">
      <c r="A20" s="256">
        <v>7</v>
      </c>
      <c r="B20" s="257" t="s">
        <v>445</v>
      </c>
      <c r="C20" s="260">
        <v>321</v>
      </c>
      <c r="D20" s="260">
        <v>504</v>
      </c>
      <c r="E20" s="260">
        <f t="shared" si="0"/>
        <v>183</v>
      </c>
      <c r="F20" s="259">
        <f t="shared" si="1"/>
        <v>0.57009345794392519</v>
      </c>
    </row>
    <row r="21" spans="1:6" ht="20.25" customHeight="1" x14ac:dyDescent="0.3">
      <c r="A21" s="256">
        <v>8</v>
      </c>
      <c r="B21" s="257" t="s">
        <v>446</v>
      </c>
      <c r="C21" s="260">
        <v>26</v>
      </c>
      <c r="D21" s="260">
        <v>133</v>
      </c>
      <c r="E21" s="260">
        <f t="shared" si="0"/>
        <v>107</v>
      </c>
      <c r="F21" s="259">
        <f t="shared" si="1"/>
        <v>4.115384615384615</v>
      </c>
    </row>
    <row r="22" spans="1:6" ht="20.25" customHeight="1" x14ac:dyDescent="0.3">
      <c r="A22" s="256">
        <v>9</v>
      </c>
      <c r="B22" s="257" t="s">
        <v>447</v>
      </c>
      <c r="C22" s="260">
        <v>15</v>
      </c>
      <c r="D22" s="260">
        <v>20</v>
      </c>
      <c r="E22" s="260">
        <f t="shared" si="0"/>
        <v>5</v>
      </c>
      <c r="F22" s="259">
        <f t="shared" si="1"/>
        <v>0.33333333333333331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1188908</v>
      </c>
      <c r="D23" s="263">
        <f>+D14+D16</f>
        <v>1854630</v>
      </c>
      <c r="E23" s="263">
        <f t="shared" si="0"/>
        <v>665722</v>
      </c>
      <c r="F23" s="264">
        <f t="shared" si="1"/>
        <v>0.55994408314184108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300085</v>
      </c>
      <c r="D24" s="263">
        <f>+D15+D17</f>
        <v>388777</v>
      </c>
      <c r="E24" s="263">
        <f t="shared" si="0"/>
        <v>88692</v>
      </c>
      <c r="F24" s="264">
        <f t="shared" si="1"/>
        <v>0.29555625905993305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3692626</v>
      </c>
      <c r="D40" s="258">
        <v>2844916</v>
      </c>
      <c r="E40" s="258">
        <f t="shared" ref="E40:E50" si="4">D40-C40</f>
        <v>-847710</v>
      </c>
      <c r="F40" s="259">
        <f t="shared" ref="F40:F50" si="5">IF(C40=0,0,E40/C40)</f>
        <v>-0.22956833429651419</v>
      </c>
    </row>
    <row r="41" spans="1:6" ht="20.25" customHeight="1" x14ac:dyDescent="0.3">
      <c r="A41" s="256">
        <v>2</v>
      </c>
      <c r="B41" s="257" t="s">
        <v>442</v>
      </c>
      <c r="C41" s="258">
        <v>1293159</v>
      </c>
      <c r="D41" s="258">
        <v>828824</v>
      </c>
      <c r="E41" s="258">
        <f t="shared" si="4"/>
        <v>-464335</v>
      </c>
      <c r="F41" s="259">
        <f t="shared" si="5"/>
        <v>-0.3590703076729157</v>
      </c>
    </row>
    <row r="42" spans="1:6" ht="20.25" customHeight="1" x14ac:dyDescent="0.3">
      <c r="A42" s="256">
        <v>3</v>
      </c>
      <c r="B42" s="257" t="s">
        <v>443</v>
      </c>
      <c r="C42" s="258">
        <v>5665474</v>
      </c>
      <c r="D42" s="258">
        <v>5391911</v>
      </c>
      <c r="E42" s="258">
        <f t="shared" si="4"/>
        <v>-273563</v>
      </c>
      <c r="F42" s="259">
        <f t="shared" si="5"/>
        <v>-4.8285986309353816E-2</v>
      </c>
    </row>
    <row r="43" spans="1:6" ht="20.25" customHeight="1" x14ac:dyDescent="0.3">
      <c r="A43" s="256">
        <v>4</v>
      </c>
      <c r="B43" s="257" t="s">
        <v>444</v>
      </c>
      <c r="C43" s="258">
        <v>1456791</v>
      </c>
      <c r="D43" s="258">
        <v>1116598</v>
      </c>
      <c r="E43" s="258">
        <f t="shared" si="4"/>
        <v>-340193</v>
      </c>
      <c r="F43" s="259">
        <f t="shared" si="5"/>
        <v>-0.23352217305021791</v>
      </c>
    </row>
    <row r="44" spans="1:6" ht="20.25" customHeight="1" x14ac:dyDescent="0.3">
      <c r="A44" s="256">
        <v>5</v>
      </c>
      <c r="B44" s="257" t="s">
        <v>381</v>
      </c>
      <c r="C44" s="260">
        <v>153</v>
      </c>
      <c r="D44" s="260">
        <v>126</v>
      </c>
      <c r="E44" s="260">
        <f t="shared" si="4"/>
        <v>-27</v>
      </c>
      <c r="F44" s="259">
        <f t="shared" si="5"/>
        <v>-0.17647058823529413</v>
      </c>
    </row>
    <row r="45" spans="1:6" ht="20.25" customHeight="1" x14ac:dyDescent="0.3">
      <c r="A45" s="256">
        <v>6</v>
      </c>
      <c r="B45" s="257" t="s">
        <v>380</v>
      </c>
      <c r="C45" s="260">
        <v>800</v>
      </c>
      <c r="D45" s="260">
        <v>624</v>
      </c>
      <c r="E45" s="260">
        <f t="shared" si="4"/>
        <v>-176</v>
      </c>
      <c r="F45" s="259">
        <f t="shared" si="5"/>
        <v>-0.22</v>
      </c>
    </row>
    <row r="46" spans="1:6" ht="20.25" customHeight="1" x14ac:dyDescent="0.3">
      <c r="A46" s="256">
        <v>7</v>
      </c>
      <c r="B46" s="257" t="s">
        <v>445</v>
      </c>
      <c r="C46" s="260">
        <v>3656</v>
      </c>
      <c r="D46" s="260">
        <v>2717</v>
      </c>
      <c r="E46" s="260">
        <f t="shared" si="4"/>
        <v>-939</v>
      </c>
      <c r="F46" s="259">
        <f t="shared" si="5"/>
        <v>-0.25683807439824946</v>
      </c>
    </row>
    <row r="47" spans="1:6" ht="20.25" customHeight="1" x14ac:dyDescent="0.3">
      <c r="A47" s="256">
        <v>8</v>
      </c>
      <c r="B47" s="257" t="s">
        <v>446</v>
      </c>
      <c r="C47" s="260">
        <v>403</v>
      </c>
      <c r="D47" s="260">
        <v>366</v>
      </c>
      <c r="E47" s="260">
        <f t="shared" si="4"/>
        <v>-37</v>
      </c>
      <c r="F47" s="259">
        <f t="shared" si="5"/>
        <v>-9.1811414392059559E-2</v>
      </c>
    </row>
    <row r="48" spans="1:6" ht="20.25" customHeight="1" x14ac:dyDescent="0.3">
      <c r="A48" s="256">
        <v>9</v>
      </c>
      <c r="B48" s="257" t="s">
        <v>447</v>
      </c>
      <c r="C48" s="260">
        <v>139</v>
      </c>
      <c r="D48" s="260">
        <v>112</v>
      </c>
      <c r="E48" s="260">
        <f t="shared" si="4"/>
        <v>-27</v>
      </c>
      <c r="F48" s="259">
        <f t="shared" si="5"/>
        <v>-0.19424460431654678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9358100</v>
      </c>
      <c r="D49" s="263">
        <f>+D40+D42</f>
        <v>8236827</v>
      </c>
      <c r="E49" s="263">
        <f t="shared" si="4"/>
        <v>-1121273</v>
      </c>
      <c r="F49" s="264">
        <f t="shared" si="5"/>
        <v>-0.11981844605208322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2749950</v>
      </c>
      <c r="D50" s="263">
        <f>+D41+D43</f>
        <v>1945422</v>
      </c>
      <c r="E50" s="263">
        <f t="shared" si="4"/>
        <v>-804528</v>
      </c>
      <c r="F50" s="264">
        <f t="shared" si="5"/>
        <v>-0.29256095565373919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81156</v>
      </c>
      <c r="D66" s="258">
        <v>510140</v>
      </c>
      <c r="E66" s="258">
        <f t="shared" ref="E66:E76" si="8">D66-C66</f>
        <v>428984</v>
      </c>
      <c r="F66" s="259">
        <f t="shared" ref="F66:F76" si="9">IF(C66=0,0,E66/C66)</f>
        <v>5.2859184779930013</v>
      </c>
    </row>
    <row r="67" spans="1:6" ht="20.25" customHeight="1" x14ac:dyDescent="0.3">
      <c r="A67" s="256">
        <v>2</v>
      </c>
      <c r="B67" s="257" t="s">
        <v>442</v>
      </c>
      <c r="C67" s="258">
        <v>20551</v>
      </c>
      <c r="D67" s="258">
        <v>186710</v>
      </c>
      <c r="E67" s="258">
        <f t="shared" si="8"/>
        <v>166159</v>
      </c>
      <c r="F67" s="259">
        <f t="shared" si="9"/>
        <v>8.0852026665369081</v>
      </c>
    </row>
    <row r="68" spans="1:6" ht="20.25" customHeight="1" x14ac:dyDescent="0.3">
      <c r="A68" s="256">
        <v>3</v>
      </c>
      <c r="B68" s="257" t="s">
        <v>443</v>
      </c>
      <c r="C68" s="258">
        <v>92245</v>
      </c>
      <c r="D68" s="258">
        <v>150433</v>
      </c>
      <c r="E68" s="258">
        <f t="shared" si="8"/>
        <v>58188</v>
      </c>
      <c r="F68" s="259">
        <f t="shared" si="9"/>
        <v>0.63079841725838803</v>
      </c>
    </row>
    <row r="69" spans="1:6" ht="20.25" customHeight="1" x14ac:dyDescent="0.3">
      <c r="A69" s="256">
        <v>4</v>
      </c>
      <c r="B69" s="257" t="s">
        <v>444</v>
      </c>
      <c r="C69" s="258">
        <v>20937</v>
      </c>
      <c r="D69" s="258">
        <v>28083</v>
      </c>
      <c r="E69" s="258">
        <f t="shared" si="8"/>
        <v>7146</v>
      </c>
      <c r="F69" s="259">
        <f t="shared" si="9"/>
        <v>0.34130964321536039</v>
      </c>
    </row>
    <row r="70" spans="1:6" ht="20.25" customHeight="1" x14ac:dyDescent="0.3">
      <c r="A70" s="256">
        <v>5</v>
      </c>
      <c r="B70" s="257" t="s">
        <v>381</v>
      </c>
      <c r="C70" s="260">
        <v>5</v>
      </c>
      <c r="D70" s="260">
        <v>36</v>
      </c>
      <c r="E70" s="260">
        <f t="shared" si="8"/>
        <v>31</v>
      </c>
      <c r="F70" s="259">
        <f t="shared" si="9"/>
        <v>6.2</v>
      </c>
    </row>
    <row r="71" spans="1:6" ht="20.25" customHeight="1" x14ac:dyDescent="0.3">
      <c r="A71" s="256">
        <v>6</v>
      </c>
      <c r="B71" s="257" t="s">
        <v>380</v>
      </c>
      <c r="C71" s="260">
        <v>17</v>
      </c>
      <c r="D71" s="260">
        <v>220</v>
      </c>
      <c r="E71" s="260">
        <f t="shared" si="8"/>
        <v>203</v>
      </c>
      <c r="F71" s="259">
        <f t="shared" si="9"/>
        <v>11.941176470588236</v>
      </c>
    </row>
    <row r="72" spans="1:6" ht="20.25" customHeight="1" x14ac:dyDescent="0.3">
      <c r="A72" s="256">
        <v>7</v>
      </c>
      <c r="B72" s="257" t="s">
        <v>445</v>
      </c>
      <c r="C72" s="260">
        <v>11</v>
      </c>
      <c r="D72" s="260">
        <v>22</v>
      </c>
      <c r="E72" s="260">
        <f t="shared" si="8"/>
        <v>11</v>
      </c>
      <c r="F72" s="259">
        <f t="shared" si="9"/>
        <v>1</v>
      </c>
    </row>
    <row r="73" spans="1:6" ht="20.25" customHeight="1" x14ac:dyDescent="0.3">
      <c r="A73" s="256">
        <v>8</v>
      </c>
      <c r="B73" s="257" t="s">
        <v>446</v>
      </c>
      <c r="C73" s="260">
        <v>54</v>
      </c>
      <c r="D73" s="260">
        <v>65</v>
      </c>
      <c r="E73" s="260">
        <f t="shared" si="8"/>
        <v>11</v>
      </c>
      <c r="F73" s="259">
        <f t="shared" si="9"/>
        <v>0.20370370370370369</v>
      </c>
    </row>
    <row r="74" spans="1:6" ht="20.25" customHeight="1" x14ac:dyDescent="0.3">
      <c r="A74" s="256">
        <v>9</v>
      </c>
      <c r="B74" s="257" t="s">
        <v>447</v>
      </c>
      <c r="C74" s="260">
        <v>5</v>
      </c>
      <c r="D74" s="260">
        <v>26</v>
      </c>
      <c r="E74" s="260">
        <f t="shared" si="8"/>
        <v>21</v>
      </c>
      <c r="F74" s="259">
        <f t="shared" si="9"/>
        <v>4.2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173401</v>
      </c>
      <c r="D75" s="263">
        <f>+D66+D68</f>
        <v>660573</v>
      </c>
      <c r="E75" s="263">
        <f t="shared" si="8"/>
        <v>487172</v>
      </c>
      <c r="F75" s="264">
        <f t="shared" si="9"/>
        <v>2.809510902474611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41488</v>
      </c>
      <c r="D76" s="263">
        <f>+D67+D69</f>
        <v>214793</v>
      </c>
      <c r="E76" s="263">
        <f t="shared" si="8"/>
        <v>173305</v>
      </c>
      <c r="F76" s="264">
        <f t="shared" si="9"/>
        <v>4.17723197069032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3875096</v>
      </c>
      <c r="D92" s="258">
        <v>3506676</v>
      </c>
      <c r="E92" s="258">
        <f t="shared" ref="E92:E102" si="12">D92-C92</f>
        <v>-368420</v>
      </c>
      <c r="F92" s="259">
        <f t="shared" ref="F92:F102" si="13">IF(C92=0,0,E92/C92)</f>
        <v>-9.5073773656188132E-2</v>
      </c>
    </row>
    <row r="93" spans="1:6" ht="20.25" customHeight="1" x14ac:dyDescent="0.3">
      <c r="A93" s="256">
        <v>2</v>
      </c>
      <c r="B93" s="257" t="s">
        <v>442</v>
      </c>
      <c r="C93" s="258">
        <v>1216815</v>
      </c>
      <c r="D93" s="258">
        <v>906973</v>
      </c>
      <c r="E93" s="258">
        <f t="shared" si="12"/>
        <v>-309842</v>
      </c>
      <c r="F93" s="259">
        <f t="shared" si="13"/>
        <v>-0.25463361316223093</v>
      </c>
    </row>
    <row r="94" spans="1:6" ht="20.25" customHeight="1" x14ac:dyDescent="0.3">
      <c r="A94" s="256">
        <v>3</v>
      </c>
      <c r="B94" s="257" t="s">
        <v>443</v>
      </c>
      <c r="C94" s="258">
        <v>4000756</v>
      </c>
      <c r="D94" s="258">
        <v>4478672</v>
      </c>
      <c r="E94" s="258">
        <f t="shared" si="12"/>
        <v>477916</v>
      </c>
      <c r="F94" s="259">
        <f t="shared" si="13"/>
        <v>0.11945642273610288</v>
      </c>
    </row>
    <row r="95" spans="1:6" ht="20.25" customHeight="1" x14ac:dyDescent="0.3">
      <c r="A95" s="256">
        <v>4</v>
      </c>
      <c r="B95" s="257" t="s">
        <v>444</v>
      </c>
      <c r="C95" s="258">
        <v>880011</v>
      </c>
      <c r="D95" s="258">
        <v>847708</v>
      </c>
      <c r="E95" s="258">
        <f t="shared" si="12"/>
        <v>-32303</v>
      </c>
      <c r="F95" s="259">
        <f t="shared" si="13"/>
        <v>-3.6707495701758276E-2</v>
      </c>
    </row>
    <row r="96" spans="1:6" ht="20.25" customHeight="1" x14ac:dyDescent="0.3">
      <c r="A96" s="256">
        <v>5</v>
      </c>
      <c r="B96" s="257" t="s">
        <v>381</v>
      </c>
      <c r="C96" s="260">
        <v>144</v>
      </c>
      <c r="D96" s="260">
        <v>148</v>
      </c>
      <c r="E96" s="260">
        <f t="shared" si="12"/>
        <v>4</v>
      </c>
      <c r="F96" s="259">
        <f t="shared" si="13"/>
        <v>2.7777777777777776E-2</v>
      </c>
    </row>
    <row r="97" spans="1:6" ht="20.25" customHeight="1" x14ac:dyDescent="0.3">
      <c r="A97" s="256">
        <v>6</v>
      </c>
      <c r="B97" s="257" t="s">
        <v>380</v>
      </c>
      <c r="C97" s="260">
        <v>832</v>
      </c>
      <c r="D97" s="260">
        <v>782</v>
      </c>
      <c r="E97" s="260">
        <f t="shared" si="12"/>
        <v>-50</v>
      </c>
      <c r="F97" s="259">
        <f t="shared" si="13"/>
        <v>-6.0096153846153848E-2</v>
      </c>
    </row>
    <row r="98" spans="1:6" ht="20.25" customHeight="1" x14ac:dyDescent="0.3">
      <c r="A98" s="256">
        <v>7</v>
      </c>
      <c r="B98" s="257" t="s">
        <v>445</v>
      </c>
      <c r="C98" s="260">
        <v>3289</v>
      </c>
      <c r="D98" s="260">
        <v>3206</v>
      </c>
      <c r="E98" s="260">
        <f t="shared" si="12"/>
        <v>-83</v>
      </c>
      <c r="F98" s="259">
        <f t="shared" si="13"/>
        <v>-2.5235633931286104E-2</v>
      </c>
    </row>
    <row r="99" spans="1:6" ht="20.25" customHeight="1" x14ac:dyDescent="0.3">
      <c r="A99" s="256">
        <v>8</v>
      </c>
      <c r="B99" s="257" t="s">
        <v>446</v>
      </c>
      <c r="C99" s="260">
        <v>303</v>
      </c>
      <c r="D99" s="260">
        <v>483</v>
      </c>
      <c r="E99" s="260">
        <f t="shared" si="12"/>
        <v>180</v>
      </c>
      <c r="F99" s="259">
        <f t="shared" si="13"/>
        <v>0.59405940594059403</v>
      </c>
    </row>
    <row r="100" spans="1:6" ht="20.25" customHeight="1" x14ac:dyDescent="0.3">
      <c r="A100" s="256">
        <v>9</v>
      </c>
      <c r="B100" s="257" t="s">
        <v>447</v>
      </c>
      <c r="C100" s="260">
        <v>132</v>
      </c>
      <c r="D100" s="260">
        <v>144</v>
      </c>
      <c r="E100" s="260">
        <f t="shared" si="12"/>
        <v>12</v>
      </c>
      <c r="F100" s="259">
        <f t="shared" si="13"/>
        <v>9.0909090909090912E-2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7875852</v>
      </c>
      <c r="D101" s="263">
        <f>+D92+D94</f>
        <v>7985348</v>
      </c>
      <c r="E101" s="263">
        <f t="shared" si="12"/>
        <v>109496</v>
      </c>
      <c r="F101" s="264">
        <f t="shared" si="13"/>
        <v>1.3902749823130247E-2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2096826</v>
      </c>
      <c r="D102" s="263">
        <f>+D93+D95</f>
        <v>1754681</v>
      </c>
      <c r="E102" s="263">
        <f t="shared" si="12"/>
        <v>-342145</v>
      </c>
      <c r="F102" s="264">
        <f t="shared" si="13"/>
        <v>-0.16317281453015176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270502</v>
      </c>
      <c r="D105" s="258">
        <v>371791</v>
      </c>
      <c r="E105" s="258">
        <f t="shared" ref="E105:E115" si="14">D105-C105</f>
        <v>101289</v>
      </c>
      <c r="F105" s="259">
        <f t="shared" ref="F105:F115" si="15">IF(C105=0,0,E105/C105)</f>
        <v>0.37444824807210297</v>
      </c>
    </row>
    <row r="106" spans="1:6" ht="20.25" customHeight="1" x14ac:dyDescent="0.3">
      <c r="A106" s="256">
        <v>2</v>
      </c>
      <c r="B106" s="257" t="s">
        <v>442</v>
      </c>
      <c r="C106" s="258">
        <v>113447</v>
      </c>
      <c r="D106" s="258">
        <v>96360</v>
      </c>
      <c r="E106" s="258">
        <f t="shared" si="14"/>
        <v>-17087</v>
      </c>
      <c r="F106" s="259">
        <f t="shared" si="15"/>
        <v>-0.15061658748137896</v>
      </c>
    </row>
    <row r="107" spans="1:6" ht="20.25" customHeight="1" x14ac:dyDescent="0.3">
      <c r="A107" s="256">
        <v>3</v>
      </c>
      <c r="B107" s="257" t="s">
        <v>443</v>
      </c>
      <c r="C107" s="258">
        <v>645760</v>
      </c>
      <c r="D107" s="258">
        <v>386756</v>
      </c>
      <c r="E107" s="258">
        <f t="shared" si="14"/>
        <v>-259004</v>
      </c>
      <c r="F107" s="259">
        <f t="shared" si="15"/>
        <v>-0.40108399405351836</v>
      </c>
    </row>
    <row r="108" spans="1:6" ht="20.25" customHeight="1" x14ac:dyDescent="0.3">
      <c r="A108" s="256">
        <v>4</v>
      </c>
      <c r="B108" s="257" t="s">
        <v>444</v>
      </c>
      <c r="C108" s="258">
        <v>121953</v>
      </c>
      <c r="D108" s="258">
        <v>65374</v>
      </c>
      <c r="E108" s="258">
        <f t="shared" si="14"/>
        <v>-56579</v>
      </c>
      <c r="F108" s="259">
        <f t="shared" si="15"/>
        <v>-0.46394102646101365</v>
      </c>
    </row>
    <row r="109" spans="1:6" ht="20.25" customHeight="1" x14ac:dyDescent="0.3">
      <c r="A109" s="256">
        <v>5</v>
      </c>
      <c r="B109" s="257" t="s">
        <v>381</v>
      </c>
      <c r="C109" s="260">
        <v>17</v>
      </c>
      <c r="D109" s="260">
        <v>18</v>
      </c>
      <c r="E109" s="260">
        <f t="shared" si="14"/>
        <v>1</v>
      </c>
      <c r="F109" s="259">
        <f t="shared" si="15"/>
        <v>5.8823529411764705E-2</v>
      </c>
    </row>
    <row r="110" spans="1:6" ht="20.25" customHeight="1" x14ac:dyDescent="0.3">
      <c r="A110" s="256">
        <v>6</v>
      </c>
      <c r="B110" s="257" t="s">
        <v>380</v>
      </c>
      <c r="C110" s="260">
        <v>78</v>
      </c>
      <c r="D110" s="260">
        <v>101</v>
      </c>
      <c r="E110" s="260">
        <f t="shared" si="14"/>
        <v>23</v>
      </c>
      <c r="F110" s="259">
        <f t="shared" si="15"/>
        <v>0.29487179487179488</v>
      </c>
    </row>
    <row r="111" spans="1:6" ht="20.25" customHeight="1" x14ac:dyDescent="0.3">
      <c r="A111" s="256">
        <v>7</v>
      </c>
      <c r="B111" s="257" t="s">
        <v>445</v>
      </c>
      <c r="C111" s="260">
        <v>404</v>
      </c>
      <c r="D111" s="260">
        <v>236</v>
      </c>
      <c r="E111" s="260">
        <f t="shared" si="14"/>
        <v>-168</v>
      </c>
      <c r="F111" s="259">
        <f t="shared" si="15"/>
        <v>-0.41584158415841582</v>
      </c>
    </row>
    <row r="112" spans="1:6" ht="20.25" customHeight="1" x14ac:dyDescent="0.3">
      <c r="A112" s="256">
        <v>8</v>
      </c>
      <c r="B112" s="257" t="s">
        <v>446</v>
      </c>
      <c r="C112" s="260">
        <v>84</v>
      </c>
      <c r="D112" s="260">
        <v>69</v>
      </c>
      <c r="E112" s="260">
        <f t="shared" si="14"/>
        <v>-15</v>
      </c>
      <c r="F112" s="259">
        <f t="shared" si="15"/>
        <v>-0.17857142857142858</v>
      </c>
    </row>
    <row r="113" spans="1:6" ht="20.25" customHeight="1" x14ac:dyDescent="0.3">
      <c r="A113" s="256">
        <v>9</v>
      </c>
      <c r="B113" s="257" t="s">
        <v>447</v>
      </c>
      <c r="C113" s="260">
        <v>15</v>
      </c>
      <c r="D113" s="260">
        <v>18</v>
      </c>
      <c r="E113" s="260">
        <f t="shared" si="14"/>
        <v>3</v>
      </c>
      <c r="F113" s="259">
        <f t="shared" si="15"/>
        <v>0.2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916262</v>
      </c>
      <c r="D114" s="263">
        <f>+D105+D107</f>
        <v>758547</v>
      </c>
      <c r="E114" s="263">
        <f t="shared" si="14"/>
        <v>-157715</v>
      </c>
      <c r="F114" s="264">
        <f t="shared" si="15"/>
        <v>-0.17212871427604767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235400</v>
      </c>
      <c r="D115" s="263">
        <f>+D106+D108</f>
        <v>161734</v>
      </c>
      <c r="E115" s="263">
        <f t="shared" si="14"/>
        <v>-73666</v>
      </c>
      <c r="F115" s="264">
        <f t="shared" si="15"/>
        <v>-0.31293967714528464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546315</v>
      </c>
      <c r="D118" s="258">
        <v>1156515</v>
      </c>
      <c r="E118" s="258">
        <f t="shared" ref="E118:E128" si="16">D118-C118</f>
        <v>610200</v>
      </c>
      <c r="F118" s="259">
        <f t="shared" ref="F118:F128" si="17">IF(C118=0,0,E118/C118)</f>
        <v>1.1169380302572691</v>
      </c>
    </row>
    <row r="119" spans="1:6" ht="20.25" customHeight="1" x14ac:dyDescent="0.3">
      <c r="A119" s="256">
        <v>2</v>
      </c>
      <c r="B119" s="257" t="s">
        <v>442</v>
      </c>
      <c r="C119" s="258">
        <v>173691</v>
      </c>
      <c r="D119" s="258">
        <v>337350</v>
      </c>
      <c r="E119" s="258">
        <f t="shared" si="16"/>
        <v>163659</v>
      </c>
      <c r="F119" s="259">
        <f t="shared" si="17"/>
        <v>0.94224225780264959</v>
      </c>
    </row>
    <row r="120" spans="1:6" ht="20.25" customHeight="1" x14ac:dyDescent="0.3">
      <c r="A120" s="256">
        <v>3</v>
      </c>
      <c r="B120" s="257" t="s">
        <v>443</v>
      </c>
      <c r="C120" s="258">
        <v>2476603</v>
      </c>
      <c r="D120" s="258">
        <v>3013651</v>
      </c>
      <c r="E120" s="258">
        <f t="shared" si="16"/>
        <v>537048</v>
      </c>
      <c r="F120" s="259">
        <f t="shared" si="17"/>
        <v>0.21684864308086521</v>
      </c>
    </row>
    <row r="121" spans="1:6" ht="20.25" customHeight="1" x14ac:dyDescent="0.3">
      <c r="A121" s="256">
        <v>4</v>
      </c>
      <c r="B121" s="257" t="s">
        <v>444</v>
      </c>
      <c r="C121" s="258">
        <v>568512</v>
      </c>
      <c r="D121" s="258">
        <v>546498</v>
      </c>
      <c r="E121" s="258">
        <f t="shared" si="16"/>
        <v>-22014</v>
      </c>
      <c r="F121" s="259">
        <f t="shared" si="17"/>
        <v>-3.8722137791286727E-2</v>
      </c>
    </row>
    <row r="122" spans="1:6" ht="20.25" customHeight="1" x14ac:dyDescent="0.3">
      <c r="A122" s="256">
        <v>5</v>
      </c>
      <c r="B122" s="257" t="s">
        <v>381</v>
      </c>
      <c r="C122" s="260">
        <v>27</v>
      </c>
      <c r="D122" s="260">
        <v>46</v>
      </c>
      <c r="E122" s="260">
        <f t="shared" si="16"/>
        <v>19</v>
      </c>
      <c r="F122" s="259">
        <f t="shared" si="17"/>
        <v>0.70370370370370372</v>
      </c>
    </row>
    <row r="123" spans="1:6" ht="20.25" customHeight="1" x14ac:dyDescent="0.3">
      <c r="A123" s="256">
        <v>6</v>
      </c>
      <c r="B123" s="257" t="s">
        <v>380</v>
      </c>
      <c r="C123" s="260">
        <v>108</v>
      </c>
      <c r="D123" s="260">
        <v>251</v>
      </c>
      <c r="E123" s="260">
        <f t="shared" si="16"/>
        <v>143</v>
      </c>
      <c r="F123" s="259">
        <f t="shared" si="17"/>
        <v>1.3240740740740742</v>
      </c>
    </row>
    <row r="124" spans="1:6" ht="20.25" customHeight="1" x14ac:dyDescent="0.3">
      <c r="A124" s="256">
        <v>7</v>
      </c>
      <c r="B124" s="257" t="s">
        <v>445</v>
      </c>
      <c r="C124" s="260">
        <v>1213</v>
      </c>
      <c r="D124" s="260">
        <v>1086</v>
      </c>
      <c r="E124" s="260">
        <f t="shared" si="16"/>
        <v>-127</v>
      </c>
      <c r="F124" s="259">
        <f t="shared" si="17"/>
        <v>-0.10469909315746084</v>
      </c>
    </row>
    <row r="125" spans="1:6" ht="20.25" customHeight="1" x14ac:dyDescent="0.3">
      <c r="A125" s="256">
        <v>8</v>
      </c>
      <c r="B125" s="257" t="s">
        <v>446</v>
      </c>
      <c r="C125" s="260">
        <v>99</v>
      </c>
      <c r="D125" s="260">
        <v>131</v>
      </c>
      <c r="E125" s="260">
        <f t="shared" si="16"/>
        <v>32</v>
      </c>
      <c r="F125" s="259">
        <f t="shared" si="17"/>
        <v>0.32323232323232326</v>
      </c>
    </row>
    <row r="126" spans="1:6" ht="20.25" customHeight="1" x14ac:dyDescent="0.3">
      <c r="A126" s="256">
        <v>9</v>
      </c>
      <c r="B126" s="257" t="s">
        <v>447</v>
      </c>
      <c r="C126" s="260">
        <v>25</v>
      </c>
      <c r="D126" s="260">
        <v>42</v>
      </c>
      <c r="E126" s="260">
        <f t="shared" si="16"/>
        <v>17</v>
      </c>
      <c r="F126" s="259">
        <f t="shared" si="17"/>
        <v>0.68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3022918</v>
      </c>
      <c r="D127" s="263">
        <f>+D118+D120</f>
        <v>4170166</v>
      </c>
      <c r="E127" s="263">
        <f t="shared" si="16"/>
        <v>1147248</v>
      </c>
      <c r="F127" s="264">
        <f t="shared" si="17"/>
        <v>0.37951674507876165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742203</v>
      </c>
      <c r="D128" s="263">
        <f>+D119+D121</f>
        <v>883848</v>
      </c>
      <c r="E128" s="263">
        <f t="shared" si="16"/>
        <v>141645</v>
      </c>
      <c r="F128" s="264">
        <f t="shared" si="17"/>
        <v>0.19084401437342613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44040</v>
      </c>
      <c r="D131" s="258">
        <v>0</v>
      </c>
      <c r="E131" s="258">
        <f t="shared" ref="E131:E141" si="18">D131-C131</f>
        <v>-44040</v>
      </c>
      <c r="F131" s="259">
        <f t="shared" ref="F131:F141" si="19">IF(C131=0,0,E131/C131)</f>
        <v>-1</v>
      </c>
    </row>
    <row r="132" spans="1:6" ht="20.25" customHeight="1" x14ac:dyDescent="0.3">
      <c r="A132" s="256">
        <v>2</v>
      </c>
      <c r="B132" s="257" t="s">
        <v>442</v>
      </c>
      <c r="C132" s="258">
        <v>18526</v>
      </c>
      <c r="D132" s="258">
        <v>0</v>
      </c>
      <c r="E132" s="258">
        <f t="shared" si="18"/>
        <v>-18526</v>
      </c>
      <c r="F132" s="259">
        <f t="shared" si="19"/>
        <v>-1</v>
      </c>
    </row>
    <row r="133" spans="1:6" ht="20.25" customHeight="1" x14ac:dyDescent="0.3">
      <c r="A133" s="256">
        <v>3</v>
      </c>
      <c r="B133" s="257" t="s">
        <v>443</v>
      </c>
      <c r="C133" s="258">
        <v>30926</v>
      </c>
      <c r="D133" s="258">
        <v>0</v>
      </c>
      <c r="E133" s="258">
        <f t="shared" si="18"/>
        <v>-30926</v>
      </c>
      <c r="F133" s="259">
        <f t="shared" si="19"/>
        <v>-1</v>
      </c>
    </row>
    <row r="134" spans="1:6" ht="20.25" customHeight="1" x14ac:dyDescent="0.3">
      <c r="A134" s="256">
        <v>4</v>
      </c>
      <c r="B134" s="257" t="s">
        <v>444</v>
      </c>
      <c r="C134" s="258">
        <v>9638</v>
      </c>
      <c r="D134" s="258">
        <v>0</v>
      </c>
      <c r="E134" s="258">
        <f t="shared" si="18"/>
        <v>-9638</v>
      </c>
      <c r="F134" s="259">
        <f t="shared" si="19"/>
        <v>-1</v>
      </c>
    </row>
    <row r="135" spans="1:6" ht="20.25" customHeight="1" x14ac:dyDescent="0.3">
      <c r="A135" s="256">
        <v>5</v>
      </c>
      <c r="B135" s="257" t="s">
        <v>381</v>
      </c>
      <c r="C135" s="260">
        <v>3</v>
      </c>
      <c r="D135" s="260">
        <v>0</v>
      </c>
      <c r="E135" s="260">
        <f t="shared" si="18"/>
        <v>-3</v>
      </c>
      <c r="F135" s="259">
        <f t="shared" si="19"/>
        <v>-1</v>
      </c>
    </row>
    <row r="136" spans="1:6" ht="20.25" customHeight="1" x14ac:dyDescent="0.3">
      <c r="A136" s="256">
        <v>6</v>
      </c>
      <c r="B136" s="257" t="s">
        <v>380</v>
      </c>
      <c r="C136" s="260">
        <v>13</v>
      </c>
      <c r="D136" s="260">
        <v>0</v>
      </c>
      <c r="E136" s="260">
        <f t="shared" si="18"/>
        <v>-13</v>
      </c>
      <c r="F136" s="259">
        <f t="shared" si="19"/>
        <v>-1</v>
      </c>
    </row>
    <row r="137" spans="1:6" ht="20.25" customHeight="1" x14ac:dyDescent="0.3">
      <c r="A137" s="256">
        <v>7</v>
      </c>
      <c r="B137" s="257" t="s">
        <v>445</v>
      </c>
      <c r="C137" s="260">
        <v>16</v>
      </c>
      <c r="D137" s="260">
        <v>0</v>
      </c>
      <c r="E137" s="260">
        <f t="shared" si="18"/>
        <v>-16</v>
      </c>
      <c r="F137" s="259">
        <f t="shared" si="19"/>
        <v>-1</v>
      </c>
    </row>
    <row r="138" spans="1:6" ht="20.25" customHeight="1" x14ac:dyDescent="0.3">
      <c r="A138" s="256">
        <v>8</v>
      </c>
      <c r="B138" s="257" t="s">
        <v>446</v>
      </c>
      <c r="C138" s="260">
        <v>11</v>
      </c>
      <c r="D138" s="260">
        <v>0</v>
      </c>
      <c r="E138" s="260">
        <f t="shared" si="18"/>
        <v>-11</v>
      </c>
      <c r="F138" s="259">
        <f t="shared" si="19"/>
        <v>-1</v>
      </c>
    </row>
    <row r="139" spans="1:6" ht="20.25" customHeight="1" x14ac:dyDescent="0.3">
      <c r="A139" s="256">
        <v>9</v>
      </c>
      <c r="B139" s="257" t="s">
        <v>447</v>
      </c>
      <c r="C139" s="260">
        <v>3</v>
      </c>
      <c r="D139" s="260">
        <v>0</v>
      </c>
      <c r="E139" s="260">
        <f t="shared" si="18"/>
        <v>-3</v>
      </c>
      <c r="F139" s="259">
        <f t="shared" si="19"/>
        <v>-1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74966</v>
      </c>
      <c r="D140" s="263">
        <f>+D131+D133</f>
        <v>0</v>
      </c>
      <c r="E140" s="263">
        <f t="shared" si="18"/>
        <v>-74966</v>
      </c>
      <c r="F140" s="264">
        <f t="shared" si="19"/>
        <v>-1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28164</v>
      </c>
      <c r="D141" s="263">
        <f>+D132+D134</f>
        <v>0</v>
      </c>
      <c r="E141" s="263">
        <f t="shared" si="18"/>
        <v>-28164</v>
      </c>
      <c r="F141" s="264">
        <f t="shared" si="19"/>
        <v>-1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9554</v>
      </c>
      <c r="D144" s="258">
        <v>0</v>
      </c>
      <c r="E144" s="258">
        <f t="shared" ref="E144:E154" si="20">D144-C144</f>
        <v>-9554</v>
      </c>
      <c r="F144" s="259">
        <f t="shared" ref="F144:F154" si="21">IF(C144=0,0,E144/C144)</f>
        <v>-1</v>
      </c>
    </row>
    <row r="145" spans="1:6" ht="20.25" customHeight="1" x14ac:dyDescent="0.3">
      <c r="A145" s="256">
        <v>2</v>
      </c>
      <c r="B145" s="257" t="s">
        <v>442</v>
      </c>
      <c r="C145" s="258">
        <v>4054</v>
      </c>
      <c r="D145" s="258">
        <v>0</v>
      </c>
      <c r="E145" s="258">
        <f t="shared" si="20"/>
        <v>-4054</v>
      </c>
      <c r="F145" s="259">
        <f t="shared" si="21"/>
        <v>-1</v>
      </c>
    </row>
    <row r="146" spans="1:6" ht="20.25" customHeight="1" x14ac:dyDescent="0.3">
      <c r="A146" s="256">
        <v>3</v>
      </c>
      <c r="B146" s="257" t="s">
        <v>443</v>
      </c>
      <c r="C146" s="258">
        <v>99669</v>
      </c>
      <c r="D146" s="258">
        <v>0</v>
      </c>
      <c r="E146" s="258">
        <f t="shared" si="20"/>
        <v>-99669</v>
      </c>
      <c r="F146" s="259">
        <f t="shared" si="21"/>
        <v>-1</v>
      </c>
    </row>
    <row r="147" spans="1:6" ht="20.25" customHeight="1" x14ac:dyDescent="0.3">
      <c r="A147" s="256">
        <v>4</v>
      </c>
      <c r="B147" s="257" t="s">
        <v>444</v>
      </c>
      <c r="C147" s="258">
        <v>26058</v>
      </c>
      <c r="D147" s="258">
        <v>0</v>
      </c>
      <c r="E147" s="258">
        <f t="shared" si="20"/>
        <v>-26058</v>
      </c>
      <c r="F147" s="259">
        <f t="shared" si="21"/>
        <v>-1</v>
      </c>
    </row>
    <row r="148" spans="1:6" ht="20.25" customHeight="1" x14ac:dyDescent="0.3">
      <c r="A148" s="256">
        <v>5</v>
      </c>
      <c r="B148" s="257" t="s">
        <v>381</v>
      </c>
      <c r="C148" s="260">
        <v>1</v>
      </c>
      <c r="D148" s="260">
        <v>0</v>
      </c>
      <c r="E148" s="260">
        <f t="shared" si="20"/>
        <v>-1</v>
      </c>
      <c r="F148" s="259">
        <f t="shared" si="21"/>
        <v>-1</v>
      </c>
    </row>
    <row r="149" spans="1:6" ht="20.25" customHeight="1" x14ac:dyDescent="0.3">
      <c r="A149" s="256">
        <v>6</v>
      </c>
      <c r="B149" s="257" t="s">
        <v>380</v>
      </c>
      <c r="C149" s="260">
        <v>2</v>
      </c>
      <c r="D149" s="260">
        <v>0</v>
      </c>
      <c r="E149" s="260">
        <f t="shared" si="20"/>
        <v>-2</v>
      </c>
      <c r="F149" s="259">
        <f t="shared" si="21"/>
        <v>-1</v>
      </c>
    </row>
    <row r="150" spans="1:6" ht="20.25" customHeight="1" x14ac:dyDescent="0.3">
      <c r="A150" s="256">
        <v>7</v>
      </c>
      <c r="B150" s="257" t="s">
        <v>445</v>
      </c>
      <c r="C150" s="260">
        <v>131</v>
      </c>
      <c r="D150" s="260">
        <v>0</v>
      </c>
      <c r="E150" s="260">
        <f t="shared" si="20"/>
        <v>-131</v>
      </c>
      <c r="F150" s="259">
        <f t="shared" si="21"/>
        <v>-1</v>
      </c>
    </row>
    <row r="151" spans="1:6" ht="20.25" customHeight="1" x14ac:dyDescent="0.3">
      <c r="A151" s="256">
        <v>8</v>
      </c>
      <c r="B151" s="257" t="s">
        <v>446</v>
      </c>
      <c r="C151" s="260">
        <v>9</v>
      </c>
      <c r="D151" s="260">
        <v>0</v>
      </c>
      <c r="E151" s="260">
        <f t="shared" si="20"/>
        <v>-9</v>
      </c>
      <c r="F151" s="259">
        <f t="shared" si="21"/>
        <v>-1</v>
      </c>
    </row>
    <row r="152" spans="1:6" ht="20.25" customHeight="1" x14ac:dyDescent="0.3">
      <c r="A152" s="256">
        <v>9</v>
      </c>
      <c r="B152" s="257" t="s">
        <v>447</v>
      </c>
      <c r="C152" s="260">
        <v>1</v>
      </c>
      <c r="D152" s="260">
        <v>0</v>
      </c>
      <c r="E152" s="260">
        <f t="shared" si="20"/>
        <v>-1</v>
      </c>
      <c r="F152" s="259">
        <f t="shared" si="21"/>
        <v>-1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109223</v>
      </c>
      <c r="D153" s="263">
        <f>+D144+D146</f>
        <v>0</v>
      </c>
      <c r="E153" s="263">
        <f t="shared" si="20"/>
        <v>-109223</v>
      </c>
      <c r="F153" s="264">
        <f t="shared" si="21"/>
        <v>-1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30112</v>
      </c>
      <c r="D154" s="263">
        <f>+D145+D147</f>
        <v>0</v>
      </c>
      <c r="E154" s="263">
        <f t="shared" si="20"/>
        <v>-30112</v>
      </c>
      <c r="F154" s="264">
        <f t="shared" si="21"/>
        <v>-1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105897</v>
      </c>
      <c r="D183" s="258">
        <v>0</v>
      </c>
      <c r="E183" s="258">
        <f t="shared" ref="E183:E193" si="26">D183-C183</f>
        <v>-105897</v>
      </c>
      <c r="F183" s="259">
        <f t="shared" ref="F183:F193" si="27">IF(C183=0,0,E183/C183)</f>
        <v>-1</v>
      </c>
    </row>
    <row r="184" spans="1:6" ht="20.25" customHeight="1" x14ac:dyDescent="0.3">
      <c r="A184" s="256">
        <v>2</v>
      </c>
      <c r="B184" s="257" t="s">
        <v>442</v>
      </c>
      <c r="C184" s="258">
        <v>44875</v>
      </c>
      <c r="D184" s="258">
        <v>0</v>
      </c>
      <c r="E184" s="258">
        <f t="shared" si="26"/>
        <v>-44875</v>
      </c>
      <c r="F184" s="259">
        <f t="shared" si="27"/>
        <v>-1</v>
      </c>
    </row>
    <row r="185" spans="1:6" ht="20.25" customHeight="1" x14ac:dyDescent="0.3">
      <c r="A185" s="256">
        <v>3</v>
      </c>
      <c r="B185" s="257" t="s">
        <v>443</v>
      </c>
      <c r="C185" s="258">
        <v>182859</v>
      </c>
      <c r="D185" s="258">
        <v>0</v>
      </c>
      <c r="E185" s="258">
        <f t="shared" si="26"/>
        <v>-182859</v>
      </c>
      <c r="F185" s="259">
        <f t="shared" si="27"/>
        <v>-1</v>
      </c>
    </row>
    <row r="186" spans="1:6" ht="20.25" customHeight="1" x14ac:dyDescent="0.3">
      <c r="A186" s="256">
        <v>4</v>
      </c>
      <c r="B186" s="257" t="s">
        <v>444</v>
      </c>
      <c r="C186" s="258">
        <v>42757</v>
      </c>
      <c r="D186" s="258">
        <v>0</v>
      </c>
      <c r="E186" s="258">
        <f t="shared" si="26"/>
        <v>-42757</v>
      </c>
      <c r="F186" s="259">
        <f t="shared" si="27"/>
        <v>-1</v>
      </c>
    </row>
    <row r="187" spans="1:6" ht="20.25" customHeight="1" x14ac:dyDescent="0.3">
      <c r="A187" s="256">
        <v>5</v>
      </c>
      <c r="B187" s="257" t="s">
        <v>381</v>
      </c>
      <c r="C187" s="260">
        <v>6</v>
      </c>
      <c r="D187" s="260">
        <v>0</v>
      </c>
      <c r="E187" s="260">
        <f t="shared" si="26"/>
        <v>-6</v>
      </c>
      <c r="F187" s="259">
        <f t="shared" si="27"/>
        <v>-1</v>
      </c>
    </row>
    <row r="188" spans="1:6" ht="20.25" customHeight="1" x14ac:dyDescent="0.3">
      <c r="A188" s="256">
        <v>6</v>
      </c>
      <c r="B188" s="257" t="s">
        <v>380</v>
      </c>
      <c r="C188" s="260">
        <v>26</v>
      </c>
      <c r="D188" s="260">
        <v>0</v>
      </c>
      <c r="E188" s="260">
        <f t="shared" si="26"/>
        <v>-26</v>
      </c>
      <c r="F188" s="259">
        <f t="shared" si="27"/>
        <v>-1</v>
      </c>
    </row>
    <row r="189" spans="1:6" ht="20.25" customHeight="1" x14ac:dyDescent="0.3">
      <c r="A189" s="256">
        <v>7</v>
      </c>
      <c r="B189" s="257" t="s">
        <v>445</v>
      </c>
      <c r="C189" s="260">
        <v>916</v>
      </c>
      <c r="D189" s="260">
        <v>0</v>
      </c>
      <c r="E189" s="260">
        <f t="shared" si="26"/>
        <v>-916</v>
      </c>
      <c r="F189" s="259">
        <f t="shared" si="27"/>
        <v>-1</v>
      </c>
    </row>
    <row r="190" spans="1:6" ht="20.25" customHeight="1" x14ac:dyDescent="0.3">
      <c r="A190" s="256">
        <v>8</v>
      </c>
      <c r="B190" s="257" t="s">
        <v>446</v>
      </c>
      <c r="C190" s="260">
        <v>22</v>
      </c>
      <c r="D190" s="260">
        <v>0</v>
      </c>
      <c r="E190" s="260">
        <f t="shared" si="26"/>
        <v>-22</v>
      </c>
      <c r="F190" s="259">
        <f t="shared" si="27"/>
        <v>-1</v>
      </c>
    </row>
    <row r="191" spans="1:6" ht="20.25" customHeight="1" x14ac:dyDescent="0.3">
      <c r="A191" s="256">
        <v>9</v>
      </c>
      <c r="B191" s="257" t="s">
        <v>447</v>
      </c>
      <c r="C191" s="260">
        <v>5</v>
      </c>
      <c r="D191" s="260">
        <v>0</v>
      </c>
      <c r="E191" s="260">
        <f t="shared" si="26"/>
        <v>-5</v>
      </c>
      <c r="F191" s="259">
        <f t="shared" si="27"/>
        <v>-1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288756</v>
      </c>
      <c r="D192" s="263">
        <f>+D183+D185</f>
        <v>0</v>
      </c>
      <c r="E192" s="263">
        <f t="shared" si="26"/>
        <v>-288756</v>
      </c>
      <c r="F192" s="264">
        <f t="shared" si="27"/>
        <v>-1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87632</v>
      </c>
      <c r="D193" s="263">
        <f>+D184+D186</f>
        <v>0</v>
      </c>
      <c r="E193" s="263">
        <f t="shared" si="26"/>
        <v>-87632</v>
      </c>
      <c r="F193" s="264">
        <f t="shared" si="27"/>
        <v>-1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9017001</v>
      </c>
      <c r="D198" s="263">
        <f t="shared" si="28"/>
        <v>8815862</v>
      </c>
      <c r="E198" s="263">
        <f t="shared" ref="E198:E208" si="29">D198-C198</f>
        <v>-201139</v>
      </c>
      <c r="F198" s="273">
        <f t="shared" ref="F198:F208" si="30">IF(C198=0,0,E198/C198)</f>
        <v>-2.2306640533809412E-2</v>
      </c>
    </row>
    <row r="199" spans="1:9" ht="20.25" customHeight="1" x14ac:dyDescent="0.3">
      <c r="A199" s="271"/>
      <c r="B199" s="272" t="s">
        <v>466</v>
      </c>
      <c r="C199" s="263">
        <f t="shared" si="28"/>
        <v>3039798</v>
      </c>
      <c r="D199" s="263">
        <f t="shared" si="28"/>
        <v>2477586</v>
      </c>
      <c r="E199" s="263">
        <f t="shared" si="29"/>
        <v>-562212</v>
      </c>
      <c r="F199" s="273">
        <f t="shared" si="30"/>
        <v>-0.18495044736525257</v>
      </c>
    </row>
    <row r="200" spans="1:9" ht="20.25" customHeight="1" x14ac:dyDescent="0.3">
      <c r="A200" s="271"/>
      <c r="B200" s="272" t="s">
        <v>467</v>
      </c>
      <c r="C200" s="263">
        <f t="shared" si="28"/>
        <v>13991385</v>
      </c>
      <c r="D200" s="263">
        <f t="shared" si="28"/>
        <v>14850229</v>
      </c>
      <c r="E200" s="263">
        <f t="shared" si="29"/>
        <v>858844</v>
      </c>
      <c r="F200" s="273">
        <f t="shared" si="30"/>
        <v>6.1383772943136079E-2</v>
      </c>
    </row>
    <row r="201" spans="1:9" ht="20.25" customHeight="1" x14ac:dyDescent="0.3">
      <c r="A201" s="271"/>
      <c r="B201" s="272" t="s">
        <v>468</v>
      </c>
      <c r="C201" s="263">
        <f t="shared" si="28"/>
        <v>3272062</v>
      </c>
      <c r="D201" s="263">
        <f t="shared" si="28"/>
        <v>2871669</v>
      </c>
      <c r="E201" s="263">
        <f t="shared" si="29"/>
        <v>-400393</v>
      </c>
      <c r="F201" s="273">
        <f t="shared" si="30"/>
        <v>-0.12236718008399597</v>
      </c>
    </row>
    <row r="202" spans="1:9" ht="20.25" customHeight="1" x14ac:dyDescent="0.3">
      <c r="A202" s="271"/>
      <c r="B202" s="272" t="s">
        <v>138</v>
      </c>
      <c r="C202" s="274">
        <f t="shared" si="28"/>
        <v>373</v>
      </c>
      <c r="D202" s="274">
        <f t="shared" si="28"/>
        <v>396</v>
      </c>
      <c r="E202" s="274">
        <f t="shared" si="29"/>
        <v>23</v>
      </c>
      <c r="F202" s="273">
        <f t="shared" si="30"/>
        <v>6.1662198391420911E-2</v>
      </c>
    </row>
    <row r="203" spans="1:9" ht="20.25" customHeight="1" x14ac:dyDescent="0.3">
      <c r="A203" s="271"/>
      <c r="B203" s="272" t="s">
        <v>140</v>
      </c>
      <c r="C203" s="274">
        <f t="shared" si="28"/>
        <v>1969</v>
      </c>
      <c r="D203" s="274">
        <f t="shared" si="28"/>
        <v>2075</v>
      </c>
      <c r="E203" s="274">
        <f t="shared" si="29"/>
        <v>106</v>
      </c>
      <c r="F203" s="273">
        <f t="shared" si="30"/>
        <v>5.3834433722701878E-2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9957</v>
      </c>
      <c r="D204" s="274">
        <f t="shared" si="28"/>
        <v>7771</v>
      </c>
      <c r="E204" s="274">
        <f t="shared" si="29"/>
        <v>-2186</v>
      </c>
      <c r="F204" s="273">
        <f t="shared" si="30"/>
        <v>-0.21954403936928793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1011</v>
      </c>
      <c r="D205" s="274">
        <f t="shared" si="28"/>
        <v>1247</v>
      </c>
      <c r="E205" s="274">
        <f t="shared" si="29"/>
        <v>236</v>
      </c>
      <c r="F205" s="273">
        <f t="shared" si="30"/>
        <v>0.2334322453016815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340</v>
      </c>
      <c r="D206" s="274">
        <f t="shared" si="28"/>
        <v>362</v>
      </c>
      <c r="E206" s="274">
        <f t="shared" si="29"/>
        <v>22</v>
      </c>
      <c r="F206" s="273">
        <f t="shared" si="30"/>
        <v>6.4705882352941183E-2</v>
      </c>
    </row>
    <row r="207" spans="1:9" ht="20.25" customHeight="1" x14ac:dyDescent="0.3">
      <c r="A207" s="271"/>
      <c r="B207" s="262" t="s">
        <v>471</v>
      </c>
      <c r="C207" s="263">
        <f>+C198+C200</f>
        <v>23008386</v>
      </c>
      <c r="D207" s="263">
        <f>+D198+D200</f>
        <v>23666091</v>
      </c>
      <c r="E207" s="263">
        <f t="shared" si="29"/>
        <v>657705</v>
      </c>
      <c r="F207" s="273">
        <f t="shared" si="30"/>
        <v>2.8585447062649243E-2</v>
      </c>
    </row>
    <row r="208" spans="1:9" ht="20.25" customHeight="1" x14ac:dyDescent="0.3">
      <c r="A208" s="271"/>
      <c r="B208" s="262" t="s">
        <v>472</v>
      </c>
      <c r="C208" s="263">
        <f>+C199+C201</f>
        <v>6311860</v>
      </c>
      <c r="D208" s="263">
        <f>+D199+D201</f>
        <v>5349255</v>
      </c>
      <c r="E208" s="263">
        <f t="shared" si="29"/>
        <v>-962605</v>
      </c>
      <c r="F208" s="273">
        <f t="shared" si="30"/>
        <v>-0.15250734331876817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75" bottom="0.75" header="0.3" footer="0.3"/>
  <pageSetup scale="57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M25" sqref="M2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75" bottom="0.75" header="0.3" footer="0.3"/>
  <pageSetup scale="57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activeCell="M25" sqref="M25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1805602</v>
      </c>
      <c r="D13" s="22">
        <v>72316000</v>
      </c>
      <c r="E13" s="22">
        <f t="shared" ref="E13:E22" si="0">D13-C13</f>
        <v>70510398</v>
      </c>
      <c r="F13" s="306">
        <f t="shared" ref="F13:F22" si="1">IF(C13=0,0,E13/C13)</f>
        <v>39.050908228945246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49401000</v>
      </c>
      <c r="E14" s="22">
        <f t="shared" si="0"/>
        <v>49401000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12246951</v>
      </c>
      <c r="D15" s="22">
        <v>124168000</v>
      </c>
      <c r="E15" s="22">
        <f t="shared" si="0"/>
        <v>111921049</v>
      </c>
      <c r="F15" s="306">
        <f t="shared" si="1"/>
        <v>9.1386867637504228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5754000</v>
      </c>
      <c r="E16" s="22">
        <f t="shared" si="0"/>
        <v>5754000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3147000</v>
      </c>
      <c r="E17" s="22">
        <f t="shared" si="0"/>
        <v>3147000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5513000</v>
      </c>
      <c r="E18" s="22">
        <f t="shared" si="0"/>
        <v>5513000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1523756</v>
      </c>
      <c r="D19" s="22">
        <v>14316000</v>
      </c>
      <c r="E19" s="22">
        <f t="shared" si="0"/>
        <v>12792244</v>
      </c>
      <c r="F19" s="306">
        <f t="shared" si="1"/>
        <v>8.3952050065758552</v>
      </c>
    </row>
    <row r="20" spans="1:11" ht="24" customHeight="1" x14ac:dyDescent="0.2">
      <c r="A20" s="304">
        <v>8</v>
      </c>
      <c r="B20" s="305" t="s">
        <v>23</v>
      </c>
      <c r="C20" s="22">
        <v>1880119</v>
      </c>
      <c r="D20" s="22">
        <v>8569000</v>
      </c>
      <c r="E20" s="22">
        <f t="shared" si="0"/>
        <v>6688881</v>
      </c>
      <c r="F20" s="306">
        <f t="shared" si="1"/>
        <v>3.5576902313098269</v>
      </c>
    </row>
    <row r="21" spans="1:11" ht="24" customHeight="1" x14ac:dyDescent="0.2">
      <c r="A21" s="304">
        <v>9</v>
      </c>
      <c r="B21" s="305" t="s">
        <v>24</v>
      </c>
      <c r="C21" s="22">
        <v>537387</v>
      </c>
      <c r="D21" s="22">
        <v>13155000</v>
      </c>
      <c r="E21" s="22">
        <f t="shared" si="0"/>
        <v>12617613</v>
      </c>
      <c r="F21" s="306">
        <f t="shared" si="1"/>
        <v>23.479565006224565</v>
      </c>
    </row>
    <row r="22" spans="1:11" ht="24" customHeight="1" x14ac:dyDescent="0.25">
      <c r="A22" s="307"/>
      <c r="B22" s="308" t="s">
        <v>25</v>
      </c>
      <c r="C22" s="309">
        <f>SUM(C13:C21)</f>
        <v>17993815</v>
      </c>
      <c r="D22" s="309">
        <f>SUM(D13:D21)</f>
        <v>296339000</v>
      </c>
      <c r="E22" s="309">
        <f t="shared" si="0"/>
        <v>278345185</v>
      </c>
      <c r="F22" s="310">
        <f t="shared" si="1"/>
        <v>15.468936687411757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4452119</v>
      </c>
      <c r="D25" s="22">
        <v>0</v>
      </c>
      <c r="E25" s="22">
        <f>D25-C25</f>
        <v>-4452119</v>
      </c>
      <c r="F25" s="306">
        <f>IF(C25=0,0,E25/C25)</f>
        <v>-1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139813000</v>
      </c>
      <c r="E26" s="22">
        <f>D26-C26</f>
        <v>139813000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224917</v>
      </c>
      <c r="D27" s="22">
        <v>0</v>
      </c>
      <c r="E27" s="22">
        <f>D27-C27</f>
        <v>-224917</v>
      </c>
      <c r="F27" s="306">
        <f>IF(C27=0,0,E27/C27)</f>
        <v>-1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24717000</v>
      </c>
      <c r="E28" s="22">
        <f>D28-C28</f>
        <v>24717000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4677036</v>
      </c>
      <c r="D29" s="309">
        <f>SUM(D25:D28)</f>
        <v>164530000</v>
      </c>
      <c r="E29" s="309">
        <f>D29-C29</f>
        <v>159852964</v>
      </c>
      <c r="F29" s="310">
        <f>IF(C29=0,0,E29/C29)</f>
        <v>34.178262472215309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3467074</v>
      </c>
      <c r="D32" s="22">
        <v>52748000</v>
      </c>
      <c r="E32" s="22">
        <f>D32-C32</f>
        <v>49280926</v>
      </c>
      <c r="F32" s="306">
        <f>IF(C32=0,0,E32/C32)</f>
        <v>14.213981587932649</v>
      </c>
    </row>
    <row r="33" spans="1:8" ht="24" customHeight="1" x14ac:dyDescent="0.2">
      <c r="A33" s="304">
        <v>7</v>
      </c>
      <c r="B33" s="305" t="s">
        <v>35</v>
      </c>
      <c r="C33" s="22">
        <v>1486054</v>
      </c>
      <c r="D33" s="22">
        <v>18518000</v>
      </c>
      <c r="E33" s="22">
        <f>D33-C33</f>
        <v>17031946</v>
      </c>
      <c r="F33" s="306">
        <f>IF(C33=0,0,E33/C33)</f>
        <v>11.461189162708758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97485005</v>
      </c>
      <c r="D36" s="22">
        <v>551097000</v>
      </c>
      <c r="E36" s="22">
        <f>D36-C36</f>
        <v>453611995</v>
      </c>
      <c r="F36" s="306">
        <f>IF(C36=0,0,E36/C36)</f>
        <v>4.6531463479947508</v>
      </c>
    </row>
    <row r="37" spans="1:8" ht="24" customHeight="1" x14ac:dyDescent="0.2">
      <c r="A37" s="304">
        <v>2</v>
      </c>
      <c r="B37" s="305" t="s">
        <v>39</v>
      </c>
      <c r="C37" s="22">
        <v>70147136</v>
      </c>
      <c r="D37" s="22">
        <v>49168000</v>
      </c>
      <c r="E37" s="22">
        <f>D37-C37</f>
        <v>-20979136</v>
      </c>
      <c r="F37" s="22">
        <f>IF(C37=0,0,E37/C37)</f>
        <v>-0.29907330785393721</v>
      </c>
    </row>
    <row r="38" spans="1:8" ht="24" customHeight="1" x14ac:dyDescent="0.25">
      <c r="A38" s="307"/>
      <c r="B38" s="308" t="s">
        <v>40</v>
      </c>
      <c r="C38" s="309">
        <f>C36-C37</f>
        <v>27337869</v>
      </c>
      <c r="D38" s="309">
        <f>D36-D37</f>
        <v>501929000</v>
      </c>
      <c r="E38" s="309">
        <f>D38-C38</f>
        <v>474591131</v>
      </c>
      <c r="F38" s="310">
        <f>IF(C38=0,0,E38/C38)</f>
        <v>17.360209422321834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0</v>
      </c>
      <c r="D40" s="22">
        <v>23674000</v>
      </c>
      <c r="E40" s="22">
        <f>D40-C40</f>
        <v>23674000</v>
      </c>
      <c r="F40" s="306">
        <f>IF(C40=0,0,E40/C40)</f>
        <v>0</v>
      </c>
    </row>
    <row r="41" spans="1:8" ht="24" customHeight="1" x14ac:dyDescent="0.25">
      <c r="A41" s="307"/>
      <c r="B41" s="308" t="s">
        <v>42</v>
      </c>
      <c r="C41" s="309">
        <f>+C38+C40</f>
        <v>27337869</v>
      </c>
      <c r="D41" s="309">
        <f>+D38+D40</f>
        <v>525603000</v>
      </c>
      <c r="E41" s="309">
        <f>D41-C41</f>
        <v>498265131</v>
      </c>
      <c r="F41" s="310">
        <f>IF(C41=0,0,E41/C41)</f>
        <v>18.226187673955128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54961848</v>
      </c>
      <c r="D43" s="309">
        <f>D22+D29+D31+D32+D33+D41</f>
        <v>1057738000</v>
      </c>
      <c r="E43" s="309">
        <f>D43-C43</f>
        <v>1002776152</v>
      </c>
      <c r="F43" s="310">
        <f>IF(C43=0,0,E43/C43)</f>
        <v>18.244949696742367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12652911</v>
      </c>
      <c r="D49" s="22">
        <v>68313000</v>
      </c>
      <c r="E49" s="22">
        <f t="shared" ref="E49:E56" si="2">D49-C49</f>
        <v>55660089</v>
      </c>
      <c r="F49" s="306">
        <f t="shared" ref="F49:F56" si="3">IF(C49=0,0,E49/C49)</f>
        <v>4.3989947451618052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2677952</v>
      </c>
      <c r="D50" s="22">
        <v>75613000</v>
      </c>
      <c r="E50" s="22">
        <f t="shared" si="2"/>
        <v>72935048</v>
      </c>
      <c r="F50" s="306">
        <f t="shared" si="3"/>
        <v>27.235382859737591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2446731</v>
      </c>
      <c r="D51" s="22">
        <v>15903000</v>
      </c>
      <c r="E51" s="22">
        <f t="shared" si="2"/>
        <v>13456269</v>
      </c>
      <c r="F51" s="306">
        <f t="shared" si="3"/>
        <v>5.499692855487587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29141197</v>
      </c>
      <c r="D53" s="22">
        <v>7821000</v>
      </c>
      <c r="E53" s="22">
        <f t="shared" si="2"/>
        <v>-21320197</v>
      </c>
      <c r="F53" s="306">
        <f t="shared" si="3"/>
        <v>-0.73161706432306128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838274</v>
      </c>
      <c r="D54" s="22">
        <v>0</v>
      </c>
      <c r="E54" s="22">
        <f t="shared" si="2"/>
        <v>-838274</v>
      </c>
      <c r="F54" s="306">
        <f t="shared" si="3"/>
        <v>-1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11243011</v>
      </c>
      <c r="D55" s="22">
        <v>11999000</v>
      </c>
      <c r="E55" s="22">
        <f t="shared" si="2"/>
        <v>755989</v>
      </c>
      <c r="F55" s="306">
        <f t="shared" si="3"/>
        <v>6.7240795192675701E-2</v>
      </c>
    </row>
    <row r="56" spans="1:6" ht="24" customHeight="1" x14ac:dyDescent="0.25">
      <c r="A56" s="307"/>
      <c r="B56" s="308" t="s">
        <v>54</v>
      </c>
      <c r="C56" s="309">
        <f>SUM(C49:C55)</f>
        <v>59000076</v>
      </c>
      <c r="D56" s="309">
        <f>SUM(D49:D55)</f>
        <v>179649000</v>
      </c>
      <c r="E56" s="309">
        <f t="shared" si="2"/>
        <v>120648924</v>
      </c>
      <c r="F56" s="310">
        <f t="shared" si="3"/>
        <v>2.0448943828479136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0</v>
      </c>
      <c r="D59" s="22">
        <v>256156000</v>
      </c>
      <c r="E59" s="22">
        <f>D59-C59</f>
        <v>256156000</v>
      </c>
      <c r="F59" s="306">
        <f>IF(C59=0,0,E59/C59)</f>
        <v>0</v>
      </c>
    </row>
    <row r="60" spans="1:6" ht="24" customHeight="1" x14ac:dyDescent="0.2">
      <c r="A60" s="304">
        <v>2</v>
      </c>
      <c r="B60" s="305" t="s">
        <v>57</v>
      </c>
      <c r="C60" s="22">
        <v>4572057</v>
      </c>
      <c r="D60" s="22">
        <v>0</v>
      </c>
      <c r="E60" s="22">
        <f>D60-C60</f>
        <v>-4572057</v>
      </c>
      <c r="F60" s="306">
        <f>IF(C60=0,0,E60/C60)</f>
        <v>-1</v>
      </c>
    </row>
    <row r="61" spans="1:6" ht="24" customHeight="1" x14ac:dyDescent="0.25">
      <c r="A61" s="307"/>
      <c r="B61" s="308" t="s">
        <v>58</v>
      </c>
      <c r="C61" s="309">
        <f>SUM(C59:C60)</f>
        <v>4572057</v>
      </c>
      <c r="D61" s="309">
        <f>SUM(D59:D60)</f>
        <v>256156000</v>
      </c>
      <c r="E61" s="309">
        <f>D61-C61</f>
        <v>251583943</v>
      </c>
      <c r="F61" s="310">
        <f>IF(C61=0,0,E61/C61)</f>
        <v>55.026423117647049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0</v>
      </c>
      <c r="D63" s="22">
        <v>314044000</v>
      </c>
      <c r="E63" s="22">
        <f>D63-C63</f>
        <v>314044000</v>
      </c>
      <c r="F63" s="306">
        <f>IF(C63=0,0,E63/C63)</f>
        <v>0</v>
      </c>
    </row>
    <row r="64" spans="1:6" ht="24" customHeight="1" x14ac:dyDescent="0.2">
      <c r="A64" s="304">
        <v>4</v>
      </c>
      <c r="B64" s="305" t="s">
        <v>60</v>
      </c>
      <c r="C64" s="22">
        <v>4932692</v>
      </c>
      <c r="D64" s="22">
        <v>79162000</v>
      </c>
      <c r="E64" s="22">
        <f>D64-C64</f>
        <v>74229308</v>
      </c>
      <c r="F64" s="306">
        <f>IF(C64=0,0,E64/C64)</f>
        <v>15.048437648245624</v>
      </c>
    </row>
    <row r="65" spans="1:6" ht="24" customHeight="1" x14ac:dyDescent="0.25">
      <c r="A65" s="307"/>
      <c r="B65" s="308" t="s">
        <v>61</v>
      </c>
      <c r="C65" s="309">
        <f>SUM(C61:C64)</f>
        <v>9504749</v>
      </c>
      <c r="D65" s="309">
        <f>SUM(D61:D64)</f>
        <v>649362000</v>
      </c>
      <c r="E65" s="309">
        <f>D65-C65</f>
        <v>639857251</v>
      </c>
      <c r="F65" s="310">
        <f>IF(C65=0,0,E65/C65)</f>
        <v>67.319742057365218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-18535995</v>
      </c>
      <c r="D70" s="22">
        <v>123226000</v>
      </c>
      <c r="E70" s="22">
        <f>D70-C70</f>
        <v>141761995</v>
      </c>
      <c r="F70" s="306">
        <f>IF(C70=0,0,E70/C70)</f>
        <v>-7.6479301488805973</v>
      </c>
    </row>
    <row r="71" spans="1:6" ht="24" customHeight="1" x14ac:dyDescent="0.2">
      <c r="A71" s="304">
        <v>2</v>
      </c>
      <c r="B71" s="305" t="s">
        <v>65</v>
      </c>
      <c r="C71" s="22">
        <v>553275</v>
      </c>
      <c r="D71" s="22">
        <v>33642000</v>
      </c>
      <c r="E71" s="22">
        <f>D71-C71</f>
        <v>33088725</v>
      </c>
      <c r="F71" s="306">
        <f>IF(C71=0,0,E71/C71)</f>
        <v>59.805205368035786</v>
      </c>
    </row>
    <row r="72" spans="1:6" ht="24" customHeight="1" x14ac:dyDescent="0.2">
      <c r="A72" s="304">
        <v>3</v>
      </c>
      <c r="B72" s="305" t="s">
        <v>66</v>
      </c>
      <c r="C72" s="22">
        <v>4439743</v>
      </c>
      <c r="D72" s="22">
        <v>71859000</v>
      </c>
      <c r="E72" s="22">
        <f>D72-C72</f>
        <v>67419257</v>
      </c>
      <c r="F72" s="306">
        <f>IF(C72=0,0,E72/C72)</f>
        <v>15.185396316858881</v>
      </c>
    </row>
    <row r="73" spans="1:6" ht="24" customHeight="1" x14ac:dyDescent="0.25">
      <c r="A73" s="304"/>
      <c r="B73" s="308" t="s">
        <v>67</v>
      </c>
      <c r="C73" s="309">
        <f>SUM(C70:C72)</f>
        <v>-13542977</v>
      </c>
      <c r="D73" s="309">
        <f>SUM(D70:D72)</f>
        <v>228727000</v>
      </c>
      <c r="E73" s="309">
        <f>D73-C73</f>
        <v>242269977</v>
      </c>
      <c r="F73" s="310">
        <f>IF(C73=0,0,E73/C73)</f>
        <v>-17.888975001582001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54961848</v>
      </c>
      <c r="D75" s="309">
        <f>D56+D65+D67+D73</f>
        <v>1057738000</v>
      </c>
      <c r="E75" s="309">
        <f>D75-C75</f>
        <v>1002776152</v>
      </c>
      <c r="F75" s="310">
        <f>IF(C75=0,0,E75/C75)</f>
        <v>18.244949696742367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70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activeCell="M25" sqref="M25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206688056</v>
      </c>
      <c r="D11" s="76">
        <v>50706187</v>
      </c>
      <c r="E11" s="76">
        <f t="shared" ref="E11:E20" si="0">D11-C11</f>
        <v>-155981869</v>
      </c>
      <c r="F11" s="77">
        <f t="shared" ref="F11:F20" si="1">IF(C11=0,0,E11/C11)</f>
        <v>-0.75467287282434936</v>
      </c>
    </row>
    <row r="12" spans="1:7" ht="23.1" customHeight="1" x14ac:dyDescent="0.2">
      <c r="A12" s="74">
        <v>2</v>
      </c>
      <c r="B12" s="75" t="s">
        <v>72</v>
      </c>
      <c r="C12" s="76">
        <v>113763631</v>
      </c>
      <c r="D12" s="76">
        <v>28938986</v>
      </c>
      <c r="E12" s="76">
        <f t="shared" si="0"/>
        <v>-84824645</v>
      </c>
      <c r="F12" s="77">
        <f t="shared" si="1"/>
        <v>-0.74562181476081757</v>
      </c>
    </row>
    <row r="13" spans="1:7" ht="23.1" customHeight="1" x14ac:dyDescent="0.2">
      <c r="A13" s="74">
        <v>3</v>
      </c>
      <c r="B13" s="75" t="s">
        <v>73</v>
      </c>
      <c r="C13" s="76">
        <v>221056</v>
      </c>
      <c r="D13" s="76">
        <v>54036</v>
      </c>
      <c r="E13" s="76">
        <f t="shared" si="0"/>
        <v>-167020</v>
      </c>
      <c r="F13" s="77">
        <f t="shared" si="1"/>
        <v>-0.75555515344528079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84136</v>
      </c>
      <c r="E14" s="76">
        <f t="shared" si="0"/>
        <v>84136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92703369</v>
      </c>
      <c r="D15" s="79">
        <f>D11-D12-D13-D14</f>
        <v>21629029</v>
      </c>
      <c r="E15" s="79">
        <f t="shared" si="0"/>
        <v>-71074340</v>
      </c>
      <c r="F15" s="80">
        <f t="shared" si="1"/>
        <v>-0.76668562067037715</v>
      </c>
    </row>
    <row r="16" spans="1:7" ht="23.1" customHeight="1" x14ac:dyDescent="0.2">
      <c r="A16" s="74">
        <v>5</v>
      </c>
      <c r="B16" s="75" t="s">
        <v>76</v>
      </c>
      <c r="C16" s="76">
        <v>3470135</v>
      </c>
      <c r="D16" s="76">
        <v>751523</v>
      </c>
      <c r="E16" s="76">
        <f t="shared" si="0"/>
        <v>-2718612</v>
      </c>
      <c r="F16" s="77">
        <f t="shared" si="1"/>
        <v>-0.78343119215823021</v>
      </c>
      <c r="G16" s="65"/>
    </row>
    <row r="17" spans="1:7" ht="31.5" customHeight="1" x14ac:dyDescent="0.25">
      <c r="A17" s="71"/>
      <c r="B17" s="81" t="s">
        <v>77</v>
      </c>
      <c r="C17" s="79">
        <f>C15-C16</f>
        <v>89233234</v>
      </c>
      <c r="D17" s="79">
        <f>D15-D16</f>
        <v>20877506</v>
      </c>
      <c r="E17" s="79">
        <f t="shared" si="0"/>
        <v>-68355728</v>
      </c>
      <c r="F17" s="80">
        <f t="shared" si="1"/>
        <v>-0.76603441269426586</v>
      </c>
    </row>
    <row r="18" spans="1:7" ht="23.1" customHeight="1" x14ac:dyDescent="0.2">
      <c r="A18" s="74">
        <v>6</v>
      </c>
      <c r="B18" s="75" t="s">
        <v>78</v>
      </c>
      <c r="C18" s="76">
        <v>1190422</v>
      </c>
      <c r="D18" s="76">
        <v>574379</v>
      </c>
      <c r="E18" s="76">
        <f t="shared" si="0"/>
        <v>-616043</v>
      </c>
      <c r="F18" s="77">
        <f t="shared" si="1"/>
        <v>-0.51749967658527818</v>
      </c>
      <c r="G18" s="65"/>
    </row>
    <row r="19" spans="1:7" ht="33" customHeight="1" x14ac:dyDescent="0.2">
      <c r="A19" s="74">
        <v>7</v>
      </c>
      <c r="B19" s="82" t="s">
        <v>79</v>
      </c>
      <c r="C19" s="76">
        <v>36593</v>
      </c>
      <c r="D19" s="76">
        <v>0</v>
      </c>
      <c r="E19" s="76">
        <f t="shared" si="0"/>
        <v>-36593</v>
      </c>
      <c r="F19" s="77">
        <f t="shared" si="1"/>
        <v>-1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90460249</v>
      </c>
      <c r="D20" s="79">
        <f>SUM(D17:D19)</f>
        <v>21451885</v>
      </c>
      <c r="E20" s="79">
        <f t="shared" si="0"/>
        <v>-69008364</v>
      </c>
      <c r="F20" s="80">
        <f t="shared" si="1"/>
        <v>-0.76285843520063712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40500652</v>
      </c>
      <c r="D23" s="76">
        <v>10153025</v>
      </c>
      <c r="E23" s="76">
        <f t="shared" ref="E23:E32" si="2">D23-C23</f>
        <v>-30347627</v>
      </c>
      <c r="F23" s="77">
        <f t="shared" ref="F23:F32" si="3">IF(C23=0,0,E23/C23)</f>
        <v>-0.74931206045769339</v>
      </c>
    </row>
    <row r="24" spans="1:7" ht="23.1" customHeight="1" x14ac:dyDescent="0.2">
      <c r="A24" s="74">
        <v>2</v>
      </c>
      <c r="B24" s="75" t="s">
        <v>83</v>
      </c>
      <c r="C24" s="76">
        <v>10064877</v>
      </c>
      <c r="D24" s="76">
        <v>2548465</v>
      </c>
      <c r="E24" s="76">
        <f t="shared" si="2"/>
        <v>-7516412</v>
      </c>
      <c r="F24" s="77">
        <f t="shared" si="3"/>
        <v>-0.74679621022691089</v>
      </c>
    </row>
    <row r="25" spans="1:7" ht="23.1" customHeight="1" x14ac:dyDescent="0.2">
      <c r="A25" s="74">
        <v>3</v>
      </c>
      <c r="B25" s="75" t="s">
        <v>84</v>
      </c>
      <c r="C25" s="76">
        <v>4050496</v>
      </c>
      <c r="D25" s="76">
        <v>1272665</v>
      </c>
      <c r="E25" s="76">
        <f t="shared" si="2"/>
        <v>-2777831</v>
      </c>
      <c r="F25" s="77">
        <f t="shared" si="3"/>
        <v>-0.68580020817203624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12485965</v>
      </c>
      <c r="D26" s="76">
        <v>3428342</v>
      </c>
      <c r="E26" s="76">
        <f t="shared" si="2"/>
        <v>-9057623</v>
      </c>
      <c r="F26" s="77">
        <f t="shared" si="3"/>
        <v>-0.72542434645620102</v>
      </c>
    </row>
    <row r="27" spans="1:7" ht="23.1" customHeight="1" x14ac:dyDescent="0.2">
      <c r="A27" s="74">
        <v>5</v>
      </c>
      <c r="B27" s="75" t="s">
        <v>86</v>
      </c>
      <c r="C27" s="76">
        <v>2419144</v>
      </c>
      <c r="D27" s="76">
        <v>612111</v>
      </c>
      <c r="E27" s="76">
        <f t="shared" si="2"/>
        <v>-1807033</v>
      </c>
      <c r="F27" s="77">
        <f t="shared" si="3"/>
        <v>-0.74697206945927985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1503067</v>
      </c>
      <c r="D29" s="76">
        <v>341823</v>
      </c>
      <c r="E29" s="76">
        <f t="shared" si="2"/>
        <v>-1161244</v>
      </c>
      <c r="F29" s="77">
        <f t="shared" si="3"/>
        <v>-0.77258299197574032</v>
      </c>
    </row>
    <row r="30" spans="1:7" ht="23.1" customHeight="1" x14ac:dyDescent="0.2">
      <c r="A30" s="74">
        <v>8</v>
      </c>
      <c r="B30" s="75" t="s">
        <v>89</v>
      </c>
      <c r="C30" s="76">
        <v>1056331</v>
      </c>
      <c r="D30" s="76">
        <v>230010</v>
      </c>
      <c r="E30" s="76">
        <f t="shared" si="2"/>
        <v>-826321</v>
      </c>
      <c r="F30" s="77">
        <f t="shared" si="3"/>
        <v>-0.78225575127493185</v>
      </c>
    </row>
    <row r="31" spans="1:7" ht="23.1" customHeight="1" x14ac:dyDescent="0.2">
      <c r="A31" s="74">
        <v>9</v>
      </c>
      <c r="B31" s="75" t="s">
        <v>90</v>
      </c>
      <c r="C31" s="76">
        <v>25211129</v>
      </c>
      <c r="D31" s="76">
        <v>5602179</v>
      </c>
      <c r="E31" s="76">
        <f t="shared" si="2"/>
        <v>-19608950</v>
      </c>
      <c r="F31" s="77">
        <f t="shared" si="3"/>
        <v>-0.77778944370162872</v>
      </c>
    </row>
    <row r="32" spans="1:7" ht="23.1" customHeight="1" x14ac:dyDescent="0.25">
      <c r="A32" s="71"/>
      <c r="B32" s="78" t="s">
        <v>91</v>
      </c>
      <c r="C32" s="79">
        <f>SUM(C23:C31)</f>
        <v>97291661</v>
      </c>
      <c r="D32" s="79">
        <f>SUM(D23:D31)</f>
        <v>24188620</v>
      </c>
      <c r="E32" s="79">
        <f t="shared" si="2"/>
        <v>-73103041</v>
      </c>
      <c r="F32" s="80">
        <f t="shared" si="3"/>
        <v>-0.75138033669709881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-6831412</v>
      </c>
      <c r="D34" s="79">
        <f>+D20-D32</f>
        <v>-2736735</v>
      </c>
      <c r="E34" s="79">
        <f>D34-C34</f>
        <v>4094677</v>
      </c>
      <c r="F34" s="80">
        <f>IF(C34=0,0,E34/C34)</f>
        <v>-0.59938955519005443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159517</v>
      </c>
      <c r="D37" s="76">
        <v>33549</v>
      </c>
      <c r="E37" s="76">
        <f>D37-C37</f>
        <v>-125968</v>
      </c>
      <c r="F37" s="77">
        <f>IF(C37=0,0,E37/C37)</f>
        <v>-0.78968385814678055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69138</v>
      </c>
      <c r="D39" s="76">
        <v>-771519</v>
      </c>
      <c r="E39" s="76">
        <f>D39-C39</f>
        <v>-840657</v>
      </c>
      <c r="F39" s="77">
        <f>IF(C39=0,0,E39/C39)</f>
        <v>-12.159116549509676</v>
      </c>
    </row>
    <row r="40" spans="1:6" ht="23.1" customHeight="1" x14ac:dyDescent="0.25">
      <c r="A40" s="83"/>
      <c r="B40" s="78" t="s">
        <v>97</v>
      </c>
      <c r="C40" s="79">
        <f>SUM(C37:C39)</f>
        <v>228655</v>
      </c>
      <c r="D40" s="79">
        <f>SUM(D37:D39)</f>
        <v>-737970</v>
      </c>
      <c r="E40" s="79">
        <f>D40-C40</f>
        <v>-966625</v>
      </c>
      <c r="F40" s="80">
        <f>IF(C40=0,0,E40/C40)</f>
        <v>-4.2274387177188339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-6602757</v>
      </c>
      <c r="D42" s="79">
        <f>D34+D40</f>
        <v>-3474705</v>
      </c>
      <c r="E42" s="79">
        <f>D42-C42</f>
        <v>3128052</v>
      </c>
      <c r="F42" s="80">
        <f>IF(C42=0,0,E42/C42)</f>
        <v>-0.47374937469302597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-6602757</v>
      </c>
      <c r="D49" s="79">
        <f>D42+D47</f>
        <v>-3474705</v>
      </c>
      <c r="E49" s="79">
        <f>D49-C49</f>
        <v>3128052</v>
      </c>
      <c r="F49" s="80">
        <f>IF(C49=0,0,E49/C49)</f>
        <v>-0.47374937469302597</v>
      </c>
    </row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75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Foster, Tillman</cp:lastModifiedBy>
  <cp:lastPrinted>2017-09-19T18:44:01Z</cp:lastPrinted>
  <dcterms:created xsi:type="dcterms:W3CDTF">2017-09-14T16:30:48Z</dcterms:created>
  <dcterms:modified xsi:type="dcterms:W3CDTF">2017-09-19T18:44:21Z</dcterms:modified>
</cp:coreProperties>
</file>