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Report485!$A$11:$F$31</definedName>
    <definedName name="_xlnm.Print_Area" localSheetId="13">Report500!$A$1:$F$335</definedName>
    <definedName name="_xlnm.Print_Area" localSheetId="14">Report550!$A$1:$E$330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C96" i="22"/>
  <c r="C98" i="22"/>
  <c r="E92" i="22"/>
  <c r="D92" i="22"/>
  <c r="C92" i="22"/>
  <c r="E91" i="22"/>
  <c r="D91" i="22"/>
  <c r="D93" i="22" s="1"/>
  <c r="C91" i="22"/>
  <c r="C93" i="22" s="1"/>
  <c r="E87" i="22"/>
  <c r="E88" i="22" s="1"/>
  <c r="D87" i="22"/>
  <c r="C87" i="22"/>
  <c r="E86" i="22"/>
  <c r="D86" i="22"/>
  <c r="D88" i="22"/>
  <c r="C86" i="22"/>
  <c r="C88" i="22" s="1"/>
  <c r="E83" i="22"/>
  <c r="E101" i="22" s="1"/>
  <c r="D83" i="22"/>
  <c r="C83" i="22"/>
  <c r="C101" i="22" s="1"/>
  <c r="E76" i="22"/>
  <c r="D76" i="22"/>
  <c r="C76" i="22"/>
  <c r="C102" i="22" s="1"/>
  <c r="E75" i="22"/>
  <c r="E77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/>
  <c r="D21" i="21"/>
  <c r="C21" i="21"/>
  <c r="D19" i="21"/>
  <c r="C19" i="21"/>
  <c r="E17" i="21"/>
  <c r="F17" i="21" s="1"/>
  <c r="E15" i="21"/>
  <c r="F15" i="21" s="1"/>
  <c r="D45" i="20"/>
  <c r="C45" i="20"/>
  <c r="C46" i="20" s="1"/>
  <c r="D44" i="20"/>
  <c r="E44" i="20" s="1"/>
  <c r="C44" i="20"/>
  <c r="F44" i="20" s="1"/>
  <c r="D43" i="20"/>
  <c r="D46" i="20" s="1"/>
  <c r="C43" i="20"/>
  <c r="D36" i="20"/>
  <c r="D40" i="20" s="1"/>
  <c r="C36" i="20"/>
  <c r="C40" i="20" s="1"/>
  <c r="E35" i="20"/>
  <c r="F35" i="20" s="1"/>
  <c r="E34" i="20"/>
  <c r="F34" i="20" s="1"/>
  <c r="E33" i="20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E24" i="20"/>
  <c r="F24" i="20" s="1"/>
  <c r="E23" i="20"/>
  <c r="F23" i="20" s="1"/>
  <c r="E22" i="20"/>
  <c r="F22" i="20" s="1"/>
  <c r="D19" i="20"/>
  <c r="C19" i="20"/>
  <c r="C20" i="20" s="1"/>
  <c r="E18" i="20"/>
  <c r="F18" i="20" s="1"/>
  <c r="D16" i="20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9" i="19"/>
  <c r="C48" i="19"/>
  <c r="C64" i="19" s="1"/>
  <c r="C36" i="19"/>
  <c r="C38" i="19" s="1"/>
  <c r="C127" i="19" s="1"/>
  <c r="C129" i="19" s="1"/>
  <c r="C133" i="19" s="1"/>
  <c r="C32" i="19"/>
  <c r="C33" i="19" s="1"/>
  <c r="C21" i="19"/>
  <c r="C37" i="19" s="1"/>
  <c r="E328" i="18"/>
  <c r="E325" i="18"/>
  <c r="D324" i="18"/>
  <c r="D326" i="18" s="1"/>
  <c r="C324" i="18"/>
  <c r="C326" i="18" s="1"/>
  <c r="C330" i="18" s="1"/>
  <c r="E318" i="18"/>
  <c r="E315" i="18"/>
  <c r="D314" i="18"/>
  <c r="D316" i="18" s="1"/>
  <c r="C314" i="18"/>
  <c r="C316" i="18" s="1"/>
  <c r="E308" i="18"/>
  <c r="E305" i="18"/>
  <c r="D301" i="18"/>
  <c r="C301" i="18"/>
  <c r="D293" i="18"/>
  <c r="E293" i="18" s="1"/>
  <c r="C293" i="18"/>
  <c r="D292" i="18"/>
  <c r="E292" i="18" s="1"/>
  <c r="C292" i="18"/>
  <c r="D291" i="18"/>
  <c r="E291" i="18" s="1"/>
  <c r="C291" i="18"/>
  <c r="D290" i="18"/>
  <c r="E290" i="18" s="1"/>
  <c r="C290" i="18"/>
  <c r="D288" i="18"/>
  <c r="C288" i="18"/>
  <c r="E288" i="18"/>
  <c r="D287" i="18"/>
  <c r="C287" i="18"/>
  <c r="D282" i="18"/>
  <c r="C282" i="18"/>
  <c r="D281" i="18"/>
  <c r="E281" i="18" s="1"/>
  <c r="C281" i="18"/>
  <c r="D280" i="18"/>
  <c r="C280" i="18"/>
  <c r="E280" i="18" s="1"/>
  <c r="D279" i="18"/>
  <c r="E279" i="18" s="1"/>
  <c r="C279" i="18"/>
  <c r="D278" i="18"/>
  <c r="E278" i="18" s="1"/>
  <c r="C278" i="18"/>
  <c r="D277" i="18"/>
  <c r="E277" i="18" s="1"/>
  <c r="C277" i="18"/>
  <c r="D276" i="18"/>
  <c r="C276" i="18"/>
  <c r="E276" i="18"/>
  <c r="E270" i="18"/>
  <c r="D265" i="18"/>
  <c r="C265" i="18"/>
  <c r="C302" i="18" s="1"/>
  <c r="D262" i="18"/>
  <c r="C262" i="18"/>
  <c r="E262" i="18"/>
  <c r="D251" i="18"/>
  <c r="C251" i="18"/>
  <c r="D233" i="18"/>
  <c r="C233" i="18"/>
  <c r="D232" i="18"/>
  <c r="E232" i="18" s="1"/>
  <c r="C232" i="18"/>
  <c r="D231" i="18"/>
  <c r="C231" i="18"/>
  <c r="E231" i="18"/>
  <c r="D230" i="18"/>
  <c r="E230" i="18"/>
  <c r="C230" i="18"/>
  <c r="D228" i="18"/>
  <c r="E228" i="18" s="1"/>
  <c r="C228" i="18"/>
  <c r="D227" i="18"/>
  <c r="C227" i="18"/>
  <c r="D221" i="18"/>
  <c r="D245" i="18" s="1"/>
  <c r="C221" i="18"/>
  <c r="C245" i="18" s="1"/>
  <c r="E245" i="18" s="1"/>
  <c r="D220" i="18"/>
  <c r="D244" i="18" s="1"/>
  <c r="C220" i="18"/>
  <c r="C244" i="18" s="1"/>
  <c r="D219" i="18"/>
  <c r="D243" i="18" s="1"/>
  <c r="C219" i="18"/>
  <c r="C243" i="18"/>
  <c r="D218" i="18"/>
  <c r="D242" i="18" s="1"/>
  <c r="C218" i="18"/>
  <c r="C242" i="18" s="1"/>
  <c r="D216" i="18"/>
  <c r="D240" i="18"/>
  <c r="C216" i="18"/>
  <c r="D215" i="18"/>
  <c r="C215" i="18"/>
  <c r="C239" i="18"/>
  <c r="E209" i="18"/>
  <c r="E208" i="18"/>
  <c r="E207" i="18"/>
  <c r="E206" i="18"/>
  <c r="D205" i="18"/>
  <c r="D229" i="18" s="1"/>
  <c r="C205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9" i="18"/>
  <c r="D188" i="18"/>
  <c r="D261" i="18" s="1"/>
  <c r="C188" i="18"/>
  <c r="E186" i="18"/>
  <c r="E185" i="18"/>
  <c r="D179" i="18"/>
  <c r="C179" i="18"/>
  <c r="E179" i="18" s="1"/>
  <c r="D178" i="18"/>
  <c r="E178" i="18" s="1"/>
  <c r="C178" i="18"/>
  <c r="D177" i="18"/>
  <c r="E177" i="18" s="1"/>
  <c r="C177" i="18"/>
  <c r="D176" i="18"/>
  <c r="C176" i="18"/>
  <c r="E176" i="18" s="1"/>
  <c r="D174" i="18"/>
  <c r="C174" i="18"/>
  <c r="D173" i="18"/>
  <c r="C173" i="18"/>
  <c r="D167" i="18"/>
  <c r="C167" i="18"/>
  <c r="D166" i="18"/>
  <c r="C166" i="18"/>
  <c r="D165" i="18"/>
  <c r="E165" i="18" s="1"/>
  <c r="C165" i="18"/>
  <c r="D164" i="18"/>
  <c r="C164" i="18"/>
  <c r="D162" i="18"/>
  <c r="E162" i="18" s="1"/>
  <c r="C162" i="18"/>
  <c r="D161" i="18"/>
  <c r="C161" i="18"/>
  <c r="E161" i="18" s="1"/>
  <c r="E155" i="18"/>
  <c r="E154" i="18"/>
  <c r="E153" i="18"/>
  <c r="E152" i="18"/>
  <c r="D151" i="18"/>
  <c r="C151" i="18"/>
  <c r="C156" i="18" s="1"/>
  <c r="C157" i="18" s="1"/>
  <c r="E150" i="18"/>
  <c r="E149" i="18"/>
  <c r="E143" i="18"/>
  <c r="E142" i="18"/>
  <c r="E141" i="18"/>
  <c r="E140" i="18"/>
  <c r="D139" i="18"/>
  <c r="C139" i="18"/>
  <c r="C163" i="18" s="1"/>
  <c r="E138" i="18"/>
  <c r="E137" i="18"/>
  <c r="D75" i="18"/>
  <c r="C75" i="18"/>
  <c r="E75" i="18"/>
  <c r="D74" i="18"/>
  <c r="E74" i="18"/>
  <c r="C74" i="18"/>
  <c r="D73" i="18"/>
  <c r="C73" i="18"/>
  <c r="D72" i="18"/>
  <c r="E72" i="18" s="1"/>
  <c r="C72" i="18"/>
  <c r="D70" i="18"/>
  <c r="E70" i="18" s="1"/>
  <c r="C70" i="18"/>
  <c r="D69" i="18"/>
  <c r="C69" i="18"/>
  <c r="E64" i="18"/>
  <c r="E63" i="18"/>
  <c r="E62" i="18"/>
  <c r="E61" i="18"/>
  <c r="D60" i="18"/>
  <c r="D289" i="18" s="1"/>
  <c r="E289" i="18" s="1"/>
  <c r="C60" i="18"/>
  <c r="C65" i="18" s="1"/>
  <c r="C66" i="18" s="1"/>
  <c r="C295" i="18" s="1"/>
  <c r="C289" i="18"/>
  <c r="E59" i="18"/>
  <c r="E58" i="18"/>
  <c r="D54" i="18"/>
  <c r="C54" i="18"/>
  <c r="C55" i="18" s="1"/>
  <c r="C284" i="18" s="1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 s="1"/>
  <c r="D40" i="18"/>
  <c r="E40" i="18"/>
  <c r="C40" i="18"/>
  <c r="D39" i="18"/>
  <c r="E39" i="18" s="1"/>
  <c r="C39" i="18"/>
  <c r="D38" i="18"/>
  <c r="E38" i="18" s="1"/>
  <c r="C38" i="18"/>
  <c r="D37" i="18"/>
  <c r="D43" i="18" s="1"/>
  <c r="C37" i="18"/>
  <c r="D36" i="18"/>
  <c r="E36" i="18" s="1"/>
  <c r="C36" i="18"/>
  <c r="C33" i="18"/>
  <c r="D32" i="18"/>
  <c r="D33" i="18" s="1"/>
  <c r="C32" i="18"/>
  <c r="E31" i="18"/>
  <c r="E30" i="18"/>
  <c r="E29" i="18"/>
  <c r="E28" i="18"/>
  <c r="E27" i="18"/>
  <c r="E26" i="18"/>
  <c r="E25" i="18"/>
  <c r="D21" i="18"/>
  <c r="D22" i="18" s="1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F333" i="17"/>
  <c r="E333" i="17"/>
  <c r="F332" i="17"/>
  <c r="E332" i="17"/>
  <c r="E331" i="17"/>
  <c r="F331" i="17" s="1"/>
  <c r="E330" i="17"/>
  <c r="F330" i="17" s="1"/>
  <c r="F329" i="17"/>
  <c r="E329" i="17"/>
  <c r="F316" i="17"/>
  <c r="E316" i="17"/>
  <c r="D311" i="17"/>
  <c r="E311" i="17" s="1"/>
  <c r="C311" i="17"/>
  <c r="F311" i="17" s="1"/>
  <c r="F308" i="17"/>
  <c r="E308" i="17"/>
  <c r="D307" i="17"/>
  <c r="E307" i="17" s="1"/>
  <c r="C307" i="17"/>
  <c r="D299" i="17"/>
  <c r="E299" i="17" s="1"/>
  <c r="F299" i="17" s="1"/>
  <c r="C299" i="17"/>
  <c r="D298" i="17"/>
  <c r="C298" i="17"/>
  <c r="F298" i="17"/>
  <c r="D297" i="17"/>
  <c r="C297" i="17"/>
  <c r="D296" i="17"/>
  <c r="C296" i="17"/>
  <c r="D295" i="17"/>
  <c r="C295" i="17"/>
  <c r="D294" i="17"/>
  <c r="C294" i="17"/>
  <c r="D250" i="17"/>
  <c r="C250" i="17"/>
  <c r="C306" i="17" s="1"/>
  <c r="E249" i="17"/>
  <c r="F249" i="17" s="1"/>
  <c r="F248" i="17"/>
  <c r="E248" i="17"/>
  <c r="F245" i="17"/>
  <c r="E245" i="17"/>
  <c r="E244" i="17"/>
  <c r="F244" i="17" s="1"/>
  <c r="E243" i="17"/>
  <c r="F243" i="17" s="1"/>
  <c r="D238" i="17"/>
  <c r="C238" i="17"/>
  <c r="D237" i="17"/>
  <c r="E237" i="17" s="1"/>
  <c r="C237" i="17"/>
  <c r="E234" i="17"/>
  <c r="F234" i="17" s="1"/>
  <c r="F233" i="17"/>
  <c r="E233" i="17"/>
  <c r="D230" i="17"/>
  <c r="E230" i="17" s="1"/>
  <c r="F230" i="17"/>
  <c r="C230" i="17"/>
  <c r="D229" i="17"/>
  <c r="E229" i="17" s="1"/>
  <c r="F229" i="17" s="1"/>
  <c r="C229" i="17"/>
  <c r="E228" i="17"/>
  <c r="F228" i="17" s="1"/>
  <c r="D226" i="17"/>
  <c r="C226" i="17"/>
  <c r="E225" i="17"/>
  <c r="F225" i="17" s="1"/>
  <c r="E224" i="17"/>
  <c r="F224" i="17" s="1"/>
  <c r="D223" i="17"/>
  <c r="C223" i="17"/>
  <c r="E222" i="17"/>
  <c r="F222" i="17"/>
  <c r="E221" i="17"/>
  <c r="F221" i="17" s="1"/>
  <c r="D204" i="17"/>
  <c r="C204" i="17"/>
  <c r="C285" i="17" s="1"/>
  <c r="D203" i="17"/>
  <c r="C203" i="17"/>
  <c r="C283" i="17" s="1"/>
  <c r="D198" i="17"/>
  <c r="C198" i="17"/>
  <c r="D191" i="17"/>
  <c r="C191" i="17"/>
  <c r="C280" i="17" s="1"/>
  <c r="D189" i="17"/>
  <c r="D262" i="17" s="1"/>
  <c r="C189" i="17"/>
  <c r="C278" i="17" s="1"/>
  <c r="D188" i="17"/>
  <c r="D206" i="17" s="1"/>
  <c r="C188" i="17"/>
  <c r="C277" i="17"/>
  <c r="D180" i="17"/>
  <c r="E180" i="17" s="1"/>
  <c r="C180" i="17"/>
  <c r="F180" i="17" s="1"/>
  <c r="D179" i="17"/>
  <c r="C179" i="17"/>
  <c r="F171" i="17"/>
  <c r="D171" i="17"/>
  <c r="E171" i="17"/>
  <c r="C171" i="17"/>
  <c r="C172" i="17" s="1"/>
  <c r="C173" i="17" s="1"/>
  <c r="F173" i="17" s="1"/>
  <c r="D170" i="17"/>
  <c r="C170" i="17"/>
  <c r="F170" i="17" s="1"/>
  <c r="F169" i="17"/>
  <c r="E169" i="17"/>
  <c r="F168" i="17"/>
  <c r="E168" i="17"/>
  <c r="F165" i="17"/>
  <c r="D165" i="17"/>
  <c r="C165" i="17"/>
  <c r="D164" i="17"/>
  <c r="E164" i="17" s="1"/>
  <c r="C164" i="17"/>
  <c r="F164" i="17" s="1"/>
  <c r="F163" i="17"/>
  <c r="E163" i="17"/>
  <c r="D158" i="17"/>
  <c r="C158" i="17"/>
  <c r="F158" i="17" s="1"/>
  <c r="F157" i="17"/>
  <c r="E157" i="17"/>
  <c r="F156" i="17"/>
  <c r="E156" i="17"/>
  <c r="D155" i="17"/>
  <c r="C155" i="17"/>
  <c r="F155" i="17" s="1"/>
  <c r="F154" i="17"/>
  <c r="E154" i="17"/>
  <c r="F153" i="17"/>
  <c r="E153" i="17"/>
  <c r="D145" i="17"/>
  <c r="C145" i="17"/>
  <c r="D144" i="17"/>
  <c r="E144" i="17" s="1"/>
  <c r="C144" i="17"/>
  <c r="D136" i="17"/>
  <c r="C136" i="17"/>
  <c r="D135" i="17"/>
  <c r="E135" i="17"/>
  <c r="F135" i="17" s="1"/>
  <c r="C135" i="17"/>
  <c r="E134" i="17"/>
  <c r="F134" i="17" s="1"/>
  <c r="E133" i="17"/>
  <c r="F133" i="17" s="1"/>
  <c r="D130" i="17"/>
  <c r="E130" i="17" s="1"/>
  <c r="F130" i="17" s="1"/>
  <c r="C130" i="17"/>
  <c r="D129" i="17"/>
  <c r="E129" i="17" s="1"/>
  <c r="F129" i="17"/>
  <c r="C129" i="17"/>
  <c r="E128" i="17"/>
  <c r="F128" i="17"/>
  <c r="D123" i="17"/>
  <c r="D124" i="17" s="1"/>
  <c r="C123" i="17"/>
  <c r="E122" i="17"/>
  <c r="F122" i="17" s="1"/>
  <c r="E121" i="17"/>
  <c r="F121" i="17" s="1"/>
  <c r="D120" i="17"/>
  <c r="C120" i="17"/>
  <c r="E119" i="17"/>
  <c r="F119" i="17" s="1"/>
  <c r="F118" i="17"/>
  <c r="E118" i="17"/>
  <c r="D110" i="17"/>
  <c r="C110" i="17"/>
  <c r="C111" i="17" s="1"/>
  <c r="D109" i="17"/>
  <c r="C109" i="17"/>
  <c r="D101" i="17"/>
  <c r="E101" i="17" s="1"/>
  <c r="F101" i="17" s="1"/>
  <c r="C101" i="17"/>
  <c r="C102" i="17"/>
  <c r="C103" i="17" s="1"/>
  <c r="D100" i="17"/>
  <c r="E100" i="17"/>
  <c r="F100" i="17" s="1"/>
  <c r="C100" i="17"/>
  <c r="E99" i="17"/>
  <c r="F99" i="17" s="1"/>
  <c r="E98" i="17"/>
  <c r="F98" i="17" s="1"/>
  <c r="D95" i="17"/>
  <c r="E95" i="17" s="1"/>
  <c r="F95" i="17" s="1"/>
  <c r="C95" i="17"/>
  <c r="D94" i="17"/>
  <c r="E94" i="17" s="1"/>
  <c r="F94" i="17"/>
  <c r="C94" i="17"/>
  <c r="E93" i="17"/>
  <c r="F93" i="17"/>
  <c r="D88" i="17"/>
  <c r="E88" i="17" s="1"/>
  <c r="F88" i="17" s="1"/>
  <c r="C88" i="17"/>
  <c r="C89" i="17"/>
  <c r="E87" i="17"/>
  <c r="F87" i="17" s="1"/>
  <c r="E86" i="17"/>
  <c r="F86" i="17" s="1"/>
  <c r="D85" i="17"/>
  <c r="C85" i="17"/>
  <c r="E84" i="17"/>
  <c r="F84" i="17" s="1"/>
  <c r="E83" i="17"/>
  <c r="F83" i="17" s="1"/>
  <c r="D76" i="17"/>
  <c r="D77" i="17"/>
  <c r="C76" i="17"/>
  <c r="E74" i="17"/>
  <c r="F74" i="17" s="1"/>
  <c r="E73" i="17"/>
  <c r="F73" i="17"/>
  <c r="D67" i="17"/>
  <c r="C67" i="17"/>
  <c r="D66" i="17"/>
  <c r="C66" i="17"/>
  <c r="C60" i="17"/>
  <c r="D59" i="17"/>
  <c r="C59" i="17"/>
  <c r="D58" i="17"/>
  <c r="C58" i="17"/>
  <c r="E57" i="17"/>
  <c r="F57" i="17" s="1"/>
  <c r="E56" i="17"/>
  <c r="F56" i="17"/>
  <c r="D53" i="17"/>
  <c r="E53" i="17" s="1"/>
  <c r="F53" i="17" s="1"/>
  <c r="C53" i="17"/>
  <c r="D52" i="17"/>
  <c r="C52" i="17"/>
  <c r="E51" i="17"/>
  <c r="F51" i="17" s="1"/>
  <c r="D47" i="17"/>
  <c r="D48" i="17" s="1"/>
  <c r="C47" i="17"/>
  <c r="C48" i="17" s="1"/>
  <c r="E46" i="17"/>
  <c r="F46" i="17" s="1"/>
  <c r="E45" i="17"/>
  <c r="F45" i="17" s="1"/>
  <c r="D44" i="17"/>
  <c r="C44" i="17"/>
  <c r="E43" i="17"/>
  <c r="F43" i="17" s="1"/>
  <c r="E42" i="17"/>
  <c r="F42" i="17" s="1"/>
  <c r="D36" i="17"/>
  <c r="C36" i="17"/>
  <c r="D35" i="17"/>
  <c r="E35" i="17" s="1"/>
  <c r="F35" i="17" s="1"/>
  <c r="C35" i="17"/>
  <c r="D30" i="17"/>
  <c r="D31" i="17"/>
  <c r="D32" i="17" s="1"/>
  <c r="C30" i="17"/>
  <c r="C31" i="17" s="1"/>
  <c r="D29" i="17"/>
  <c r="C29" i="17"/>
  <c r="E28" i="17"/>
  <c r="F28" i="17" s="1"/>
  <c r="E27" i="17"/>
  <c r="F27" i="17" s="1"/>
  <c r="D24" i="17"/>
  <c r="C24" i="17"/>
  <c r="D23" i="17"/>
  <c r="C23" i="17"/>
  <c r="E22" i="17"/>
  <c r="F22" i="17" s="1"/>
  <c r="D20" i="17"/>
  <c r="C20" i="17"/>
  <c r="E19" i="17"/>
  <c r="F19" i="17"/>
  <c r="E18" i="17"/>
  <c r="F18" i="17" s="1"/>
  <c r="D17" i="17"/>
  <c r="C17" i="17"/>
  <c r="E16" i="17"/>
  <c r="F16" i="17" s="1"/>
  <c r="E15" i="17"/>
  <c r="F15" i="17"/>
  <c r="D24" i="16"/>
  <c r="C24" i="16"/>
  <c r="E23" i="16"/>
  <c r="F23" i="16" s="1"/>
  <c r="F22" i="16"/>
  <c r="E22" i="16"/>
  <c r="D19" i="16"/>
  <c r="C19" i="16"/>
  <c r="E18" i="16"/>
  <c r="F18" i="16" s="1"/>
  <c r="E17" i="16"/>
  <c r="F17" i="16" s="1"/>
  <c r="D14" i="16"/>
  <c r="C14" i="16"/>
  <c r="E13" i="16"/>
  <c r="F13" i="16" s="1"/>
  <c r="F12" i="16"/>
  <c r="E12" i="16"/>
  <c r="D107" i="15"/>
  <c r="E107" i="15" s="1"/>
  <c r="C107" i="15"/>
  <c r="E106" i="15"/>
  <c r="F106" i="15" s="1"/>
  <c r="E105" i="15"/>
  <c r="F105" i="15" s="1"/>
  <c r="E104" i="15"/>
  <c r="F104" i="15" s="1"/>
  <c r="D100" i="15"/>
  <c r="E100" i="15"/>
  <c r="C100" i="15"/>
  <c r="E99" i="15"/>
  <c r="F99" i="15" s="1"/>
  <c r="F98" i="15"/>
  <c r="E98" i="15"/>
  <c r="E97" i="15"/>
  <c r="F97" i="15" s="1"/>
  <c r="E96" i="15"/>
  <c r="F96" i="15" s="1"/>
  <c r="F95" i="15"/>
  <c r="E95" i="15"/>
  <c r="D92" i="15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E83" i="15"/>
  <c r="F83" i="15" s="1"/>
  <c r="F82" i="15"/>
  <c r="E82" i="15"/>
  <c r="E81" i="15"/>
  <c r="F81" i="15" s="1"/>
  <c r="F80" i="15"/>
  <c r="E80" i="15"/>
  <c r="E79" i="15"/>
  <c r="F79" i="15" s="1"/>
  <c r="D75" i="15"/>
  <c r="C75" i="15"/>
  <c r="E74" i="15"/>
  <c r="F74" i="15" s="1"/>
  <c r="E73" i="15"/>
  <c r="D70" i="15"/>
  <c r="E70" i="15" s="1"/>
  <c r="F70" i="15" s="1"/>
  <c r="C70" i="15"/>
  <c r="E69" i="15"/>
  <c r="F69" i="15" s="1"/>
  <c r="E68" i="15"/>
  <c r="F68" i="15" s="1"/>
  <c r="D65" i="15"/>
  <c r="E65" i="15" s="1"/>
  <c r="C65" i="15"/>
  <c r="F65" i="15" s="1"/>
  <c r="E64" i="15"/>
  <c r="F64" i="15" s="1"/>
  <c r="E63" i="15"/>
  <c r="F63" i="15" s="1"/>
  <c r="D60" i="15"/>
  <c r="C60" i="15"/>
  <c r="F60" i="15" s="1"/>
  <c r="F59" i="15"/>
  <c r="E59" i="15"/>
  <c r="F58" i="15"/>
  <c r="E58" i="15"/>
  <c r="E60" i="15"/>
  <c r="D55" i="15"/>
  <c r="C55" i="15"/>
  <c r="F54" i="15"/>
  <c r="E54" i="15"/>
  <c r="E53" i="15"/>
  <c r="F53" i="15" s="1"/>
  <c r="D50" i="15"/>
  <c r="C50" i="15"/>
  <c r="E49" i="15"/>
  <c r="F49" i="15" s="1"/>
  <c r="E48" i="15"/>
  <c r="F48" i="15" s="1"/>
  <c r="D45" i="15"/>
  <c r="C45" i="15"/>
  <c r="E44" i="15"/>
  <c r="F44" i="15" s="1"/>
  <c r="E43" i="15"/>
  <c r="F43" i="15" s="1"/>
  <c r="D37" i="15"/>
  <c r="C37" i="15"/>
  <c r="F36" i="15"/>
  <c r="E36" i="15"/>
  <c r="F35" i="15"/>
  <c r="E35" i="15"/>
  <c r="E34" i="15"/>
  <c r="F34" i="15" s="1"/>
  <c r="E33" i="15"/>
  <c r="F33" i="15" s="1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E22" i="15"/>
  <c r="F22" i="15" s="1"/>
  <c r="E21" i="15"/>
  <c r="F21" i="15" s="1"/>
  <c r="E20" i="15"/>
  <c r="F20" i="15" s="1"/>
  <c r="E19" i="15"/>
  <c r="F19" i="15" s="1"/>
  <c r="D16" i="15"/>
  <c r="C16" i="15"/>
  <c r="F15" i="15"/>
  <c r="E15" i="15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 s="1"/>
  <c r="E17" i="14"/>
  <c r="E31" i="14" s="1"/>
  <c r="D17" i="14"/>
  <c r="D33" i="14"/>
  <c r="D36" i="14" s="1"/>
  <c r="D38" i="14" s="1"/>
  <c r="D40" i="14" s="1"/>
  <c r="C17" i="14"/>
  <c r="C31" i="14"/>
  <c r="I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 s="1"/>
  <c r="C78" i="13"/>
  <c r="C80" i="13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D54" i="13"/>
  <c r="C54" i="13"/>
  <c r="D48" i="13"/>
  <c r="D42" i="13" s="1"/>
  <c r="E46" i="13"/>
  <c r="E59" i="13" s="1"/>
  <c r="E61" i="13" s="1"/>
  <c r="E57" i="13" s="1"/>
  <c r="D46" i="13"/>
  <c r="D59" i="13" s="1"/>
  <c r="D61" i="13" s="1"/>
  <c r="D57" i="13" s="1"/>
  <c r="C46" i="13"/>
  <c r="C59" i="13" s="1"/>
  <c r="C61" i="13" s="1"/>
  <c r="C57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E25" i="13" s="1"/>
  <c r="E27" i="13" s="1"/>
  <c r="D13" i="13"/>
  <c r="D25" i="13" s="1"/>
  <c r="C13" i="13"/>
  <c r="C25" i="13" s="1"/>
  <c r="D47" i="12"/>
  <c r="E47" i="12" s="1"/>
  <c r="C47" i="12"/>
  <c r="F47" i="12" s="1"/>
  <c r="F46" i="12"/>
  <c r="E46" i="12"/>
  <c r="F45" i="12"/>
  <c r="E45" i="12"/>
  <c r="D40" i="12"/>
  <c r="C40" i="12"/>
  <c r="E39" i="12"/>
  <c r="F39" i="12" s="1"/>
  <c r="E38" i="12"/>
  <c r="F38" i="12" s="1"/>
  <c r="E37" i="12"/>
  <c r="F37" i="12" s="1"/>
  <c r="D32" i="12"/>
  <c r="C32" i="12"/>
  <c r="E31" i="12"/>
  <c r="F31" i="12" s="1"/>
  <c r="F30" i="12"/>
  <c r="E30" i="12"/>
  <c r="F29" i="12"/>
  <c r="E29" i="12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E16" i="12"/>
  <c r="F16" i="12" s="1"/>
  <c r="D15" i="12"/>
  <c r="E15" i="12"/>
  <c r="C15" i="12"/>
  <c r="C17" i="12"/>
  <c r="F14" i="12"/>
  <c r="E14" i="12"/>
  <c r="E13" i="12"/>
  <c r="F13" i="12" s="1"/>
  <c r="E12" i="12"/>
  <c r="F12" i="12" s="1"/>
  <c r="E11" i="12"/>
  <c r="F11" i="12" s="1"/>
  <c r="D73" i="11"/>
  <c r="C73" i="1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D65" i="11" s="1"/>
  <c r="C61" i="11"/>
  <c r="C65" i="11" s="1"/>
  <c r="E60" i="11"/>
  <c r="F60" i="11" s="1"/>
  <c r="F59" i="11"/>
  <c r="E59" i="11"/>
  <c r="D56" i="11"/>
  <c r="C56" i="11"/>
  <c r="E55" i="11"/>
  <c r="F55" i="11" s="1"/>
  <c r="F54" i="11"/>
  <c r="E54" i="11"/>
  <c r="F53" i="11"/>
  <c r="E53" i="11"/>
  <c r="E52" i="11"/>
  <c r="F52" i="11" s="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F40" i="11"/>
  <c r="E40" i="11"/>
  <c r="D38" i="11"/>
  <c r="C38" i="11"/>
  <c r="C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E29" i="11"/>
  <c r="C29" i="11"/>
  <c r="F28" i="11"/>
  <c r="E28" i="11"/>
  <c r="F27" i="11"/>
  <c r="E27" i="11"/>
  <c r="F26" i="11"/>
  <c r="E26" i="11"/>
  <c r="E25" i="11"/>
  <c r="F25" i="11" s="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F13" i="11"/>
  <c r="E13" i="11"/>
  <c r="D120" i="10"/>
  <c r="C120" i="10"/>
  <c r="F120" i="10" s="1"/>
  <c r="F119" i="10"/>
  <c r="D119" i="10"/>
  <c r="E119" i="10" s="1"/>
  <c r="C119" i="10"/>
  <c r="D118" i="10"/>
  <c r="C118" i="10"/>
  <c r="F118" i="10" s="1"/>
  <c r="D117" i="10"/>
  <c r="C117" i="10"/>
  <c r="F117" i="10" s="1"/>
  <c r="D116" i="10"/>
  <c r="E116" i="10" s="1"/>
  <c r="C116" i="10"/>
  <c r="F116" i="10" s="1"/>
  <c r="D115" i="10"/>
  <c r="C115" i="10"/>
  <c r="F115" i="10" s="1"/>
  <c r="D114" i="10"/>
  <c r="C114" i="10"/>
  <c r="F114" i="10" s="1"/>
  <c r="D113" i="10"/>
  <c r="D122" i="10" s="1"/>
  <c r="C113" i="10"/>
  <c r="D112" i="10"/>
  <c r="D121" i="10" s="1"/>
  <c r="C112" i="10"/>
  <c r="C121" i="10" s="1"/>
  <c r="F121" i="10" s="1"/>
  <c r="D108" i="10"/>
  <c r="E108" i="10" s="1"/>
  <c r="C108" i="10"/>
  <c r="F108" i="10" s="1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E83" i="10" s="1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E59" i="10" s="1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F36" i="10" s="1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 s="1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E206" i="9" s="1"/>
  <c r="D205" i="9"/>
  <c r="C205" i="9"/>
  <c r="D204" i="9"/>
  <c r="C204" i="9"/>
  <c r="E204" i="9" s="1"/>
  <c r="D203" i="9"/>
  <c r="C203" i="9"/>
  <c r="D202" i="9"/>
  <c r="E202" i="9" s="1"/>
  <c r="C202" i="9"/>
  <c r="D201" i="9"/>
  <c r="C201" i="9"/>
  <c r="D200" i="9"/>
  <c r="E200" i="9" s="1"/>
  <c r="C200" i="9"/>
  <c r="D199" i="9"/>
  <c r="D208" i="9" s="1"/>
  <c r="C199" i="9"/>
  <c r="C208" i="9" s="1"/>
  <c r="D198" i="9"/>
  <c r="D207" i="9" s="1"/>
  <c r="C198" i="9"/>
  <c r="C207" i="9" s="1"/>
  <c r="D193" i="9"/>
  <c r="E193" i="9" s="1"/>
  <c r="C193" i="9"/>
  <c r="F193" i="9" s="1"/>
  <c r="D192" i="9"/>
  <c r="E192" i="9" s="1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 s="1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C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C153" i="9"/>
  <c r="E152" i="9"/>
  <c r="F152" i="9" s="1"/>
  <c r="E151" i="9"/>
  <c r="F151" i="9" s="1"/>
  <c r="E150" i="9"/>
  <c r="F150" i="9" s="1"/>
  <c r="E149" i="9"/>
  <c r="F149" i="9" s="1"/>
  <c r="F148" i="9"/>
  <c r="E148" i="9"/>
  <c r="E147" i="9"/>
  <c r="F147" i="9" s="1"/>
  <c r="E146" i="9"/>
  <c r="F146" i="9" s="1"/>
  <c r="E145" i="9"/>
  <c r="F145" i="9" s="1"/>
  <c r="E144" i="9"/>
  <c r="F144" i="9" s="1"/>
  <c r="D141" i="9"/>
  <c r="C141" i="9"/>
  <c r="F141" i="9" s="1"/>
  <c r="D140" i="9"/>
  <c r="E140" i="9" s="1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C128" i="9"/>
  <c r="D127" i="9"/>
  <c r="E127" i="9" s="1"/>
  <c r="C127" i="9"/>
  <c r="F126" i="9"/>
  <c r="E126" i="9"/>
  <c r="E125" i="9"/>
  <c r="F125" i="9" s="1"/>
  <c r="E124" i="9"/>
  <c r="F124" i="9" s="1"/>
  <c r="E123" i="9"/>
  <c r="F123" i="9" s="1"/>
  <c r="F122" i="9"/>
  <c r="E122" i="9"/>
  <c r="E121" i="9"/>
  <c r="F121" i="9" s="1"/>
  <c r="E120" i="9"/>
  <c r="F120" i="9" s="1"/>
  <c r="E119" i="9"/>
  <c r="F119" i="9" s="1"/>
  <c r="E118" i="9"/>
  <c r="F118" i="9" s="1"/>
  <c r="D115" i="9"/>
  <c r="E115" i="9" s="1"/>
  <c r="F115" i="9" s="1"/>
  <c r="C115" i="9"/>
  <c r="D114" i="9"/>
  <c r="E114" i="9"/>
  <c r="F114" i="9" s="1"/>
  <c r="C114" i="9"/>
  <c r="E113" i="9"/>
  <c r="F113" i="9" s="1"/>
  <c r="E112" i="9"/>
  <c r="F112" i="9" s="1"/>
  <c r="E111" i="9"/>
  <c r="F111" i="9" s="1"/>
  <c r="F110" i="9"/>
  <c r="E110" i="9"/>
  <c r="E109" i="9"/>
  <c r="F109" i="9" s="1"/>
  <c r="E108" i="9"/>
  <c r="F108" i="9" s="1"/>
  <c r="E107" i="9"/>
  <c r="F107" i="9" s="1"/>
  <c r="F106" i="9"/>
  <c r="E106" i="9"/>
  <c r="E105" i="9"/>
  <c r="F105" i="9" s="1"/>
  <c r="D102" i="9"/>
  <c r="C102" i="9"/>
  <c r="F102" i="9" s="1"/>
  <c r="D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9" i="9" s="1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D75" i="9"/>
  <c r="E75" i="9" s="1"/>
  <c r="C75" i="9"/>
  <c r="F74" i="9"/>
  <c r="E74" i="9"/>
  <c r="E73" i="9"/>
  <c r="F73" i="9" s="1"/>
  <c r="E72" i="9"/>
  <c r="F72" i="9" s="1"/>
  <c r="E71" i="9"/>
  <c r="F71" i="9" s="1"/>
  <c r="F70" i="9"/>
  <c r="E70" i="9"/>
  <c r="E69" i="9"/>
  <c r="F69" i="9" s="1"/>
  <c r="E68" i="9"/>
  <c r="F68" i="9" s="1"/>
  <c r="E67" i="9"/>
  <c r="F67" i="9" s="1"/>
  <c r="F66" i="9"/>
  <c r="E66" i="9"/>
  <c r="F63" i="9"/>
  <c r="D63" i="9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F46" i="9"/>
  <c r="E46" i="9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D37" i="9"/>
  <c r="E37" i="9"/>
  <c r="F37" i="9" s="1"/>
  <c r="C37" i="9"/>
  <c r="D36" i="9"/>
  <c r="C36" i="9"/>
  <c r="E36" i="9" s="1"/>
  <c r="F36" i="9" s="1"/>
  <c r="F35" i="9"/>
  <c r="E35" i="9"/>
  <c r="F34" i="9"/>
  <c r="E34" i="9"/>
  <c r="E33" i="9"/>
  <c r="F33" i="9" s="1"/>
  <c r="F32" i="9"/>
  <c r="E32" i="9"/>
  <c r="F31" i="9"/>
  <c r="E31" i="9"/>
  <c r="F30" i="9"/>
  <c r="E30" i="9"/>
  <c r="E29" i="9"/>
  <c r="F29" i="9" s="1"/>
  <c r="F28" i="9"/>
  <c r="E28" i="9"/>
  <c r="F27" i="9"/>
  <c r="E27" i="9"/>
  <c r="D24" i="9"/>
  <c r="C24" i="9"/>
  <c r="D23" i="9"/>
  <c r="C23" i="9"/>
  <c r="E22" i="9"/>
  <c r="F22" i="9" s="1"/>
  <c r="E21" i="9"/>
  <c r="F21" i="9" s="1"/>
  <c r="F20" i="9"/>
  <c r="E20" i="9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C164" i="8"/>
  <c r="E162" i="8"/>
  <c r="D162" i="8"/>
  <c r="C162" i="8"/>
  <c r="E161" i="8"/>
  <c r="D161" i="8"/>
  <c r="C161" i="8"/>
  <c r="D160" i="8"/>
  <c r="C160" i="8"/>
  <c r="C166" i="8" s="1"/>
  <c r="E147" i="8"/>
  <c r="E143" i="8" s="1"/>
  <c r="D147" i="8"/>
  <c r="D143" i="8" s="1"/>
  <c r="C147" i="8"/>
  <c r="E145" i="8"/>
  <c r="D145" i="8"/>
  <c r="C145" i="8"/>
  <c r="E144" i="8"/>
  <c r="D144" i="8"/>
  <c r="C144" i="8"/>
  <c r="C143" i="8"/>
  <c r="E126" i="8"/>
  <c r="D126" i="8"/>
  <c r="C126" i="8"/>
  <c r="E119" i="8"/>
  <c r="D119" i="8"/>
  <c r="C119" i="8"/>
  <c r="E108" i="8"/>
  <c r="D108" i="8"/>
  <c r="C108" i="8"/>
  <c r="E107" i="8"/>
  <c r="D107" i="8"/>
  <c r="D109" i="8" s="1"/>
  <c r="D106" i="8" s="1"/>
  <c r="C107" i="8"/>
  <c r="C109" i="8" s="1"/>
  <c r="C106" i="8" s="1"/>
  <c r="C104" i="8"/>
  <c r="E102" i="8"/>
  <c r="E104" i="8" s="1"/>
  <c r="D102" i="8"/>
  <c r="D104" i="8" s="1"/>
  <c r="C102" i="8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D84" i="8"/>
  <c r="C84" i="8"/>
  <c r="C79" i="8" s="1"/>
  <c r="E83" i="8"/>
  <c r="D83" i="8"/>
  <c r="D79" i="8" s="1"/>
  <c r="C83" i="8"/>
  <c r="E75" i="8"/>
  <c r="E77" i="8" s="1"/>
  <c r="E71" i="8" s="1"/>
  <c r="D75" i="8"/>
  <c r="D88" i="8" s="1"/>
  <c r="D90" i="8" s="1"/>
  <c r="D86" i="8" s="1"/>
  <c r="C75" i="8"/>
  <c r="E74" i="8"/>
  <c r="D74" i="8"/>
  <c r="C74" i="8"/>
  <c r="E67" i="8"/>
  <c r="D67" i="8"/>
  <c r="C67" i="8"/>
  <c r="D53" i="8"/>
  <c r="E38" i="8"/>
  <c r="E57" i="8"/>
  <c r="E62" i="8" s="1"/>
  <c r="D38" i="8"/>
  <c r="D57" i="8" s="1"/>
  <c r="D62" i="8" s="1"/>
  <c r="C38" i="8"/>
  <c r="C57" i="8" s="1"/>
  <c r="C62" i="8" s="1"/>
  <c r="E33" i="8"/>
  <c r="E34" i="8" s="1"/>
  <c r="D33" i="8"/>
  <c r="D34" i="8" s="1"/>
  <c r="E26" i="8"/>
  <c r="D26" i="8"/>
  <c r="C26" i="8"/>
  <c r="C25" i="8"/>
  <c r="C27" i="8" s="1"/>
  <c r="E13" i="8"/>
  <c r="E25" i="8" s="1"/>
  <c r="E27" i="8" s="1"/>
  <c r="D13" i="8"/>
  <c r="D25" i="8" s="1"/>
  <c r="C13" i="8"/>
  <c r="C15" i="8" s="1"/>
  <c r="E186" i="7"/>
  <c r="F186" i="7" s="1"/>
  <c r="D183" i="7"/>
  <c r="C183" i="7"/>
  <c r="F182" i="7"/>
  <c r="E182" i="7"/>
  <c r="E181" i="7"/>
  <c r="F181" i="7" s="1"/>
  <c r="F180" i="7"/>
  <c r="E180" i="7"/>
  <c r="E179" i="7"/>
  <c r="F179" i="7" s="1"/>
  <c r="E178" i="7"/>
  <c r="F178" i="7" s="1"/>
  <c r="E177" i="7"/>
  <c r="F177" i="7" s="1"/>
  <c r="E176" i="7"/>
  <c r="F176" i="7" s="1"/>
  <c r="E175" i="7"/>
  <c r="F175" i="7" s="1"/>
  <c r="E174" i="7"/>
  <c r="F174" i="7" s="1"/>
  <c r="F173" i="7"/>
  <c r="E173" i="7"/>
  <c r="F172" i="7"/>
  <c r="E172" i="7"/>
  <c r="E171" i="7"/>
  <c r="F171" i="7" s="1"/>
  <c r="E170" i="7"/>
  <c r="F170" i="7" s="1"/>
  <c r="D167" i="7"/>
  <c r="E167" i="7" s="1"/>
  <c r="C167" i="7"/>
  <c r="F166" i="7"/>
  <c r="E166" i="7"/>
  <c r="F165" i="7"/>
  <c r="E165" i="7"/>
  <c r="F164" i="7"/>
  <c r="E164" i="7"/>
  <c r="E163" i="7"/>
  <c r="F163" i="7" s="1"/>
  <c r="F162" i="7"/>
  <c r="E162" i="7"/>
  <c r="E161" i="7"/>
  <c r="F161" i="7" s="1"/>
  <c r="F160" i="7"/>
  <c r="E160" i="7"/>
  <c r="F159" i="7"/>
  <c r="E159" i="7"/>
  <c r="F158" i="7"/>
  <c r="E158" i="7"/>
  <c r="E157" i="7"/>
  <c r="F157" i="7" s="1"/>
  <c r="E156" i="7"/>
  <c r="F156" i="7" s="1"/>
  <c r="E155" i="7"/>
  <c r="F155" i="7" s="1"/>
  <c r="F154" i="7"/>
  <c r="E154" i="7"/>
  <c r="F153" i="7"/>
  <c r="E153" i="7"/>
  <c r="F152" i="7"/>
  <c r="E152" i="7"/>
  <c r="E151" i="7"/>
  <c r="F151" i="7" s="1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E144" i="7"/>
  <c r="F144" i="7" s="1"/>
  <c r="E143" i="7"/>
  <c r="F143" i="7" s="1"/>
  <c r="F142" i="7"/>
  <c r="E142" i="7"/>
  <c r="E141" i="7"/>
  <c r="F141" i="7" s="1"/>
  <c r="E140" i="7"/>
  <c r="F140" i="7" s="1"/>
  <c r="E139" i="7"/>
  <c r="F139" i="7" s="1"/>
  <c r="F138" i="7"/>
  <c r="E138" i="7"/>
  <c r="E137" i="7"/>
  <c r="F137" i="7" s="1"/>
  <c r="E136" i="7"/>
  <c r="F136" i="7" s="1"/>
  <c r="E135" i="7"/>
  <c r="F135" i="7" s="1"/>
  <c r="E134" i="7"/>
  <c r="F134" i="7" s="1"/>
  <c r="E133" i="7"/>
  <c r="F133" i="7" s="1"/>
  <c r="D130" i="7"/>
  <c r="C130" i="7"/>
  <c r="E129" i="7"/>
  <c r="F129" i="7" s="1"/>
  <c r="E128" i="7"/>
  <c r="F128" i="7" s="1"/>
  <c r="E127" i="7"/>
  <c r="F127" i="7" s="1"/>
  <c r="E126" i="7"/>
  <c r="F126" i="7" s="1"/>
  <c r="E125" i="7"/>
  <c r="F125" i="7" s="1"/>
  <c r="E124" i="7"/>
  <c r="F124" i="7" s="1"/>
  <c r="D121" i="7"/>
  <c r="E121" i="7" s="1"/>
  <c r="C121" i="7"/>
  <c r="F120" i="7"/>
  <c r="E120" i="7"/>
  <c r="E119" i="7"/>
  <c r="F119" i="7" s="1"/>
  <c r="E118" i="7"/>
  <c r="F118" i="7" s="1"/>
  <c r="E117" i="7"/>
  <c r="F117" i="7" s="1"/>
  <c r="F116" i="7"/>
  <c r="E116" i="7"/>
  <c r="E115" i="7"/>
  <c r="F115" i="7" s="1"/>
  <c r="E114" i="7"/>
  <c r="F114" i="7" s="1"/>
  <c r="E113" i="7"/>
  <c r="F113" i="7" s="1"/>
  <c r="E112" i="7"/>
  <c r="F112" i="7" s="1"/>
  <c r="E111" i="7"/>
  <c r="F111" i="7" s="1"/>
  <c r="F110" i="7"/>
  <c r="E110" i="7"/>
  <c r="E109" i="7"/>
  <c r="F109" i="7" s="1"/>
  <c r="E108" i="7"/>
  <c r="F108" i="7" s="1"/>
  <c r="E107" i="7"/>
  <c r="F107" i="7" s="1"/>
  <c r="E106" i="7"/>
  <c r="F106" i="7" s="1"/>
  <c r="E105" i="7"/>
  <c r="F105" i="7" s="1"/>
  <c r="F104" i="7"/>
  <c r="E104" i="7"/>
  <c r="E103" i="7"/>
  <c r="F103" i="7" s="1"/>
  <c r="F93" i="7"/>
  <c r="E93" i="7"/>
  <c r="D90" i="7"/>
  <c r="C90" i="7"/>
  <c r="E89" i="7"/>
  <c r="F89" i="7" s="1"/>
  <c r="E88" i="7"/>
  <c r="F88" i="7" s="1"/>
  <c r="F87" i="7"/>
  <c r="E87" i="7"/>
  <c r="F86" i="7"/>
  <c r="E86" i="7"/>
  <c r="F85" i="7"/>
  <c r="E85" i="7"/>
  <c r="E84" i="7"/>
  <c r="F84" i="7" s="1"/>
  <c r="E83" i="7"/>
  <c r="F83" i="7" s="1"/>
  <c r="E82" i="7"/>
  <c r="F82" i="7" s="1"/>
  <c r="F81" i="7"/>
  <c r="E81" i="7"/>
  <c r="E80" i="7"/>
  <c r="F80" i="7" s="1"/>
  <c r="F79" i="7"/>
  <c r="E79" i="7"/>
  <c r="F78" i="7"/>
  <c r="E78" i="7"/>
  <c r="F77" i="7"/>
  <c r="E77" i="7"/>
  <c r="E76" i="7"/>
  <c r="F76" i="7" s="1"/>
  <c r="E75" i="7"/>
  <c r="F75" i="7" s="1"/>
  <c r="E74" i="7"/>
  <c r="F74" i="7" s="1"/>
  <c r="E73" i="7"/>
  <c r="F73" i="7" s="1"/>
  <c r="E72" i="7"/>
  <c r="F72" i="7" s="1"/>
  <c r="F71" i="7"/>
  <c r="E71" i="7"/>
  <c r="F70" i="7"/>
  <c r="E70" i="7"/>
  <c r="F69" i="7"/>
  <c r="E69" i="7"/>
  <c r="E68" i="7"/>
  <c r="F68" i="7" s="1"/>
  <c r="E67" i="7"/>
  <c r="F67" i="7" s="1"/>
  <c r="E66" i="7"/>
  <c r="F66" i="7" s="1"/>
  <c r="E65" i="7"/>
  <c r="F65" i="7" s="1"/>
  <c r="E64" i="7"/>
  <c r="F64" i="7" s="1"/>
  <c r="F63" i="7"/>
  <c r="E63" i="7"/>
  <c r="F62" i="7"/>
  <c r="E62" i="7"/>
  <c r="D59" i="7"/>
  <c r="C59" i="7"/>
  <c r="F58" i="7"/>
  <c r="E58" i="7"/>
  <c r="F57" i="7"/>
  <c r="E57" i="7"/>
  <c r="F56" i="7"/>
  <c r="E56" i="7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E41" i="7" s="1"/>
  <c r="F41" i="7" s="1"/>
  <c r="C41" i="7"/>
  <c r="F40" i="7"/>
  <c r="E40" i="7"/>
  <c r="F39" i="7"/>
  <c r="E39" i="7"/>
  <c r="F38" i="7"/>
  <c r="E38" i="7"/>
  <c r="D35" i="7"/>
  <c r="E35" i="7" s="1"/>
  <c r="C35" i="7"/>
  <c r="F34" i="7"/>
  <c r="E34" i="7"/>
  <c r="F33" i="7"/>
  <c r="E33" i="7"/>
  <c r="D30" i="7"/>
  <c r="E30" i="7" s="1"/>
  <c r="C30" i="7"/>
  <c r="F29" i="7"/>
  <c r="E29" i="7"/>
  <c r="F28" i="7"/>
  <c r="E28" i="7"/>
  <c r="F27" i="7"/>
  <c r="E27" i="7"/>
  <c r="D24" i="7"/>
  <c r="E24" i="7" s="1"/>
  <c r="F24" i="7" s="1"/>
  <c r="C24" i="7"/>
  <c r="F23" i="7"/>
  <c r="E23" i="7"/>
  <c r="F22" i="7"/>
  <c r="E22" i="7"/>
  <c r="E21" i="7"/>
  <c r="F21" i="7" s="1"/>
  <c r="D18" i="7"/>
  <c r="C18" i="7"/>
  <c r="E17" i="7"/>
  <c r="F17" i="7" s="1"/>
  <c r="E16" i="7"/>
  <c r="F16" i="7" s="1"/>
  <c r="F15" i="7"/>
  <c r="E15" i="7"/>
  <c r="D179" i="6"/>
  <c r="E179" i="6" s="1"/>
  <c r="F179" i="6" s="1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 s="1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 s="1"/>
  <c r="F153" i="6" s="1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 s="1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 s="1"/>
  <c r="F124" i="6" s="1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 s="1"/>
  <c r="F111" i="6" s="1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D93" i="6"/>
  <c r="E93" i="6" s="1"/>
  <c r="C93" i="6"/>
  <c r="F93" i="6" s="1"/>
  <c r="D92" i="6"/>
  <c r="C92" i="6"/>
  <c r="D91" i="6"/>
  <c r="E91" i="6" s="1"/>
  <c r="F91" i="6" s="1"/>
  <c r="C91" i="6"/>
  <c r="D90" i="6"/>
  <c r="E90" i="6" s="1"/>
  <c r="C90" i="6"/>
  <c r="D89" i="6"/>
  <c r="C89" i="6"/>
  <c r="D88" i="6"/>
  <c r="C88" i="6"/>
  <c r="F87" i="6"/>
  <c r="D87" i="6"/>
  <c r="C87" i="6"/>
  <c r="E87" i="6" s="1"/>
  <c r="D86" i="6"/>
  <c r="C86" i="6"/>
  <c r="E86" i="6" s="1"/>
  <c r="D85" i="6"/>
  <c r="C85" i="6"/>
  <c r="D84" i="6"/>
  <c r="C84" i="6"/>
  <c r="E84" i="6" s="1"/>
  <c r="D81" i="6"/>
  <c r="C81" i="6"/>
  <c r="F80" i="6"/>
  <c r="E80" i="6"/>
  <c r="F79" i="6"/>
  <c r="E79" i="6"/>
  <c r="E78" i="6"/>
  <c r="F78" i="6" s="1"/>
  <c r="E77" i="6"/>
  <c r="F77" i="6" s="1"/>
  <c r="E76" i="6"/>
  <c r="F76" i="6" s="1"/>
  <c r="E75" i="6"/>
  <c r="F75" i="6" s="1"/>
  <c r="F74" i="6"/>
  <c r="E74" i="6"/>
  <c r="F73" i="6"/>
  <c r="E73" i="6"/>
  <c r="E72" i="6"/>
  <c r="F72" i="6" s="1"/>
  <c r="E71" i="6"/>
  <c r="F71" i="6" s="1"/>
  <c r="F70" i="6"/>
  <c r="E70" i="6"/>
  <c r="D68" i="6"/>
  <c r="E68" i="6" s="1"/>
  <c r="C68" i="6"/>
  <c r="F67" i="6"/>
  <c r="E67" i="6"/>
  <c r="F66" i="6"/>
  <c r="E66" i="6"/>
  <c r="E65" i="6"/>
  <c r="F65" i="6" s="1"/>
  <c r="E64" i="6"/>
  <c r="F64" i="6" s="1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E57" i="6"/>
  <c r="F57" i="6" s="1"/>
  <c r="D51" i="6"/>
  <c r="C51" i="6"/>
  <c r="E51" i="6" s="1"/>
  <c r="D50" i="6"/>
  <c r="C50" i="6"/>
  <c r="D49" i="6"/>
  <c r="C49" i="6"/>
  <c r="D48" i="6"/>
  <c r="E48" i="6" s="1"/>
  <c r="C48" i="6"/>
  <c r="D47" i="6"/>
  <c r="C47" i="6"/>
  <c r="D46" i="6"/>
  <c r="E46" i="6" s="1"/>
  <c r="C46" i="6"/>
  <c r="D45" i="6"/>
  <c r="C45" i="6"/>
  <c r="D44" i="6"/>
  <c r="C44" i="6"/>
  <c r="D43" i="6"/>
  <c r="C43" i="6"/>
  <c r="E43" i="6" s="1"/>
  <c r="D42" i="6"/>
  <c r="C42" i="6"/>
  <c r="D41" i="6"/>
  <c r="C41" i="6"/>
  <c r="D38" i="6"/>
  <c r="E38" i="6" s="1"/>
  <c r="F38" i="6" s="1"/>
  <c r="C38" i="6"/>
  <c r="F37" i="6"/>
  <c r="E37" i="6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F18" i="6"/>
  <c r="E18" i="6"/>
  <c r="F17" i="6"/>
  <c r="E17" i="6"/>
  <c r="E16" i="6"/>
  <c r="F16" i="6" s="1"/>
  <c r="E15" i="6"/>
  <c r="F15" i="6" s="1"/>
  <c r="F14" i="6"/>
  <c r="E14" i="6"/>
  <c r="E51" i="5"/>
  <c r="F51" i="5" s="1"/>
  <c r="D48" i="5"/>
  <c r="C48" i="5"/>
  <c r="F48" i="5" s="1"/>
  <c r="F47" i="5"/>
  <c r="E47" i="5"/>
  <c r="F46" i="5"/>
  <c r="E46" i="5"/>
  <c r="D41" i="5"/>
  <c r="C41" i="5"/>
  <c r="E40" i="5"/>
  <c r="F40" i="5" s="1"/>
  <c r="E39" i="5"/>
  <c r="F39" i="5"/>
  <c r="E38" i="5"/>
  <c r="F38" i="5"/>
  <c r="D33" i="5"/>
  <c r="C33" i="5"/>
  <c r="E32" i="5"/>
  <c r="F32" i="5" s="1"/>
  <c r="E31" i="5"/>
  <c r="F31" i="5" s="1"/>
  <c r="E30" i="5"/>
  <c r="F30" i="5" s="1"/>
  <c r="F29" i="5"/>
  <c r="E29" i="5"/>
  <c r="E28" i="5"/>
  <c r="F28" i="5" s="1"/>
  <c r="E27" i="5"/>
  <c r="F27" i="5"/>
  <c r="E26" i="5"/>
  <c r="F26" i="5"/>
  <c r="E25" i="5"/>
  <c r="F25" i="5"/>
  <c r="E24" i="5"/>
  <c r="F24" i="5" s="1"/>
  <c r="E20" i="5"/>
  <c r="F20" i="5" s="1"/>
  <c r="E19" i="5"/>
  <c r="F19" i="5" s="1"/>
  <c r="E17" i="5"/>
  <c r="F17" i="5" s="1"/>
  <c r="D16" i="5"/>
  <c r="D18" i="5" s="1"/>
  <c r="C16" i="5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 s="1"/>
  <c r="C61" i="4"/>
  <c r="E60" i="4"/>
  <c r="F60" i="4"/>
  <c r="F59" i="4"/>
  <c r="E59" i="4"/>
  <c r="D56" i="4"/>
  <c r="C56" i="4"/>
  <c r="E55" i="4"/>
  <c r="F55" i="4"/>
  <c r="F54" i="4"/>
  <c r="E54" i="4"/>
  <c r="E53" i="4"/>
  <c r="F53" i="4" s="1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D41" i="4" s="1"/>
  <c r="C38" i="4"/>
  <c r="E37" i="4"/>
  <c r="F37" i="4" s="1"/>
  <c r="E36" i="4"/>
  <c r="F36" i="4"/>
  <c r="E33" i="4"/>
  <c r="F33" i="4" s="1"/>
  <c r="E32" i="4"/>
  <c r="F32" i="4"/>
  <c r="F31" i="4"/>
  <c r="E31" i="4"/>
  <c r="D29" i="4"/>
  <c r="C29" i="4"/>
  <c r="E28" i="4"/>
  <c r="F28" i="4" s="1"/>
  <c r="F27" i="4"/>
  <c r="E27" i="4"/>
  <c r="F26" i="4"/>
  <c r="E26" i="4"/>
  <c r="E25" i="4"/>
  <c r="F25" i="4"/>
  <c r="D22" i="4"/>
  <c r="C22" i="4"/>
  <c r="E21" i="4"/>
  <c r="F21" i="4"/>
  <c r="E20" i="4"/>
  <c r="F20" i="4" s="1"/>
  <c r="E19" i="4"/>
  <c r="F19" i="4"/>
  <c r="F18" i="4"/>
  <c r="E18" i="4"/>
  <c r="E17" i="4"/>
  <c r="F17" i="4"/>
  <c r="F16" i="4"/>
  <c r="E16" i="4"/>
  <c r="E15" i="4"/>
  <c r="F15" i="4"/>
  <c r="F14" i="4"/>
  <c r="E14" i="4"/>
  <c r="E13" i="4"/>
  <c r="F13" i="4"/>
  <c r="D22" i="22"/>
  <c r="C23" i="22"/>
  <c r="E23" i="22"/>
  <c r="C34" i="22"/>
  <c r="E34" i="22"/>
  <c r="E102" i="22"/>
  <c r="C22" i="22"/>
  <c r="E22" i="22"/>
  <c r="D41" i="20"/>
  <c r="E43" i="20"/>
  <c r="C22" i="19"/>
  <c r="E33" i="18"/>
  <c r="E76" i="17"/>
  <c r="F76" i="17" s="1"/>
  <c r="C22" i="18"/>
  <c r="C294" i="18"/>
  <c r="E32" i="18"/>
  <c r="E60" i="18"/>
  <c r="D65" i="18"/>
  <c r="D71" i="18"/>
  <c r="E21" i="18"/>
  <c r="D294" i="18"/>
  <c r="E37" i="18"/>
  <c r="E69" i="18"/>
  <c r="C144" i="18"/>
  <c r="C175" i="18"/>
  <c r="C261" i="18"/>
  <c r="C189" i="18"/>
  <c r="E188" i="18"/>
  <c r="D260" i="18"/>
  <c r="E195" i="18"/>
  <c r="D239" i="18"/>
  <c r="E215" i="18"/>
  <c r="E242" i="18"/>
  <c r="E244" i="18"/>
  <c r="D252" i="18"/>
  <c r="D253" i="18"/>
  <c r="E261" i="18"/>
  <c r="E189" i="18"/>
  <c r="C229" i="18"/>
  <c r="E229" i="18" s="1"/>
  <c r="C210" i="18"/>
  <c r="E205" i="18"/>
  <c r="C240" i="18"/>
  <c r="E240" i="18" s="1"/>
  <c r="C222" i="18"/>
  <c r="E216" i="18"/>
  <c r="D320" i="18"/>
  <c r="E326" i="18"/>
  <c r="D330" i="18"/>
  <c r="E330" i="18" s="1"/>
  <c r="C217" i="18"/>
  <c r="C241" i="18" s="1"/>
  <c r="E219" i="18"/>
  <c r="E221" i="18"/>
  <c r="D222" i="18"/>
  <c r="D223" i="18" s="1"/>
  <c r="E314" i="18"/>
  <c r="E218" i="18"/>
  <c r="E220" i="18"/>
  <c r="E233" i="18"/>
  <c r="E324" i="18"/>
  <c r="C32" i="17"/>
  <c r="C175" i="17" s="1"/>
  <c r="C90" i="17"/>
  <c r="E23" i="17"/>
  <c r="F23" i="17" s="1"/>
  <c r="E29" i="17"/>
  <c r="F29" i="17" s="1"/>
  <c r="C37" i="17"/>
  <c r="E44" i="17"/>
  <c r="F44" i="17" s="1"/>
  <c r="E67" i="17"/>
  <c r="F67" i="17"/>
  <c r="C77" i="17"/>
  <c r="E77" i="17"/>
  <c r="D89" i="17"/>
  <c r="E89" i="17" s="1"/>
  <c r="F89" i="17" s="1"/>
  <c r="D102" i="17"/>
  <c r="E17" i="17"/>
  <c r="F17" i="17"/>
  <c r="E24" i="17"/>
  <c r="F24" i="17" s="1"/>
  <c r="E30" i="17"/>
  <c r="F30" i="17" s="1"/>
  <c r="E36" i="17"/>
  <c r="F36" i="17"/>
  <c r="E47" i="17"/>
  <c r="F47" i="17" s="1"/>
  <c r="E52" i="17"/>
  <c r="F52" i="17" s="1"/>
  <c r="E58" i="17"/>
  <c r="F58" i="17" s="1"/>
  <c r="C61" i="17"/>
  <c r="E66" i="17"/>
  <c r="F66" i="17" s="1"/>
  <c r="C68" i="17"/>
  <c r="D21" i="17"/>
  <c r="C193" i="17"/>
  <c r="C192" i="17"/>
  <c r="E123" i="17"/>
  <c r="F123" i="17" s="1"/>
  <c r="C124" i="17"/>
  <c r="C125" i="17" s="1"/>
  <c r="F172" i="17"/>
  <c r="D277" i="17"/>
  <c r="E188" i="17"/>
  <c r="F188" i="17" s="1"/>
  <c r="C288" i="17"/>
  <c r="D280" i="17"/>
  <c r="E191" i="17"/>
  <c r="F191" i="17"/>
  <c r="D192" i="17"/>
  <c r="D193" i="17" s="1"/>
  <c r="D266" i="17" s="1"/>
  <c r="D283" i="17"/>
  <c r="D267" i="17"/>
  <c r="E203" i="17"/>
  <c r="F203" i="17" s="1"/>
  <c r="D306" i="17"/>
  <c r="E250" i="17"/>
  <c r="F250" i="17" s="1"/>
  <c r="D261" i="17"/>
  <c r="D264" i="17"/>
  <c r="E295" i="17"/>
  <c r="F295" i="17" s="1"/>
  <c r="D137" i="17"/>
  <c r="D138" i="17" s="1"/>
  <c r="D140" i="17" s="1"/>
  <c r="D141" i="17" s="1"/>
  <c r="D322" i="17" s="1"/>
  <c r="D159" i="17"/>
  <c r="D172" i="17"/>
  <c r="D181" i="17"/>
  <c r="D278" i="17"/>
  <c r="E189" i="17"/>
  <c r="F189" i="17"/>
  <c r="D190" i="17"/>
  <c r="D290" i="17"/>
  <c r="D274" i="17"/>
  <c r="D199" i="17"/>
  <c r="D200" i="17"/>
  <c r="C286" i="17"/>
  <c r="D285" i="17"/>
  <c r="E285" i="17"/>
  <c r="F285" i="17" s="1"/>
  <c r="D269" i="17"/>
  <c r="E204" i="17"/>
  <c r="F204" i="17"/>
  <c r="D205" i="17"/>
  <c r="D215" i="17"/>
  <c r="D227" i="17"/>
  <c r="D239" i="17"/>
  <c r="E297" i="17"/>
  <c r="F297" i="17" s="1"/>
  <c r="C190" i="17"/>
  <c r="C200" i="17"/>
  <c r="E200" i="17" s="1"/>
  <c r="F200" i="17" s="1"/>
  <c r="C205" i="17"/>
  <c r="C206" i="17"/>
  <c r="C214" i="17"/>
  <c r="C215" i="17"/>
  <c r="C254" i="17"/>
  <c r="C255" i="17"/>
  <c r="C261" i="17"/>
  <c r="C271" i="17" s="1"/>
  <c r="C262" i="17"/>
  <c r="C264" i="17"/>
  <c r="C267" i="17"/>
  <c r="C269" i="17"/>
  <c r="E294" i="17"/>
  <c r="F294" i="17"/>
  <c r="E296" i="17"/>
  <c r="E298" i="17"/>
  <c r="F36" i="14"/>
  <c r="F38" i="14" s="1"/>
  <c r="F40" i="14" s="1"/>
  <c r="I17" i="14"/>
  <c r="D31" i="14"/>
  <c r="F31" i="14"/>
  <c r="H31" i="14" s="1"/>
  <c r="C33" i="14"/>
  <c r="C36" i="14" s="1"/>
  <c r="C38" i="14" s="1"/>
  <c r="C40" i="14" s="1"/>
  <c r="E33" i="14"/>
  <c r="E36" i="14" s="1"/>
  <c r="E38" i="14"/>
  <c r="E40" i="14" s="1"/>
  <c r="G33" i="14"/>
  <c r="H17" i="14"/>
  <c r="E21" i="13"/>
  <c r="C15" i="13"/>
  <c r="E15" i="13"/>
  <c r="C48" i="13"/>
  <c r="C42" i="13" s="1"/>
  <c r="E48" i="13"/>
  <c r="E42" i="13" s="1"/>
  <c r="C20" i="12"/>
  <c r="D17" i="12"/>
  <c r="E22" i="11"/>
  <c r="F22" i="11"/>
  <c r="E56" i="11"/>
  <c r="F56" i="11" s="1"/>
  <c r="E61" i="11"/>
  <c r="F61" i="11" s="1"/>
  <c r="E121" i="10"/>
  <c r="E112" i="10"/>
  <c r="E113" i="10"/>
  <c r="E198" i="9"/>
  <c r="F198" i="9"/>
  <c r="E199" i="9"/>
  <c r="F199" i="9" s="1"/>
  <c r="C21" i="8"/>
  <c r="C157" i="8"/>
  <c r="C155" i="8"/>
  <c r="C153" i="8"/>
  <c r="C156" i="8"/>
  <c r="C154" i="8"/>
  <c r="C152" i="8"/>
  <c r="E21" i="8"/>
  <c r="D15" i="8"/>
  <c r="C43" i="8"/>
  <c r="E43" i="8"/>
  <c r="D49" i="8"/>
  <c r="C53" i="8"/>
  <c r="E53" i="8"/>
  <c r="D77" i="8"/>
  <c r="D71" i="8"/>
  <c r="C49" i="8"/>
  <c r="E49" i="8"/>
  <c r="E90" i="7"/>
  <c r="F90" i="7" s="1"/>
  <c r="E183" i="7"/>
  <c r="F183" i="7"/>
  <c r="E41" i="6"/>
  <c r="F41" i="6"/>
  <c r="F84" i="6"/>
  <c r="F16" i="5"/>
  <c r="E16" i="5"/>
  <c r="C18" i="5"/>
  <c r="E33" i="5"/>
  <c r="F33" i="5" s="1"/>
  <c r="E41" i="5"/>
  <c r="F41" i="5" s="1"/>
  <c r="E48" i="5"/>
  <c r="D75" i="4"/>
  <c r="E22" i="4"/>
  <c r="F22" i="4"/>
  <c r="E38" i="4"/>
  <c r="F38" i="4" s="1"/>
  <c r="C41" i="4"/>
  <c r="E56" i="4"/>
  <c r="F56" i="4"/>
  <c r="E61" i="4"/>
  <c r="F61" i="4" s="1"/>
  <c r="C65" i="4"/>
  <c r="C75" i="4" s="1"/>
  <c r="E73" i="4"/>
  <c r="F73" i="4" s="1"/>
  <c r="E53" i="22"/>
  <c r="E45" i="22"/>
  <c r="E39" i="22"/>
  <c r="E35" i="22"/>
  <c r="E29" i="22"/>
  <c r="E110" i="22"/>
  <c r="C54" i="22"/>
  <c r="C46" i="22"/>
  <c r="C40" i="22"/>
  <c r="C36" i="22"/>
  <c r="C30" i="22"/>
  <c r="C53" i="22"/>
  <c r="C45" i="22"/>
  <c r="C39" i="22"/>
  <c r="C35" i="22"/>
  <c r="C29" i="22"/>
  <c r="E111" i="22"/>
  <c r="E54" i="22"/>
  <c r="E46" i="22"/>
  <c r="E40" i="22"/>
  <c r="E36" i="22"/>
  <c r="E30" i="22"/>
  <c r="D53" i="22"/>
  <c r="D45" i="22"/>
  <c r="D39" i="22"/>
  <c r="D35" i="22"/>
  <c r="D29" i="22"/>
  <c r="F43" i="20"/>
  <c r="C223" i="18"/>
  <c r="C247" i="18" s="1"/>
  <c r="C234" i="18"/>
  <c r="C211" i="18"/>
  <c r="C235" i="18" s="1"/>
  <c r="D76" i="18"/>
  <c r="E222" i="18"/>
  <c r="D246" i="18"/>
  <c r="D254" i="18"/>
  <c r="E260" i="18"/>
  <c r="C180" i="18"/>
  <c r="C145" i="18"/>
  <c r="C168" i="18"/>
  <c r="D66" i="18"/>
  <c r="E65" i="18"/>
  <c r="E22" i="18"/>
  <c r="C270" i="17"/>
  <c r="C272" i="17"/>
  <c r="E215" i="17"/>
  <c r="F215" i="17" s="1"/>
  <c r="D255" i="17"/>
  <c r="E255" i="17" s="1"/>
  <c r="F255" i="17" s="1"/>
  <c r="D288" i="17"/>
  <c r="E288" i="17" s="1"/>
  <c r="F288" i="17" s="1"/>
  <c r="E278" i="17"/>
  <c r="F278" i="17" s="1"/>
  <c r="D300" i="17"/>
  <c r="E264" i="17"/>
  <c r="F264" i="17" s="1"/>
  <c r="D286" i="17"/>
  <c r="E286" i="17"/>
  <c r="F286" i="17"/>
  <c r="E283" i="17"/>
  <c r="F283" i="17"/>
  <c r="E205" i="17"/>
  <c r="F205" i="17"/>
  <c r="E269" i="17"/>
  <c r="F269" i="17" s="1"/>
  <c r="D207" i="17"/>
  <c r="D208" i="17" s="1"/>
  <c r="D210" i="17" s="1"/>
  <c r="D271" i="17"/>
  <c r="D268" i="17"/>
  <c r="D263" i="17"/>
  <c r="D270" i="17"/>
  <c r="E270" i="17" s="1"/>
  <c r="F270" i="17" s="1"/>
  <c r="E267" i="17"/>
  <c r="F267" i="17" s="1"/>
  <c r="E192" i="17"/>
  <c r="F192" i="17" s="1"/>
  <c r="E280" i="17"/>
  <c r="F280" i="17" s="1"/>
  <c r="D287" i="17"/>
  <c r="D284" i="17"/>
  <c r="D279" i="17"/>
  <c r="E277" i="17"/>
  <c r="F277" i="17" s="1"/>
  <c r="C194" i="17"/>
  <c r="D272" i="17"/>
  <c r="E272" i="17" s="1"/>
  <c r="F272" i="17" s="1"/>
  <c r="C174" i="17"/>
  <c r="C104" i="17"/>
  <c r="D90" i="17"/>
  <c r="E90" i="17" s="1"/>
  <c r="F90" i="17" s="1"/>
  <c r="C266" i="17"/>
  <c r="C216" i="17"/>
  <c r="E172" i="17"/>
  <c r="D173" i="17"/>
  <c r="E173" i="17" s="1"/>
  <c r="E193" i="17"/>
  <c r="F193" i="17" s="1"/>
  <c r="D194" i="17"/>
  <c r="D196" i="17" s="1"/>
  <c r="D161" i="17"/>
  <c r="D126" i="17"/>
  <c r="D127" i="17" s="1"/>
  <c r="D49" i="17"/>
  <c r="D91" i="17"/>
  <c r="D282" i="17"/>
  <c r="E262" i="17"/>
  <c r="F262" i="17" s="1"/>
  <c r="E124" i="17"/>
  <c r="F124" i="17"/>
  <c r="E102" i="17"/>
  <c r="F102" i="17" s="1"/>
  <c r="D103" i="17"/>
  <c r="D160" i="17"/>
  <c r="C304" i="17"/>
  <c r="C282" i="17"/>
  <c r="G36" i="14"/>
  <c r="G38" i="14" s="1"/>
  <c r="G40" i="14" s="1"/>
  <c r="I33" i="14"/>
  <c r="I36" i="14" s="1"/>
  <c r="I38" i="14" s="1"/>
  <c r="I40" i="14" s="1"/>
  <c r="H33" i="14"/>
  <c r="H36" i="14" s="1"/>
  <c r="H38" i="14" s="1"/>
  <c r="H40" i="14" s="1"/>
  <c r="C24" i="13"/>
  <c r="C17" i="13"/>
  <c r="C28" i="13" s="1"/>
  <c r="C70" i="13" s="1"/>
  <c r="C72" i="13" s="1"/>
  <c r="C69" i="13" s="1"/>
  <c r="E24" i="13"/>
  <c r="E20" i="13" s="1"/>
  <c r="E17" i="13"/>
  <c r="E28" i="13" s="1"/>
  <c r="E17" i="12"/>
  <c r="F17" i="12" s="1"/>
  <c r="D20" i="12"/>
  <c r="C34" i="12"/>
  <c r="D24" i="8"/>
  <c r="D17" i="8"/>
  <c r="C21" i="5"/>
  <c r="C35" i="5" s="1"/>
  <c r="C43" i="5" s="1"/>
  <c r="C50" i="5" s="1"/>
  <c r="E75" i="4"/>
  <c r="F75" i="4" s="1"/>
  <c r="E65" i="4"/>
  <c r="F65" i="4" s="1"/>
  <c r="D55" i="22"/>
  <c r="D47" i="22"/>
  <c r="D37" i="22"/>
  <c r="E113" i="22"/>
  <c r="E56" i="22"/>
  <c r="E48" i="22"/>
  <c r="E38" i="22"/>
  <c r="C56" i="22"/>
  <c r="C48" i="22"/>
  <c r="C38" i="22"/>
  <c r="C55" i="22"/>
  <c r="C47" i="22"/>
  <c r="C37" i="22"/>
  <c r="E55" i="22"/>
  <c r="E47" i="22"/>
  <c r="E37" i="22"/>
  <c r="E112" i="22"/>
  <c r="E66" i="18"/>
  <c r="D295" i="18"/>
  <c r="E295" i="18" s="1"/>
  <c r="C169" i="18"/>
  <c r="D77" i="18"/>
  <c r="D259" i="18"/>
  <c r="C281" i="17"/>
  <c r="D175" i="17"/>
  <c r="E175" i="17" s="1"/>
  <c r="E103" i="17"/>
  <c r="F103" i="17" s="1"/>
  <c r="D105" i="17"/>
  <c r="E282" i="17"/>
  <c r="F282" i="17" s="1"/>
  <c r="D92" i="17"/>
  <c r="D162" i="17"/>
  <c r="C195" i="17"/>
  <c r="D281" i="17"/>
  <c r="E281" i="17" s="1"/>
  <c r="F281" i="17" s="1"/>
  <c r="D50" i="17"/>
  <c r="E194" i="17"/>
  <c r="F194" i="17" s="1"/>
  <c r="D195" i="17"/>
  <c r="E195" i="17" s="1"/>
  <c r="F195" i="17" s="1"/>
  <c r="D304" i="17"/>
  <c r="E304" i="17" s="1"/>
  <c r="F304" i="17" s="1"/>
  <c r="C265" i="17"/>
  <c r="C42" i="12"/>
  <c r="E20" i="12"/>
  <c r="F20" i="12"/>
  <c r="D34" i="12"/>
  <c r="E34" i="12" s="1"/>
  <c r="F34" i="12" s="1"/>
  <c r="D28" i="8"/>
  <c r="D112" i="8"/>
  <c r="D111" i="8" s="1"/>
  <c r="D263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D106" i="17"/>
  <c r="D176" i="17"/>
  <c r="C49" i="12"/>
  <c r="D99" i="8"/>
  <c r="D101" i="8" s="1"/>
  <c r="D98" i="8" s="1"/>
  <c r="D128" i="18"/>
  <c r="D113" i="17"/>
  <c r="D324" i="17"/>
  <c r="E271" i="17" l="1"/>
  <c r="F271" i="17"/>
  <c r="C273" i="17"/>
  <c r="E176" i="17"/>
  <c r="E22" i="13"/>
  <c r="E70" i="13"/>
  <c r="E72" i="13" s="1"/>
  <c r="E69" i="13" s="1"/>
  <c r="D148" i="17"/>
  <c r="C176" i="17"/>
  <c r="F175" i="17"/>
  <c r="D289" i="17"/>
  <c r="E29" i="4"/>
  <c r="F29" i="4" s="1"/>
  <c r="F90" i="6"/>
  <c r="E251" i="18"/>
  <c r="D156" i="18"/>
  <c r="E151" i="18"/>
  <c r="C320" i="18"/>
  <c r="E320" i="18" s="1"/>
  <c r="E316" i="18"/>
  <c r="D323" i="17"/>
  <c r="D116" i="18"/>
  <c r="D117" i="18" s="1"/>
  <c r="D291" i="17"/>
  <c r="E32" i="17"/>
  <c r="F32" i="17" s="1"/>
  <c r="F261" i="17"/>
  <c r="C263" i="17"/>
  <c r="E263" i="17" s="1"/>
  <c r="F263" i="17" s="1"/>
  <c r="C52" i="6"/>
  <c r="D41" i="11"/>
  <c r="E41" i="11" s="1"/>
  <c r="F41" i="11" s="1"/>
  <c r="E38" i="11"/>
  <c r="F38" i="11" s="1"/>
  <c r="D60" i="17"/>
  <c r="E59" i="17"/>
  <c r="F59" i="17" s="1"/>
  <c r="F16" i="20"/>
  <c r="D175" i="18"/>
  <c r="D163" i="18"/>
  <c r="E163" i="18" s="1"/>
  <c r="E139" i="18"/>
  <c r="D183" i="17"/>
  <c r="C62" i="17"/>
  <c r="E261" i="17"/>
  <c r="C268" i="17"/>
  <c r="C24" i="8"/>
  <c r="C20" i="8" s="1"/>
  <c r="C17" i="8"/>
  <c r="F145" i="17"/>
  <c r="C252" i="18"/>
  <c r="E252" i="18" s="1"/>
  <c r="E243" i="18"/>
  <c r="F40" i="20"/>
  <c r="E103" i="22"/>
  <c r="C122" i="10"/>
  <c r="F122" i="10" s="1"/>
  <c r="F113" i="10"/>
  <c r="D129" i="18"/>
  <c r="D42" i="12"/>
  <c r="C105" i="17"/>
  <c r="C106" i="17" s="1"/>
  <c r="E106" i="17" s="1"/>
  <c r="F106" i="17" s="1"/>
  <c r="E65" i="11"/>
  <c r="F65" i="11"/>
  <c r="E145" i="17"/>
  <c r="D146" i="17"/>
  <c r="E301" i="18"/>
  <c r="C303" i="18"/>
  <c r="C306" i="18" s="1"/>
  <c r="E40" i="20"/>
  <c r="E44" i="6"/>
  <c r="F44" i="6"/>
  <c r="C181" i="18"/>
  <c r="C21" i="17"/>
  <c r="E20" i="17"/>
  <c r="F20" i="17" s="1"/>
  <c r="C290" i="17"/>
  <c r="C274" i="17"/>
  <c r="E198" i="17"/>
  <c r="F198" i="17" s="1"/>
  <c r="C199" i="17"/>
  <c r="D55" i="18"/>
  <c r="E54" i="18"/>
  <c r="D283" i="18"/>
  <c r="E109" i="22"/>
  <c r="E108" i="22"/>
  <c r="E31" i="17"/>
  <c r="F31" i="17"/>
  <c r="E294" i="18"/>
  <c r="E73" i="11"/>
  <c r="F73" i="11" s="1"/>
  <c r="E48" i="17"/>
  <c r="F48" i="17" s="1"/>
  <c r="D125" i="17"/>
  <c r="E125" i="17" s="1"/>
  <c r="F125" i="17" s="1"/>
  <c r="C287" i="17"/>
  <c r="C284" i="17"/>
  <c r="C279" i="17"/>
  <c r="E279" i="17" s="1"/>
  <c r="F279" i="17" s="1"/>
  <c r="D302" i="18"/>
  <c r="E302" i="18" s="1"/>
  <c r="E265" i="18"/>
  <c r="D20" i="20"/>
  <c r="E20" i="20" s="1"/>
  <c r="F20" i="20" s="1"/>
  <c r="E19" i="20"/>
  <c r="F19" i="20" s="1"/>
  <c r="C103" i="22"/>
  <c r="D273" i="17"/>
  <c r="E273" i="17" s="1"/>
  <c r="C43" i="4"/>
  <c r="C88" i="8"/>
  <c r="C90" i="8" s="1"/>
  <c r="C86" i="8" s="1"/>
  <c r="C77" i="8"/>
  <c r="C71" i="8" s="1"/>
  <c r="E109" i="17"/>
  <c r="F109" i="17" s="1"/>
  <c r="D111" i="17"/>
  <c r="E111" i="17" s="1"/>
  <c r="F111" i="17" s="1"/>
  <c r="F296" i="17"/>
  <c r="C253" i="18"/>
  <c r="E253" i="18" s="1"/>
  <c r="E71" i="18"/>
  <c r="F35" i="7"/>
  <c r="F167" i="7"/>
  <c r="E79" i="8"/>
  <c r="E109" i="8"/>
  <c r="E106" i="8" s="1"/>
  <c r="F128" i="9"/>
  <c r="E141" i="9"/>
  <c r="E154" i="9"/>
  <c r="E208" i="9"/>
  <c r="F208" i="9" s="1"/>
  <c r="E203" i="9"/>
  <c r="E60" i="10"/>
  <c r="E107" i="10"/>
  <c r="E122" i="10"/>
  <c r="E40" i="12"/>
  <c r="F40" i="12" s="1"/>
  <c r="E50" i="13"/>
  <c r="E37" i="15"/>
  <c r="F37" i="15" s="1"/>
  <c r="E238" i="17"/>
  <c r="F238" i="17" s="1"/>
  <c r="C43" i="18"/>
  <c r="C71" i="18"/>
  <c r="C76" i="18" s="1"/>
  <c r="E166" i="18"/>
  <c r="E21" i="21"/>
  <c r="F21" i="21" s="1"/>
  <c r="E175" i="18"/>
  <c r="F68" i="6"/>
  <c r="C95" i="6"/>
  <c r="F200" i="9"/>
  <c r="E35" i="10"/>
  <c r="E48" i="10"/>
  <c r="E95" i="10"/>
  <c r="E117" i="10"/>
  <c r="C27" i="13"/>
  <c r="E50" i="15"/>
  <c r="F50" i="15" s="1"/>
  <c r="D37" i="17"/>
  <c r="E37" i="17" s="1"/>
  <c r="F37" i="17" s="1"/>
  <c r="C181" i="17"/>
  <c r="F181" i="17" s="1"/>
  <c r="D214" i="17"/>
  <c r="E226" i="17"/>
  <c r="C158" i="8"/>
  <c r="C246" i="18"/>
  <c r="E246" i="18" s="1"/>
  <c r="E45" i="6"/>
  <c r="E49" i="6"/>
  <c r="F49" i="6" s="1"/>
  <c r="D95" i="6"/>
  <c r="E18" i="7"/>
  <c r="F18" i="7" s="1"/>
  <c r="D27" i="8"/>
  <c r="E88" i="8"/>
  <c r="E90" i="8" s="1"/>
  <c r="E86" i="8" s="1"/>
  <c r="C149" i="8"/>
  <c r="D149" i="8"/>
  <c r="E62" i="9"/>
  <c r="E101" i="9"/>
  <c r="E179" i="9"/>
  <c r="F15" i="12"/>
  <c r="E32" i="12"/>
  <c r="F32" i="12" s="1"/>
  <c r="D27" i="13"/>
  <c r="D21" i="13" s="1"/>
  <c r="D50" i="13"/>
  <c r="D68" i="17"/>
  <c r="E68" i="17" s="1"/>
  <c r="F68" i="17" s="1"/>
  <c r="C283" i="18"/>
  <c r="E167" i="18"/>
  <c r="E287" i="18"/>
  <c r="E290" i="17"/>
  <c r="F290" i="17" s="1"/>
  <c r="E181" i="17"/>
  <c r="E239" i="18"/>
  <c r="D95" i="7"/>
  <c r="E149" i="8"/>
  <c r="F23" i="9"/>
  <c r="F49" i="9"/>
  <c r="C159" i="17"/>
  <c r="F179" i="17"/>
  <c r="E223" i="17"/>
  <c r="F223" i="17" s="1"/>
  <c r="C65" i="19"/>
  <c r="C114" i="19" s="1"/>
  <c r="C116" i="19" s="1"/>
  <c r="C119" i="19" s="1"/>
  <c r="C123" i="19" s="1"/>
  <c r="E16" i="20"/>
  <c r="C77" i="22"/>
  <c r="E190" i="17"/>
  <c r="F190" i="17" s="1"/>
  <c r="E25" i="6"/>
  <c r="F25" i="6" s="1"/>
  <c r="D52" i="6"/>
  <c r="E52" i="6" s="1"/>
  <c r="F52" i="6" s="1"/>
  <c r="E50" i="6"/>
  <c r="E89" i="6"/>
  <c r="F89" i="6" s="1"/>
  <c r="E92" i="6"/>
  <c r="F92" i="6" s="1"/>
  <c r="E23" i="9"/>
  <c r="E49" i="9"/>
  <c r="E63" i="9"/>
  <c r="F75" i="9"/>
  <c r="E102" i="9"/>
  <c r="E166" i="9"/>
  <c r="E201" i="9"/>
  <c r="E205" i="9"/>
  <c r="E71" i="10"/>
  <c r="E23" i="15"/>
  <c r="F23" i="15" s="1"/>
  <c r="E14" i="16"/>
  <c r="E73" i="18"/>
  <c r="E173" i="18"/>
  <c r="D77" i="22"/>
  <c r="D101" i="22"/>
  <c r="E206" i="17"/>
  <c r="F206" i="17" s="1"/>
  <c r="E159" i="17"/>
  <c r="E306" i="17"/>
  <c r="F81" i="6"/>
  <c r="C95" i="7"/>
  <c r="C188" i="7"/>
  <c r="D166" i="8"/>
  <c r="F202" i="9"/>
  <c r="E84" i="10"/>
  <c r="F112" i="10"/>
  <c r="E115" i="10"/>
  <c r="E45" i="15"/>
  <c r="F45" i="15" s="1"/>
  <c r="E155" i="17"/>
  <c r="E158" i="17"/>
  <c r="D102" i="22"/>
  <c r="D98" i="22"/>
  <c r="E47" i="6"/>
  <c r="F50" i="6"/>
  <c r="E81" i="6"/>
  <c r="E130" i="7"/>
  <c r="F130" i="7" s="1"/>
  <c r="D188" i="7"/>
  <c r="E166" i="8"/>
  <c r="E24" i="9"/>
  <c r="F24" i="9" s="1"/>
  <c r="E50" i="9"/>
  <c r="F50" i="9" s="1"/>
  <c r="E89" i="9"/>
  <c r="E153" i="9"/>
  <c r="F153" i="9" s="1"/>
  <c r="E167" i="9"/>
  <c r="D75" i="11"/>
  <c r="C50" i="13"/>
  <c r="E55" i="15"/>
  <c r="F55" i="15" s="1"/>
  <c r="E24" i="16"/>
  <c r="F24" i="16" s="1"/>
  <c r="E120" i="17"/>
  <c r="F120" i="17" s="1"/>
  <c r="E174" i="18"/>
  <c r="D211" i="17"/>
  <c r="F48" i="6"/>
  <c r="D265" i="17"/>
  <c r="E265" i="17" s="1"/>
  <c r="F265" i="17" s="1"/>
  <c r="E266" i="17"/>
  <c r="F266" i="17" s="1"/>
  <c r="C310" i="18"/>
  <c r="D43" i="4"/>
  <c r="E41" i="4"/>
  <c r="F41" i="4" s="1"/>
  <c r="E18" i="5"/>
  <c r="F18" i="5" s="1"/>
  <c r="D21" i="5"/>
  <c r="F46" i="6"/>
  <c r="D197" i="17"/>
  <c r="E223" i="18"/>
  <c r="D247" i="18"/>
  <c r="E247" i="18" s="1"/>
  <c r="D131" i="18"/>
  <c r="F176" i="17"/>
  <c r="F51" i="6"/>
  <c r="F154" i="9"/>
  <c r="F203" i="9"/>
  <c r="D325" i="17"/>
  <c r="F85" i="6"/>
  <c r="F137" i="6"/>
  <c r="E42" i="6"/>
  <c r="F42" i="6" s="1"/>
  <c r="E85" i="6"/>
  <c r="F166" i="6"/>
  <c r="F30" i="7"/>
  <c r="F121" i="7"/>
  <c r="F201" i="9"/>
  <c r="F205" i="9"/>
  <c r="F43" i="6"/>
  <c r="F45" i="6"/>
  <c r="F47" i="6"/>
  <c r="F86" i="6"/>
  <c r="E88" i="6"/>
  <c r="F88" i="6" s="1"/>
  <c r="E188" i="7"/>
  <c r="F188" i="7" s="1"/>
  <c r="F76" i="9"/>
  <c r="F127" i="9"/>
  <c r="E207" i="9"/>
  <c r="F207" i="9" s="1"/>
  <c r="D43" i="8"/>
  <c r="C137" i="17"/>
  <c r="C39" i="20"/>
  <c r="F33" i="20"/>
  <c r="E36" i="20"/>
  <c r="F36" i="20" s="1"/>
  <c r="E59" i="7"/>
  <c r="F59" i="7" s="1"/>
  <c r="F179" i="9"/>
  <c r="F14" i="16"/>
  <c r="E85" i="17"/>
  <c r="F85" i="17" s="1"/>
  <c r="E136" i="17"/>
  <c r="F136" i="17" s="1"/>
  <c r="D144" i="18"/>
  <c r="E164" i="18"/>
  <c r="E15" i="8"/>
  <c r="F204" i="9"/>
  <c r="F206" i="9"/>
  <c r="E114" i="10"/>
  <c r="E16" i="15"/>
  <c r="F16" i="15" s="1"/>
  <c r="E92" i="15"/>
  <c r="F92" i="15" s="1"/>
  <c r="F144" i="17"/>
  <c r="C146" i="17"/>
  <c r="E170" i="17"/>
  <c r="F226" i="17"/>
  <c r="C227" i="17"/>
  <c r="F307" i="17"/>
  <c r="D44" i="18"/>
  <c r="D217" i="18"/>
  <c r="D23" i="22"/>
  <c r="D33" i="22"/>
  <c r="D34" i="22"/>
  <c r="E93" i="22"/>
  <c r="C75" i="11"/>
  <c r="D15" i="13"/>
  <c r="F100" i="15"/>
  <c r="F107" i="15"/>
  <c r="E165" i="17"/>
  <c r="E179" i="17"/>
  <c r="C259" i="18"/>
  <c r="E25" i="20"/>
  <c r="F25" i="20" s="1"/>
  <c r="D103" i="22"/>
  <c r="E120" i="10"/>
  <c r="C43" i="11"/>
  <c r="E19" i="21"/>
  <c r="F19" i="21" s="1"/>
  <c r="F73" i="15"/>
  <c r="E75" i="15"/>
  <c r="F75" i="15" s="1"/>
  <c r="E118" i="10"/>
  <c r="D43" i="11"/>
  <c r="F29" i="11"/>
  <c r="E30" i="15"/>
  <c r="E19" i="16"/>
  <c r="F19" i="16" s="1"/>
  <c r="E110" i="17"/>
  <c r="F110" i="17" s="1"/>
  <c r="C239" i="17"/>
  <c r="F237" i="17"/>
  <c r="E227" i="18"/>
  <c r="E282" i="18"/>
  <c r="E45" i="20"/>
  <c r="E46" i="20" s="1"/>
  <c r="F46" i="20" s="1"/>
  <c r="D210" i="18"/>
  <c r="F273" i="17" l="1"/>
  <c r="E156" i="8"/>
  <c r="E152" i="8"/>
  <c r="E157" i="8"/>
  <c r="E155" i="8"/>
  <c r="E153" i="8"/>
  <c r="E154" i="8"/>
  <c r="C109" i="22"/>
  <c r="C108" i="22"/>
  <c r="C112" i="22"/>
  <c r="C113" i="22"/>
  <c r="C111" i="22"/>
  <c r="C110" i="22"/>
  <c r="E140" i="8"/>
  <c r="E138" i="8"/>
  <c r="E139" i="8"/>
  <c r="E137" i="8"/>
  <c r="E135" i="8"/>
  <c r="E136" i="8"/>
  <c r="D140" i="8"/>
  <c r="D136" i="8"/>
  <c r="D139" i="8"/>
  <c r="D137" i="8"/>
  <c r="D135" i="8"/>
  <c r="D138" i="8"/>
  <c r="C21" i="13"/>
  <c r="C22" i="13"/>
  <c r="C20" i="13"/>
  <c r="F284" i="17"/>
  <c r="E284" i="17"/>
  <c r="C63" i="17"/>
  <c r="D61" i="17"/>
  <c r="E60" i="17"/>
  <c r="F60" i="17" s="1"/>
  <c r="D305" i="17"/>
  <c r="E156" i="18"/>
  <c r="D157" i="18"/>
  <c r="E157" i="18" s="1"/>
  <c r="C254" i="18"/>
  <c r="E254" i="18" s="1"/>
  <c r="E43" i="4"/>
  <c r="F43" i="4" s="1"/>
  <c r="E95" i="7"/>
  <c r="C135" i="8"/>
  <c r="C138" i="8"/>
  <c r="C136" i="8"/>
  <c r="C139" i="8"/>
  <c r="C140" i="8"/>
  <c r="C137" i="8"/>
  <c r="E287" i="17"/>
  <c r="F287" i="17"/>
  <c r="C291" i="17"/>
  <c r="C289" i="17"/>
  <c r="C300" i="17"/>
  <c r="F274" i="17"/>
  <c r="E274" i="17"/>
  <c r="E199" i="17"/>
  <c r="F199" i="17"/>
  <c r="D153" i="8"/>
  <c r="D154" i="8"/>
  <c r="D152" i="8"/>
  <c r="D157" i="8"/>
  <c r="D156" i="8"/>
  <c r="D155" i="8"/>
  <c r="D303" i="18"/>
  <c r="D49" i="12"/>
  <c r="E49" i="12" s="1"/>
  <c r="F49" i="12" s="1"/>
  <c r="E42" i="12"/>
  <c r="F42" i="12" s="1"/>
  <c r="E268" i="17"/>
  <c r="F268" i="17" s="1"/>
  <c r="D21" i="8"/>
  <c r="D20" i="8"/>
  <c r="D22" i="8"/>
  <c r="E283" i="18"/>
  <c r="E105" i="17"/>
  <c r="F105" i="17" s="1"/>
  <c r="D109" i="22"/>
  <c r="D108" i="22"/>
  <c r="D112" i="22"/>
  <c r="D110" i="22"/>
  <c r="D254" i="17"/>
  <c r="E254" i="17" s="1"/>
  <c r="F254" i="17" s="1"/>
  <c r="E214" i="17"/>
  <c r="F214" i="17" s="1"/>
  <c r="D216" i="17"/>
  <c r="E216" i="17" s="1"/>
  <c r="F216" i="17" s="1"/>
  <c r="C77" i="18"/>
  <c r="E76" i="18"/>
  <c r="C49" i="17"/>
  <c r="C161" i="17"/>
  <c r="C91" i="17"/>
  <c r="C126" i="17"/>
  <c r="C196" i="17"/>
  <c r="E196" i="17" s="1"/>
  <c r="F196" i="17" s="1"/>
  <c r="E21" i="17"/>
  <c r="F21" i="17" s="1"/>
  <c r="C28" i="8"/>
  <c r="C112" i="8"/>
  <c r="C111" i="8" s="1"/>
  <c r="E75" i="11"/>
  <c r="F95" i="7"/>
  <c r="F159" i="17"/>
  <c r="C160" i="17"/>
  <c r="E160" i="17" s="1"/>
  <c r="F160" i="17" s="1"/>
  <c r="E95" i="6"/>
  <c r="F95" i="6" s="1"/>
  <c r="C44" i="18"/>
  <c r="E43" i="18"/>
  <c r="E55" i="18"/>
  <c r="D284" i="18"/>
  <c r="E284" i="18" s="1"/>
  <c r="C263" i="18"/>
  <c r="E259" i="18"/>
  <c r="E137" i="17"/>
  <c r="F137" i="17"/>
  <c r="C207" i="17"/>
  <c r="C138" i="17"/>
  <c r="E24" i="8"/>
  <c r="E20" i="8" s="1"/>
  <c r="E17" i="8"/>
  <c r="D234" i="18"/>
  <c r="E234" i="18" s="1"/>
  <c r="D211" i="18"/>
  <c r="E210" i="18"/>
  <c r="E146" i="17"/>
  <c r="F146" i="17" s="1"/>
  <c r="D54" i="22"/>
  <c r="D30" i="22"/>
  <c r="D36" i="22"/>
  <c r="D40" i="22"/>
  <c r="D46" i="22"/>
  <c r="D111" i="22"/>
  <c r="E21" i="5"/>
  <c r="F21" i="5" s="1"/>
  <c r="D35" i="5"/>
  <c r="E43" i="11"/>
  <c r="F43" i="11" s="1"/>
  <c r="E217" i="18"/>
  <c r="D241" i="18"/>
  <c r="E241" i="18" s="1"/>
  <c r="D88" i="18"/>
  <c r="D86" i="18"/>
  <c r="D87" i="18"/>
  <c r="D84" i="18"/>
  <c r="D85" i="18"/>
  <c r="D258" i="18"/>
  <c r="D100" i="18"/>
  <c r="D101" i="18"/>
  <c r="D98" i="18"/>
  <c r="D83" i="18"/>
  <c r="D99" i="18"/>
  <c r="E44" i="18"/>
  <c r="D97" i="18"/>
  <c r="D96" i="18"/>
  <c r="D95" i="18"/>
  <c r="D89" i="18"/>
  <c r="D168" i="18"/>
  <c r="E168" i="18" s="1"/>
  <c r="D180" i="18"/>
  <c r="E180" i="18" s="1"/>
  <c r="E144" i="18"/>
  <c r="D145" i="18"/>
  <c r="F45" i="20"/>
  <c r="D24" i="13"/>
  <c r="D20" i="13" s="1"/>
  <c r="D17" i="13"/>
  <c r="D28" i="13" s="1"/>
  <c r="E39" i="20"/>
  <c r="E41" i="20" s="1"/>
  <c r="C41" i="20"/>
  <c r="F41" i="20" s="1"/>
  <c r="E239" i="17"/>
  <c r="F239" i="17" s="1"/>
  <c r="F75" i="11"/>
  <c r="E227" i="17"/>
  <c r="F227" i="17"/>
  <c r="C50" i="17" l="1"/>
  <c r="F49" i="17"/>
  <c r="E49" i="17"/>
  <c r="E300" i="17"/>
  <c r="F300" i="17"/>
  <c r="F161" i="17"/>
  <c r="C162" i="17"/>
  <c r="E161" i="17"/>
  <c r="D158" i="8"/>
  <c r="C99" i="8"/>
  <c r="C101" i="8" s="1"/>
  <c r="C98" i="8" s="1"/>
  <c r="C22" i="8"/>
  <c r="C110" i="18"/>
  <c r="C112" i="18"/>
  <c r="E112" i="18" s="1"/>
  <c r="C126" i="18"/>
  <c r="E126" i="18" s="1"/>
  <c r="C127" i="18"/>
  <c r="E127" i="18" s="1"/>
  <c r="C124" i="18"/>
  <c r="E124" i="18" s="1"/>
  <c r="C109" i="18"/>
  <c r="E109" i="18" s="1"/>
  <c r="C125" i="18"/>
  <c r="E125" i="18" s="1"/>
  <c r="C122" i="18"/>
  <c r="C123" i="18"/>
  <c r="E123" i="18" s="1"/>
  <c r="C115" i="18"/>
  <c r="E115" i="18" s="1"/>
  <c r="E77" i="18"/>
  <c r="C121" i="18"/>
  <c r="C113" i="18"/>
  <c r="E113" i="18" s="1"/>
  <c r="C114" i="18"/>
  <c r="E114" i="18" s="1"/>
  <c r="C111" i="18"/>
  <c r="E111" i="18" s="1"/>
  <c r="F291" i="17"/>
  <c r="C305" i="17"/>
  <c r="C309" i="17" s="1"/>
  <c r="C310" i="17" s="1"/>
  <c r="C312" i="17" s="1"/>
  <c r="C313" i="17" s="1"/>
  <c r="C141" i="8"/>
  <c r="E291" i="17"/>
  <c r="C89" i="18"/>
  <c r="E89" i="18" s="1"/>
  <c r="C86" i="18"/>
  <c r="C87" i="18"/>
  <c r="C84" i="18"/>
  <c r="C85" i="18"/>
  <c r="E85" i="18" s="1"/>
  <c r="C83" i="18"/>
  <c r="C101" i="18"/>
  <c r="C258" i="18"/>
  <c r="C99" i="18"/>
  <c r="C100" i="18"/>
  <c r="E100" i="18" s="1"/>
  <c r="C97" i="18"/>
  <c r="E97" i="18" s="1"/>
  <c r="C98" i="18"/>
  <c r="C95" i="18"/>
  <c r="C103" i="18" s="1"/>
  <c r="C88" i="18"/>
  <c r="C96" i="18"/>
  <c r="C102" i="18" s="1"/>
  <c r="D309" i="17"/>
  <c r="E305" i="17"/>
  <c r="F305" i="17" s="1"/>
  <c r="E158" i="8"/>
  <c r="E87" i="18"/>
  <c r="E99" i="18"/>
  <c r="E86" i="18"/>
  <c r="E126" i="17"/>
  <c r="C127" i="17"/>
  <c r="F126" i="17"/>
  <c r="D306" i="18"/>
  <c r="E303" i="18"/>
  <c r="E289" i="17"/>
  <c r="F289" i="17" s="1"/>
  <c r="D209" i="17"/>
  <c r="D104" i="17"/>
  <c r="E104" i="17" s="1"/>
  <c r="F104" i="17" s="1"/>
  <c r="D62" i="17"/>
  <c r="D174" i="17"/>
  <c r="E174" i="17" s="1"/>
  <c r="F174" i="17" s="1"/>
  <c r="D139" i="17"/>
  <c r="E61" i="17"/>
  <c r="F61" i="17" s="1"/>
  <c r="E141" i="8"/>
  <c r="E101" i="18"/>
  <c r="E98" i="18"/>
  <c r="E88" i="18"/>
  <c r="C92" i="17"/>
  <c r="E91" i="17"/>
  <c r="F91" i="17" s="1"/>
  <c r="C70" i="17"/>
  <c r="D141" i="8"/>
  <c r="D70" i="13"/>
  <c r="D72" i="13" s="1"/>
  <c r="D69" i="13" s="1"/>
  <c r="D22" i="13"/>
  <c r="E138" i="17"/>
  <c r="F138" i="17" s="1"/>
  <c r="C139" i="17"/>
  <c r="C140" i="17"/>
  <c r="E83" i="18"/>
  <c r="E263" i="18"/>
  <c r="C264" i="18"/>
  <c r="C266" i="18" s="1"/>
  <c r="C267" i="18" s="1"/>
  <c r="E96" i="18"/>
  <c r="D102" i="18"/>
  <c r="E102" i="18" s="1"/>
  <c r="E258" i="18"/>
  <c r="D264" i="18"/>
  <c r="C208" i="17"/>
  <c r="E207" i="17"/>
  <c r="F207" i="17" s="1"/>
  <c r="D181" i="18"/>
  <c r="E181" i="18" s="1"/>
  <c r="E145" i="18"/>
  <c r="D169" i="18"/>
  <c r="E169" i="18" s="1"/>
  <c r="D90" i="18"/>
  <c r="E84" i="18"/>
  <c r="D43" i="5"/>
  <c r="E35" i="5"/>
  <c r="F35" i="5" s="1"/>
  <c r="D56" i="22"/>
  <c r="D48" i="22"/>
  <c r="D38" i="22"/>
  <c r="D113" i="22"/>
  <c r="D235" i="18"/>
  <c r="E235" i="18" s="1"/>
  <c r="E211" i="18"/>
  <c r="F39" i="20"/>
  <c r="E112" i="8"/>
  <c r="E111" i="8" s="1"/>
  <c r="E28" i="8"/>
  <c r="D310" i="18" l="1"/>
  <c r="E310" i="18" s="1"/>
  <c r="E306" i="18"/>
  <c r="E121" i="18"/>
  <c r="C128" i="18"/>
  <c r="E128" i="18" s="1"/>
  <c r="E122" i="18"/>
  <c r="E309" i="17"/>
  <c r="F309" i="17" s="1"/>
  <c r="D310" i="17"/>
  <c r="E50" i="17"/>
  <c r="F50" i="17" s="1"/>
  <c r="E95" i="18"/>
  <c r="C197" i="17"/>
  <c r="E197" i="17" s="1"/>
  <c r="F197" i="17" s="1"/>
  <c r="E127" i="17"/>
  <c r="F127" i="17" s="1"/>
  <c r="D103" i="18"/>
  <c r="E103" i="18" s="1"/>
  <c r="C324" i="17"/>
  <c r="E324" i="17" s="1"/>
  <c r="F324" i="17" s="1"/>
  <c r="C113" i="17"/>
  <c r="E113" i="17" s="1"/>
  <c r="F113" i="17" s="1"/>
  <c r="E92" i="17"/>
  <c r="F92" i="17" s="1"/>
  <c r="D63" i="17"/>
  <c r="E62" i="17"/>
  <c r="F62" i="17" s="1"/>
  <c r="C90" i="18"/>
  <c r="C91" i="18" s="1"/>
  <c r="C105" i="18" s="1"/>
  <c r="C314" i="17"/>
  <c r="C318" i="17" s="1"/>
  <c r="C315" i="17"/>
  <c r="C251" i="17"/>
  <c r="C256" i="17"/>
  <c r="C257" i="17" s="1"/>
  <c r="C116" i="18"/>
  <c r="E110" i="18"/>
  <c r="C323" i="17"/>
  <c r="E162" i="17"/>
  <c r="F162" i="17"/>
  <c r="C183" i="17"/>
  <c r="D50" i="5"/>
  <c r="E50" i="5" s="1"/>
  <c r="F50" i="5" s="1"/>
  <c r="E43" i="5"/>
  <c r="F43" i="5" s="1"/>
  <c r="C209" i="17"/>
  <c r="C210" i="17"/>
  <c r="E208" i="17"/>
  <c r="F208" i="17"/>
  <c r="C269" i="18"/>
  <c r="C268" i="18"/>
  <c r="E264" i="18"/>
  <c r="D266" i="18"/>
  <c r="D91" i="18"/>
  <c r="C141" i="17"/>
  <c r="E140" i="17"/>
  <c r="F140" i="17"/>
  <c r="E139" i="17"/>
  <c r="F139" i="17" s="1"/>
  <c r="E99" i="8"/>
  <c r="E101" i="8" s="1"/>
  <c r="E98" i="8" s="1"/>
  <c r="E22" i="8"/>
  <c r="F323" i="17" l="1"/>
  <c r="E323" i="17"/>
  <c r="E63" i="17"/>
  <c r="F63" i="17" s="1"/>
  <c r="D70" i="17"/>
  <c r="E70" i="17" s="1"/>
  <c r="F70" i="17" s="1"/>
  <c r="C117" i="18"/>
  <c r="E116" i="18"/>
  <c r="E90" i="18"/>
  <c r="C129" i="18"/>
  <c r="E129" i="18" s="1"/>
  <c r="F183" i="17"/>
  <c r="E183" i="17"/>
  <c r="D312" i="17"/>
  <c r="E310" i="17"/>
  <c r="F310" i="17" s="1"/>
  <c r="C271" i="18"/>
  <c r="E210" i="17"/>
  <c r="F210" i="17" s="1"/>
  <c r="E91" i="18"/>
  <c r="D105" i="18"/>
  <c r="E105" i="18" s="1"/>
  <c r="E209" i="17"/>
  <c r="F209" i="17"/>
  <c r="E141" i="17"/>
  <c r="F141" i="17" s="1"/>
  <c r="C148" i="17"/>
  <c r="C322" i="17"/>
  <c r="C211" i="17"/>
  <c r="E266" i="18"/>
  <c r="D267" i="18"/>
  <c r="E117" i="18" l="1"/>
  <c r="C131" i="18"/>
  <c r="E131" i="18" s="1"/>
  <c r="D313" i="17"/>
  <c r="E312" i="17"/>
  <c r="F312" i="17" s="1"/>
  <c r="E267" i="18"/>
  <c r="D269" i="18"/>
  <c r="E269" i="18" s="1"/>
  <c r="D268" i="18"/>
  <c r="E211" i="17"/>
  <c r="F211" i="17" s="1"/>
  <c r="E148" i="17"/>
  <c r="F148" i="17"/>
  <c r="C325" i="17"/>
  <c r="E322" i="17"/>
  <c r="F322" i="17" s="1"/>
  <c r="D315" i="17" l="1"/>
  <c r="E315" i="17" s="1"/>
  <c r="F315" i="17" s="1"/>
  <c r="E313" i="17"/>
  <c r="F313" i="17" s="1"/>
  <c r="D314" i="17"/>
  <c r="D256" i="17"/>
  <c r="D251" i="17"/>
  <c r="E251" i="17" s="1"/>
  <c r="F251" i="17" s="1"/>
  <c r="E325" i="17"/>
  <c r="F325" i="17" s="1"/>
  <c r="E268" i="18"/>
  <c r="D271" i="18"/>
  <c r="E271" i="18" s="1"/>
  <c r="E314" i="17" l="1"/>
  <c r="F314" i="17" s="1"/>
  <c r="D318" i="17"/>
  <c r="E318" i="17" s="1"/>
  <c r="F318" i="17" s="1"/>
  <c r="E256" i="17"/>
  <c r="F256" i="17" s="1"/>
  <c r="D257" i="17"/>
  <c r="E257" i="17" s="1"/>
  <c r="F257" i="17" s="1"/>
</calcChain>
</file>

<file path=xl/sharedStrings.xml><?xml version="1.0" encoding="utf-8"?>
<sst xmlns="http://schemas.openxmlformats.org/spreadsheetml/2006/main" count="2336" uniqueCount="1009">
  <si>
    <t>THE HOSPITAL OF CENTRAL CONNECTICUT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</si>
  <si>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</si>
  <si>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</si>
  <si>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</si>
  <si>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</si>
  <si>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</si>
  <si>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</si>
  <si>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</si>
  <si>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</si>
  <si>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</si>
  <si>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</si>
  <si>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</si>
  <si>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</si>
  <si>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</si>
  <si>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</si>
  <si>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</si>
  <si>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</si>
  <si>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</si>
  <si>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</si>
  <si>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</si>
  <si>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</si>
  <si>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</si>
  <si>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</si>
  <si>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</si>
  <si>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</si>
  <si>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</si>
  <si>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</si>
  <si>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</si>
  <si>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</si>
  <si>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</si>
  <si>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</si>
  <si>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</si>
  <si>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</si>
  <si>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</si>
  <si>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</si>
  <si>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</si>
  <si>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</si>
  <si>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</si>
  <si>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</si>
  <si>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</si>
  <si>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</si>
  <si>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</si>
  <si>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</si>
  <si>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</si>
  <si>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</si>
  <si>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</si>
  <si>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</si>
  <si>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</si>
  <si>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</si>
  <si>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</si>
  <si>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</si>
  <si>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</si>
  <si>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</si>
  <si>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</si>
  <si>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</si>
  <si>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</si>
  <si>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</si>
  <si>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</si>
  <si>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</si>
  <si>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</si>
  <si>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</si>
  <si>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</si>
  <si>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</si>
  <si>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</si>
  <si>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</si>
  <si>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</si>
  <si>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</si>
  <si>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</si>
  <si>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</si>
  <si>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</si>
  <si>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</si>
  <si>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</si>
  <si>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</si>
  <si>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</si>
  <si>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</si>
  <si>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</si>
  <si>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</si>
  <si>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</si>
  <si>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</si>
  <si>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</si>
  <si>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</si>
  <si>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</si>
  <si>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</si>
  <si>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</si>
  <si>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</si>
  <si>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</si>
  <si>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</si>
  <si>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</si>
  <si>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</si>
  <si>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</si>
  <si>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</si>
  <si>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</si>
  <si>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</si>
  <si>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</si>
  <si>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</si>
  <si>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</si>
  <si>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</si>
  <si>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</si>
  <si>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</si>
  <si>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</si>
  <si>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</si>
  <si>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</si>
  <si>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</si>
  <si>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</si>
  <si>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</si>
  <si>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</si>
  <si>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</si>
  <si>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</si>
  <si>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</si>
  <si>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</si>
  <si>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</si>
  <si>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</si>
  <si>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</si>
  <si>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</si>
  <si>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</si>
  <si>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</si>
  <si>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</si>
  <si>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</si>
  <si>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</si>
  <si>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</si>
  <si>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</si>
  <si>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</si>
  <si>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</si>
  <si>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</si>
  <si>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</si>
  <si>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</si>
  <si>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</si>
  <si>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</si>
  <si>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</si>
  <si>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</si>
  <si>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</si>
  <si>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</si>
  <si>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</si>
  <si>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</si>
  <si>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</si>
  <si>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</si>
  <si>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</si>
  <si>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</si>
  <si>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</si>
  <si>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</si>
  <si>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</si>
  <si>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</si>
  <si>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</si>
  <si>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</si>
  <si>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</si>
  <si>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</si>
  <si>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</si>
  <si>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</si>
  <si>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</si>
  <si>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</si>
  <si>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</si>
  <si>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</si>
  <si>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</si>
  <si>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</si>
  <si>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</si>
  <si>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</si>
  <si>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</si>
  <si>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</si>
  <si>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</si>
  <si>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</si>
  <si>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</si>
  <si>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</si>
  <si>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</si>
  <si>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</si>
  <si>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</si>
  <si>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</si>
  <si>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</si>
  <si>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</si>
  <si>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</si>
  <si>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</si>
  <si>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</si>
  <si>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</si>
  <si>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</si>
  <si>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</si>
  <si>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</si>
  <si>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</si>
  <si>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</si>
  <si>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</si>
  <si>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</si>
  <si>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</si>
  <si>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</si>
  <si>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</si>
  <si>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</si>
  <si>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</si>
  <si>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</si>
  <si>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</si>
  <si>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</si>
  <si>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</si>
  <si>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</si>
  <si>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</si>
  <si>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</si>
  <si>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</si>
  <si>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</si>
  <si>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</si>
  <si>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</si>
  <si>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</si>
  <si>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</si>
  <si>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</si>
  <si>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</si>
  <si>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</si>
  <si>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</si>
  <si>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</si>
  <si>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</si>
  <si>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</si>
  <si>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</si>
  <si>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</si>
  <si>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</si>
  <si>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</si>
  <si>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</si>
  <si>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</si>
  <si>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</si>
  <si>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</si>
  <si>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</si>
  <si>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</si>
  <si>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</si>
  <si>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</si>
  <si>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</si>
  <si>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</si>
  <si>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</si>
  <si>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</si>
  <si>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</si>
  <si>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</si>
  <si>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</si>
  <si>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</si>
  <si>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</si>
  <si>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</si>
  <si>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</si>
  <si>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</si>
  <si>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</si>
  <si>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</si>
  <si>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</si>
  <si>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</si>
  <si>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</si>
  <si>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</si>
  <si>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</si>
  <si>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</si>
  <si>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</si>
  <si>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</si>
  <si>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</si>
  <si>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</si>
  <si>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</si>
  <si>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</si>
  <si>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</si>
  <si>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</si>
  <si>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</si>
  <si>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</si>
  <si>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</si>
  <si>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</si>
  <si>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</si>
  <si>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</si>
  <si>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</si>
  <si>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</si>
  <si>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</si>
  <si>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</si>
  <si>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</si>
  <si>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</si>
  <si>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</si>
  <si>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</si>
  <si>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</si>
  <si>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</si>
  <si>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</si>
  <si>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</si>
  <si>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</si>
  <si>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</si>
  <si>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</si>
  <si>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</si>
  <si>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</si>
  <si>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</si>
  <si>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</si>
  <si>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</si>
  <si>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</si>
  <si>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</si>
  <si>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</si>
  <si>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</si>
  <si>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</si>
  <si>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</si>
  <si>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</si>
  <si>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</si>
  <si>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</si>
  <si>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</si>
  <si>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</si>
  <si>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</si>
  <si>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</si>
  <si>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</si>
  <si>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</si>
  <si>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</si>
  <si>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</si>
  <si>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</si>
  <si>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</si>
  <si>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</si>
  <si>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</si>
  <si>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</si>
  <si>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</si>
  <si>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</si>
  <si>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</si>
  <si>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</si>
  <si>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</si>
  <si>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</si>
  <si>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</si>
  <si>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</si>
  <si>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</si>
  <si>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</si>
  <si>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</si>
  <si>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</si>
  <si>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</si>
  <si>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</si>
  <si>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</si>
  <si>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</si>
  <si>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</si>
  <si>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</si>
  <si>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</si>
  <si>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</si>
  <si>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</si>
  <si>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</si>
  <si>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</si>
  <si>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</si>
  <si>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</si>
  <si>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</si>
  <si>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</si>
  <si>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</si>
  <si>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</si>
  <si>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</si>
  <si>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</si>
  <si>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</si>
  <si>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</si>
  <si>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</si>
  <si>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</si>
  <si>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</si>
  <si>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</si>
  <si>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</si>
  <si>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</si>
  <si>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</si>
  <si>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</si>
  <si>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</si>
  <si>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</si>
  <si>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</si>
  <si>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</si>
  <si>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</si>
  <si>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</si>
  <si>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</si>
  <si>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</si>
  <si>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</si>
  <si>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</si>
  <si>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</si>
  <si>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</si>
  <si>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</si>
  <si>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</si>
  <si>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</si>
  <si>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</si>
  <si>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</si>
  <si>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</si>
  <si>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</si>
  <si>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</si>
  <si>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</si>
  <si>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</si>
  <si>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</si>
  <si>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</si>
  <si>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</si>
  <si>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</si>
  <si>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</si>
  <si>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</si>
  <si>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</si>
  <si>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</si>
  <si>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</si>
  <si>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</si>
  <si>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</si>
  <si>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</si>
  <si>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</si>
  <si>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</si>
  <si>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</si>
  <si>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</si>
  <si>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</si>
  <si>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</si>
  <si>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</si>
  <si>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</si>
  <si>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</si>
  <si>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</si>
  <si>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</si>
  <si>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</si>
  <si>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</si>
  <si>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</si>
  <si>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</si>
  <si>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</si>
  <si>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</si>
  <si>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</si>
  <si>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</si>
  <si>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</si>
  <si>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</si>
  <si>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</si>
  <si>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</si>
  <si>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</si>
  <si>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</si>
  <si>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</si>
  <si>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</si>
  <si>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</si>
  <si>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</si>
  <si>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</si>
  <si>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</si>
  <si>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</si>
  <si>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</si>
  <si>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</si>
  <si>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</si>
  <si>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</si>
  <si>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</si>
  <si>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</si>
  <si>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</si>
  <si>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</si>
  <si>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</si>
  <si>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</si>
  <si>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</si>
  <si>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</si>
  <si>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</si>
  <si>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</si>
  <si>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</si>
  <si>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</si>
  <si>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</si>
  <si>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</si>
  <si>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</si>
  <si>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</si>
  <si>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</si>
  <si>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</si>
  <si>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</si>
  <si>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</si>
  <si>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</si>
  <si>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</si>
  <si>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</si>
  <si>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</si>
  <si>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</si>
  <si>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</si>
  <si>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</si>
  <si>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</si>
  <si>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</si>
  <si>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</si>
  <si>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</si>
  <si>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</si>
  <si>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</si>
  <si>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</si>
  <si>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</si>
  <si>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</si>
  <si>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</si>
  <si>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</si>
  <si>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</si>
  <si>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</si>
  <si>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</si>
  <si>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</si>
  <si>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</si>
  <si>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</si>
  <si>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</si>
  <si>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</si>
  <si>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</si>
  <si>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</si>
  <si>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</si>
  <si>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</si>
  <si>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</si>
  <si>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</si>
  <si>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</si>
  <si>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</si>
  <si>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</si>
  <si>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</si>
  <si>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</si>
  <si>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</si>
  <si>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</si>
  <si>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</si>
  <si>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</si>
  <si>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</si>
  <si>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</si>
  <si>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</si>
  <si>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</si>
  <si>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</si>
  <si>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</si>
  <si>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</si>
  <si>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</si>
  <si>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</si>
  <si>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</si>
  <si>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</si>
  <si>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</si>
  <si>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</si>
  <si>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</si>
  <si>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</si>
  <si>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</si>
  <si>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</si>
  <si>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</si>
  <si>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</si>
  <si>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</si>
  <si>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</si>
  <si>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</si>
  <si>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</si>
  <si>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</si>
  <si>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</si>
  <si>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</si>
  <si>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</si>
  <si>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</si>
  <si>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</si>
  <si>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</si>
  <si>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</si>
  <si>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</si>
  <si>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</si>
  <si>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</si>
  <si>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</si>
  <si>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</si>
  <si>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HARTFORD HEALTH CARE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</si>
  <si>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</si>
  <si>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</si>
  <si>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</si>
  <si>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</si>
  <si>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</si>
  <si>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</si>
  <si>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</si>
  <si>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</si>
  <si>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</si>
  <si>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</si>
  <si>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</si>
  <si>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</si>
  <si>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</si>
  <si>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</si>
  <si>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</si>
  <si>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</si>
  <si>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</si>
  <si>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</si>
  <si>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</si>
  <si>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</si>
  <si>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</si>
  <si>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</si>
  <si>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</si>
  <si>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</si>
  <si>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</si>
  <si>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</si>
  <si>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</si>
  <si>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</si>
  <si>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</si>
  <si>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</si>
  <si>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</si>
  <si>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</si>
  <si>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</si>
  <si>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</si>
  <si>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</si>
  <si>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</si>
  <si>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</si>
  <si>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</si>
  <si>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</si>
  <si>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</si>
  <si>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</si>
  <si>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</si>
  <si>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</si>
  <si>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</si>
  <si>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</si>
  <si>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</si>
  <si>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</si>
  <si>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</si>
  <si>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</si>
  <si>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</si>
  <si>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</si>
  <si>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</si>
  <si>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</si>
  <si>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</si>
  <si>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</si>
  <si>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</si>
  <si>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</si>
  <si>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</si>
  <si>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</si>
  <si>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</si>
  <si>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</si>
  <si>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</si>
  <si>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</si>
  <si>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</si>
  <si>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</si>
  <si>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</si>
  <si>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</si>
  <si>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</si>
  <si>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</si>
  <si>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</si>
  <si>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</si>
  <si>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</si>
  <si>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</si>
  <si>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</si>
  <si>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</si>
  <si>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</si>
  <si>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</si>
  <si>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</si>
  <si>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</si>
  <si>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</si>
  <si>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</si>
  <si>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</si>
  <si>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</si>
  <si>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</si>
  <si>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</si>
  <si>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</si>
  <si>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</si>
  <si>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</si>
  <si>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</si>
  <si>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</si>
  <si>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</si>
  <si>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</si>
  <si>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</si>
  <si>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</si>
  <si>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</si>
  <si>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</si>
  <si>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</si>
  <si>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</si>
  <si>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</si>
  <si>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</si>
  <si>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</si>
  <si>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</si>
  <si>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</si>
  <si>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</si>
  <si>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</si>
  <si>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</si>
  <si>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</si>
  <si>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</si>
  <si>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</si>
  <si>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</si>
  <si>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</si>
  <si>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</si>
  <si>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</si>
  <si>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</si>
  <si>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</si>
  <si>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</si>
  <si>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</si>
  <si>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</si>
  <si>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</si>
  <si>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</si>
  <si>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Hospital of Central Connecticut (BMH)</t>
  </si>
  <si>
    <t>The Hospital of Central Connecticut (NBG)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</si>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</sst>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12599086</v>
      </c>
      <c r="D13" s="22">
        <v>20213019</v>
      </c>
      <c r="E13" s="22">
        <f t="shared" ref="E13:E22" si="0">D13-C13</f>
        <v>7613933</v>
      </c>
      <c r="F13" s="23">
        <f t="shared" ref="F13:F22" si="1">IF(C13=0,0,E13/C13)</f>
        <v>0.60432423431350502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41580130</v>
      </c>
      <c r="D15" s="22">
        <v>43814445</v>
      </c>
      <c r="E15" s="22">
        <f t="shared" si="0"/>
        <v>2234315</v>
      </c>
      <c r="F15" s="23">
        <f t="shared" si="1"/>
        <v>5.3735161482179106E-2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-4355513</v>
      </c>
      <c r="D17" s="22">
        <v>-727628</v>
      </c>
      <c r="E17" s="22">
        <f t="shared" si="0"/>
        <v>3627885</v>
      </c>
      <c r="F17" s="23">
        <f t="shared" si="1"/>
        <v>-0.83294091878499732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6193421</v>
      </c>
      <c r="D19" s="22">
        <v>6048763</v>
      </c>
      <c r="E19" s="22">
        <f t="shared" si="0"/>
        <v>-144658</v>
      </c>
      <c r="F19" s="23">
        <f t="shared" si="1"/>
        <v>-2.3356719977537455E-2</v>
      </c>
    </row>
    <row r="20" spans="1:11" ht="24" customHeight="1" x14ac:dyDescent="0.2">
      <c r="A20" s="20">
        <v>8</v>
      </c>
      <c r="B20" s="21" t="s">
        <v>23</v>
      </c>
      <c r="C20" s="22">
        <v>2640940</v>
      </c>
      <c r="D20" s="22">
        <v>2329585</v>
      </c>
      <c r="E20" s="22">
        <f t="shared" si="0"/>
        <v>-311355</v>
      </c>
      <c r="F20" s="23">
        <f t="shared" si="1"/>
        <v>-0.11789552204896742</v>
      </c>
    </row>
    <row r="21" spans="1:11" ht="24" customHeight="1" x14ac:dyDescent="0.2">
      <c r="A21" s="20">
        <v>9</v>
      </c>
      <c r="B21" s="21" t="s">
        <v>24</v>
      </c>
      <c r="C21" s="22">
        <v>17491009</v>
      </c>
      <c r="D21" s="22">
        <v>12538320</v>
      </c>
      <c r="E21" s="22">
        <f t="shared" si="0"/>
        <v>-4952689</v>
      </c>
      <c r="F21" s="23">
        <f t="shared" si="1"/>
        <v>-0.28315627760525419</v>
      </c>
    </row>
    <row r="22" spans="1:11" ht="24" customHeight="1" x14ac:dyDescent="0.25">
      <c r="A22" s="24"/>
      <c r="B22" s="25" t="s">
        <v>25</v>
      </c>
      <c r="C22" s="26">
        <f>SUM(C13:C21)</f>
        <v>76149073</v>
      </c>
      <c r="D22" s="26">
        <f>SUM(D13:D21)</f>
        <v>84216504</v>
      </c>
      <c r="E22" s="26">
        <f t="shared" si="0"/>
        <v>8067431</v>
      </c>
      <c r="F22" s="27">
        <f t="shared" si="1"/>
        <v>0.10594260287318272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14823354</v>
      </c>
      <c r="D25" s="22">
        <v>15418922</v>
      </c>
      <c r="E25" s="22">
        <f>D25-C25</f>
        <v>595568</v>
      </c>
      <c r="F25" s="23">
        <f>IF(C25=0,0,E25/C25)</f>
        <v>4.0177681785107472E-2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3592213</v>
      </c>
      <c r="D28" s="22">
        <v>3593915</v>
      </c>
      <c r="E28" s="22">
        <f>D28-C28</f>
        <v>1702</v>
      </c>
      <c r="F28" s="23">
        <f>IF(C28=0,0,E28/C28)</f>
        <v>4.7380263920875516E-4</v>
      </c>
    </row>
    <row r="29" spans="1:11" ht="24" customHeight="1" x14ac:dyDescent="0.25">
      <c r="A29" s="24"/>
      <c r="B29" s="25" t="s">
        <v>32</v>
      </c>
      <c r="C29" s="26">
        <f>SUM(C25:C28)</f>
        <v>18415567</v>
      </c>
      <c r="D29" s="26">
        <f>SUM(D25:D28)</f>
        <v>19012837</v>
      </c>
      <c r="E29" s="26">
        <f>D29-C29</f>
        <v>597270</v>
      </c>
      <c r="F29" s="27">
        <f>IF(C29=0,0,E29/C29)</f>
        <v>3.2432886807123563E-2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165911560</v>
      </c>
      <c r="D32" s="22">
        <v>188084617</v>
      </c>
      <c r="E32" s="22">
        <f>D32-C32</f>
        <v>22173057</v>
      </c>
      <c r="F32" s="23">
        <f>IF(C32=0,0,E32/C32)</f>
        <v>0.13364383410052921</v>
      </c>
    </row>
    <row r="33" spans="1:8" ht="24" customHeight="1" x14ac:dyDescent="0.2">
      <c r="A33" s="20">
        <v>7</v>
      </c>
      <c r="B33" s="21" t="s">
        <v>35</v>
      </c>
      <c r="C33" s="22">
        <v>26124915</v>
      </c>
      <c r="D33" s="22">
        <v>25680817</v>
      </c>
      <c r="E33" s="22">
        <f>D33-C33</f>
        <v>-444098</v>
      </c>
      <c r="F33" s="23">
        <f>IF(C33=0,0,E33/C33)</f>
        <v>-1.6999021814999207E-2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458467173</v>
      </c>
      <c r="D36" s="22">
        <v>461301026</v>
      </c>
      <c r="E36" s="22">
        <f>D36-C36</f>
        <v>2833853</v>
      </c>
      <c r="F36" s="23">
        <f>IF(C36=0,0,E36/C36)</f>
        <v>6.1811470196580466E-3</v>
      </c>
    </row>
    <row r="37" spans="1:8" ht="24" customHeight="1" x14ac:dyDescent="0.2">
      <c r="A37" s="20">
        <v>2</v>
      </c>
      <c r="B37" s="21" t="s">
        <v>39</v>
      </c>
      <c r="C37" s="22">
        <v>266166240</v>
      </c>
      <c r="D37" s="22">
        <v>284627333</v>
      </c>
      <c r="E37" s="22">
        <f>D37-C37</f>
        <v>18461093</v>
      </c>
      <c r="F37" s="23">
        <f>IF(C37=0,0,E37/C37)</f>
        <v>6.9359258334189947E-2</v>
      </c>
    </row>
    <row r="38" spans="1:8" ht="24" customHeight="1" x14ac:dyDescent="0.25">
      <c r="A38" s="24"/>
      <c r="B38" s="25" t="s">
        <v>40</v>
      </c>
      <c r="C38" s="26">
        <f>C36-C37</f>
        <v>192300933</v>
      </c>
      <c r="D38" s="26">
        <f>D36-D37</f>
        <v>176673693</v>
      </c>
      <c r="E38" s="26">
        <f>D38-C38</f>
        <v>-15627240</v>
      </c>
      <c r="F38" s="27">
        <f>IF(C38=0,0,E38/C38)</f>
        <v>-8.1264504317303546E-2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278463</v>
      </c>
      <c r="D40" s="22">
        <v>1317660</v>
      </c>
      <c r="E40" s="22">
        <f>D40-C40</f>
        <v>1039197</v>
      </c>
      <c r="F40" s="23">
        <f>IF(C40=0,0,E40/C40)</f>
        <v>3.7319033408388189</v>
      </c>
    </row>
    <row r="41" spans="1:8" ht="24" customHeight="1" x14ac:dyDescent="0.25">
      <c r="A41" s="24"/>
      <c r="B41" s="25" t="s">
        <v>42</v>
      </c>
      <c r="C41" s="26">
        <f>+C38+C40</f>
        <v>192579396</v>
      </c>
      <c r="D41" s="26">
        <f>+D38+D40</f>
        <v>177991353</v>
      </c>
      <c r="E41" s="26">
        <f>D41-C41</f>
        <v>-14588043</v>
      </c>
      <c r="F41" s="27">
        <f>IF(C41=0,0,E41/C41)</f>
        <v>-7.5750798387590745E-2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479180511</v>
      </c>
      <c r="D43" s="26">
        <f>D22+D29+D31+D32+D33+D41</f>
        <v>494986128</v>
      </c>
      <c r="E43" s="26">
        <f>D43-C43</f>
        <v>15805617</v>
      </c>
      <c r="F43" s="27">
        <f>IF(C43=0,0,E43/C43)</f>
        <v>3.2984682467605615E-2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18700506</v>
      </c>
      <c r="D49" s="22">
        <v>17427365</v>
      </c>
      <c r="E49" s="22">
        <f t="shared" ref="E49:E56" si="2">D49-C49</f>
        <v>-1273141</v>
      </c>
      <c r="F49" s="23">
        <f t="shared" ref="F49:F56" si="3">IF(C49=0,0,E49/C49)</f>
        <v>-6.8080564237138819E-2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8361426</v>
      </c>
      <c r="D50" s="22">
        <v>8242123</v>
      </c>
      <c r="E50" s="22">
        <f t="shared" si="2"/>
        <v>-119303</v>
      </c>
      <c r="F50" s="23">
        <f t="shared" si="3"/>
        <v>-1.4268259983404745E-2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10957225</v>
      </c>
      <c r="D51" s="22">
        <v>4627351</v>
      </c>
      <c r="E51" s="22">
        <f t="shared" si="2"/>
        <v>-6329874</v>
      </c>
      <c r="F51" s="23">
        <f t="shared" si="3"/>
        <v>-0.57768951536543245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489977</v>
      </c>
      <c r="D53" s="22">
        <v>412691</v>
      </c>
      <c r="E53" s="22">
        <f t="shared" si="2"/>
        <v>-77286</v>
      </c>
      <c r="F53" s="23">
        <f t="shared" si="3"/>
        <v>-0.15773393444998438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4549911</v>
      </c>
      <c r="D55" s="22">
        <v>5702683</v>
      </c>
      <c r="E55" s="22">
        <f t="shared" si="2"/>
        <v>1152772</v>
      </c>
      <c r="F55" s="23">
        <f t="shared" si="3"/>
        <v>0.25336143937760541</v>
      </c>
    </row>
    <row r="56" spans="1:6" ht="24" customHeight="1" x14ac:dyDescent="0.25">
      <c r="A56" s="24"/>
      <c r="B56" s="25" t="s">
        <v>54</v>
      </c>
      <c r="C56" s="26">
        <f>SUM(C49:C55)</f>
        <v>43059045</v>
      </c>
      <c r="D56" s="26">
        <f>SUM(D49:D55)</f>
        <v>36412213</v>
      </c>
      <c r="E56" s="26">
        <f t="shared" si="2"/>
        <v>-6646832</v>
      </c>
      <c r="F56" s="27">
        <f t="shared" si="3"/>
        <v>-0.15436552296968034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62520502</v>
      </c>
      <c r="D60" s="22">
        <v>61949082</v>
      </c>
      <c r="E60" s="22">
        <f>D60-C60</f>
        <v>-571420</v>
      </c>
      <c r="F60" s="23">
        <f>IF(C60=0,0,E60/C60)</f>
        <v>-9.1397218787526695E-3</v>
      </c>
    </row>
    <row r="61" spans="1:6" ht="24" customHeight="1" x14ac:dyDescent="0.25">
      <c r="A61" s="24"/>
      <c r="B61" s="25" t="s">
        <v>58</v>
      </c>
      <c r="C61" s="26">
        <f>SUM(C59:C60)</f>
        <v>62520502</v>
      </c>
      <c r="D61" s="26">
        <f>SUM(D59:D60)</f>
        <v>61949082</v>
      </c>
      <c r="E61" s="26">
        <f>D61-C61</f>
        <v>-571420</v>
      </c>
      <c r="F61" s="27">
        <f>IF(C61=0,0,E61/C61)</f>
        <v>-9.1397218787526695E-3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118489088</v>
      </c>
      <c r="D63" s="22">
        <v>163854813</v>
      </c>
      <c r="E63" s="22">
        <f>D63-C63</f>
        <v>45365725</v>
      </c>
      <c r="F63" s="23">
        <f>IF(C63=0,0,E63/C63)</f>
        <v>0.38286837856326483</v>
      </c>
    </row>
    <row r="64" spans="1:6" ht="24" customHeight="1" x14ac:dyDescent="0.2">
      <c r="A64" s="20">
        <v>4</v>
      </c>
      <c r="B64" s="21" t="s">
        <v>60</v>
      </c>
      <c r="C64" s="22">
        <v>23803715</v>
      </c>
      <c r="D64" s="22">
        <v>24201738</v>
      </c>
      <c r="E64" s="22">
        <f>D64-C64</f>
        <v>398023</v>
      </c>
      <c r="F64" s="23">
        <f>IF(C64=0,0,E64/C64)</f>
        <v>1.6721045433454401E-2</v>
      </c>
    </row>
    <row r="65" spans="1:6" ht="24" customHeight="1" x14ac:dyDescent="0.25">
      <c r="A65" s="24"/>
      <c r="B65" s="25" t="s">
        <v>61</v>
      </c>
      <c r="C65" s="26">
        <f>SUM(C61:C64)</f>
        <v>204813305</v>
      </c>
      <c r="D65" s="26">
        <f>SUM(D61:D64)</f>
        <v>250005633</v>
      </c>
      <c r="E65" s="26">
        <f>D65-C65</f>
        <v>45192328</v>
      </c>
      <c r="F65" s="27">
        <f>IF(C65=0,0,E65/C65)</f>
        <v>0.22065132926789108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185794465</v>
      </c>
      <c r="D70" s="22">
        <v>159112883</v>
      </c>
      <c r="E70" s="22">
        <f>D70-C70</f>
        <v>-26681582</v>
      </c>
      <c r="F70" s="23">
        <f>IF(C70=0,0,E70/C70)</f>
        <v>-0.14360805635410076</v>
      </c>
    </row>
    <row r="71" spans="1:6" ht="24" customHeight="1" x14ac:dyDescent="0.2">
      <c r="A71" s="20">
        <v>2</v>
      </c>
      <c r="B71" s="21" t="s">
        <v>65</v>
      </c>
      <c r="C71" s="22">
        <v>23882792</v>
      </c>
      <c r="D71" s="22">
        <v>27228927</v>
      </c>
      <c r="E71" s="22">
        <f>D71-C71</f>
        <v>3346135</v>
      </c>
      <c r="F71" s="23">
        <f>IF(C71=0,0,E71/C71)</f>
        <v>0.14010652523373315</v>
      </c>
    </row>
    <row r="72" spans="1:6" ht="24" customHeight="1" x14ac:dyDescent="0.2">
      <c r="A72" s="20">
        <v>3</v>
      </c>
      <c r="B72" s="21" t="s">
        <v>66</v>
      </c>
      <c r="C72" s="22">
        <v>21630904</v>
      </c>
      <c r="D72" s="22">
        <v>22226472</v>
      </c>
      <c r="E72" s="22">
        <f>D72-C72</f>
        <v>595568</v>
      </c>
      <c r="F72" s="23">
        <f>IF(C72=0,0,E72/C72)</f>
        <v>2.7533199722027335E-2</v>
      </c>
    </row>
    <row r="73" spans="1:6" ht="24" customHeight="1" x14ac:dyDescent="0.25">
      <c r="A73" s="20"/>
      <c r="B73" s="25" t="s">
        <v>67</v>
      </c>
      <c r="C73" s="26">
        <f>SUM(C70:C72)</f>
        <v>231308161</v>
      </c>
      <c r="D73" s="26">
        <f>SUM(D70:D72)</f>
        <v>208568282</v>
      </c>
      <c r="E73" s="26">
        <f>D73-C73</f>
        <v>-22739879</v>
      </c>
      <c r="F73" s="27">
        <f>IF(C73=0,0,E73/C73)</f>
        <v>-9.8309886264670104E-2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479180511</v>
      </c>
      <c r="D75" s="26">
        <f>D56+D65+D67+D73</f>
        <v>494986128</v>
      </c>
      <c r="E75" s="26">
        <f>D75-C75</f>
        <v>15805617</v>
      </c>
      <c r="F75" s="27">
        <f>IF(C75=0,0,E75/C75)</f>
        <v>3.2984682467605615E-2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5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379677582</v>
      </c>
      <c r="D11" s="76">
        <v>339151859</v>
      </c>
      <c r="E11" s="76">
        <v>358393744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33021836</v>
      </c>
      <c r="D12" s="185">
        <v>13988619</v>
      </c>
      <c r="E12" s="185">
        <v>15023160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412699418</v>
      </c>
      <c r="D13" s="76">
        <f>+D11+D12</f>
        <v>353140478</v>
      </c>
      <c r="E13" s="76">
        <f>+E11+E12</f>
        <v>373416904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397151788</v>
      </c>
      <c r="D14" s="185">
        <v>356160697</v>
      </c>
      <c r="E14" s="185">
        <v>366063765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15547630</v>
      </c>
      <c r="D15" s="76">
        <f>+D13-D14</f>
        <v>-3020219</v>
      </c>
      <c r="E15" s="76">
        <f>+E13-E14</f>
        <v>7353139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9891716</v>
      </c>
      <c r="D16" s="185">
        <v>-1142820</v>
      </c>
      <c r="E16" s="185">
        <v>11883427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25439346</v>
      </c>
      <c r="D17" s="76">
        <f>D15+D16</f>
        <v>-4163039</v>
      </c>
      <c r="E17" s="76">
        <f>E15+E16</f>
        <v>19236566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3.679118833572121E-2</v>
      </c>
      <c r="D20" s="189">
        <f>IF(+D27=0,0,+D24/+D27)</f>
        <v>-8.5802247013813931E-3</v>
      </c>
      <c r="E20" s="189">
        <f>IF(+E27=0,0,+E24/+E27)</f>
        <v>1.9084175144401836E-2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2.3407296566709323E-2</v>
      </c>
      <c r="D21" s="189">
        <f>IF(+D27=0,0,+D26/+D27)</f>
        <v>-3.2466693286919541E-3</v>
      </c>
      <c r="E21" s="189">
        <f>IF(+E27=0,0,+E26/+E27)</f>
        <v>3.084198492422266E-2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6.0198484902430537E-2</v>
      </c>
      <c r="D22" s="189">
        <f>IF(+D27=0,0,+D28/+D27)</f>
        <v>-1.1826894030073348E-2</v>
      </c>
      <c r="E22" s="189">
        <f>IF(+E27=0,0,+E28/+E27)</f>
        <v>4.9926160068624492E-2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15547630</v>
      </c>
      <c r="D24" s="76">
        <f>+D15</f>
        <v>-3020219</v>
      </c>
      <c r="E24" s="76">
        <f>+E15</f>
        <v>7353139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412699418</v>
      </c>
      <c r="D25" s="76">
        <f>+D13</f>
        <v>353140478</v>
      </c>
      <c r="E25" s="76">
        <f>+E13</f>
        <v>373416904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9891716</v>
      </c>
      <c r="D26" s="76">
        <f>+D16</f>
        <v>-1142820</v>
      </c>
      <c r="E26" s="76">
        <f>+E16</f>
        <v>11883427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422591134</v>
      </c>
      <c r="D27" s="76">
        <f>SUM(D25:D26)</f>
        <v>351997658</v>
      </c>
      <c r="E27" s="76">
        <f>SUM(E25:E26)</f>
        <v>385300331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25439346</v>
      </c>
      <c r="D28" s="76">
        <f>+D17</f>
        <v>-4163039</v>
      </c>
      <c r="E28" s="76">
        <f>+E17</f>
        <v>19236566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188482040</v>
      </c>
      <c r="D31" s="76">
        <v>187369388</v>
      </c>
      <c r="E31" s="76">
        <v>160133367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238475802</v>
      </c>
      <c r="D32" s="76">
        <v>232883084</v>
      </c>
      <c r="E32" s="76">
        <v>209588766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-32082521</v>
      </c>
      <c r="D33" s="76">
        <f>+D32-C32</f>
        <v>-5592718</v>
      </c>
      <c r="E33" s="76">
        <f>+E32-D32</f>
        <v>-23294318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0.88139999999999996</v>
      </c>
      <c r="D34" s="193">
        <f>IF(C32=0,0,+D33/C32)</f>
        <v>-2.3451930774930362E-2</v>
      </c>
      <c r="E34" s="193">
        <f>IF(D32=0,0,+E33/D32)</f>
        <v>-0.10002580522336264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2.4348150050704791</v>
      </c>
      <c r="D38" s="338">
        <f>IF(+D40=0,0,+D39/+D40)</f>
        <v>1.7738322460429063</v>
      </c>
      <c r="E38" s="338">
        <f>IF(+E40=0,0,+E39/+E40)</f>
        <v>2.3279628667561214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143873411</v>
      </c>
      <c r="D39" s="341">
        <v>85211749</v>
      </c>
      <c r="E39" s="341">
        <v>89839856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59090079</v>
      </c>
      <c r="D40" s="341">
        <v>48038223</v>
      </c>
      <c r="E40" s="341">
        <v>38591619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65.483766830029978</v>
      </c>
      <c r="D42" s="343">
        <f>IF((D48/365)=0,0,+D45/(D48/365))</f>
        <v>16.523342694215362</v>
      </c>
      <c r="E42" s="343">
        <f>IF((E48/365)=0,0,+E45/(E48/365))</f>
        <v>25.611439205258847</v>
      </c>
    </row>
    <row r="43" spans="1:14" ht="24" customHeight="1" x14ac:dyDescent="0.2">
      <c r="A43" s="339">
        <v>5</v>
      </c>
      <c r="B43" s="344" t="s">
        <v>16</v>
      </c>
      <c r="C43" s="345">
        <v>67647637</v>
      </c>
      <c r="D43" s="345">
        <v>15228166</v>
      </c>
      <c r="E43" s="345">
        <v>24231507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67647637</v>
      </c>
      <c r="D45" s="341">
        <f>+D43+D44</f>
        <v>15228166</v>
      </c>
      <c r="E45" s="341">
        <f>+E43+E44</f>
        <v>24231507</v>
      </c>
    </row>
    <row r="46" spans="1:14" ht="24" customHeight="1" x14ac:dyDescent="0.2">
      <c r="A46" s="339">
        <v>8</v>
      </c>
      <c r="B46" s="340" t="s">
        <v>334</v>
      </c>
      <c r="C46" s="341">
        <f>+C14</f>
        <v>397151788</v>
      </c>
      <c r="D46" s="341">
        <f>+D14</f>
        <v>356160697</v>
      </c>
      <c r="E46" s="341">
        <f>+E14</f>
        <v>366063765</v>
      </c>
    </row>
    <row r="47" spans="1:14" ht="24" customHeight="1" x14ac:dyDescent="0.2">
      <c r="A47" s="339">
        <v>9</v>
      </c>
      <c r="B47" s="340" t="s">
        <v>356</v>
      </c>
      <c r="C47" s="341">
        <v>20090591</v>
      </c>
      <c r="D47" s="341">
        <v>19771100</v>
      </c>
      <c r="E47" s="341">
        <v>20729792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377061197</v>
      </c>
      <c r="D48" s="341">
        <f>+D46-D47</f>
        <v>336389597</v>
      </c>
      <c r="E48" s="341">
        <f>+E46-E47</f>
        <v>345333973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22.140356722457213</v>
      </c>
      <c r="D50" s="350">
        <f>IF((D55/365)=0,0,+D54/(D55/365))</f>
        <v>32.956800997514215</v>
      </c>
      <c r="E50" s="350">
        <f>IF((E55/365)=0,0,+E54/(E55/365))</f>
        <v>39.909427967023888</v>
      </c>
    </row>
    <row r="51" spans="1:5" ht="24" customHeight="1" x14ac:dyDescent="0.2">
      <c r="A51" s="339">
        <v>12</v>
      </c>
      <c r="B51" s="344" t="s">
        <v>359</v>
      </c>
      <c r="C51" s="351">
        <v>42669081</v>
      </c>
      <c r="D51" s="351">
        <v>41580130</v>
      </c>
      <c r="E51" s="351">
        <v>43814445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19638404</v>
      </c>
      <c r="D53" s="341">
        <v>10957225</v>
      </c>
      <c r="E53" s="341">
        <v>4627351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23030677</v>
      </c>
      <c r="D54" s="352">
        <f>+D51+D52-D53</f>
        <v>30622905</v>
      </c>
      <c r="E54" s="352">
        <f>+E51+E52-E53</f>
        <v>39187094</v>
      </c>
    </row>
    <row r="55" spans="1:5" ht="24" customHeight="1" x14ac:dyDescent="0.2">
      <c r="A55" s="339">
        <v>16</v>
      </c>
      <c r="B55" s="340" t="s">
        <v>75</v>
      </c>
      <c r="C55" s="341">
        <f>+C11</f>
        <v>379677582</v>
      </c>
      <c r="D55" s="341">
        <f>+D11</f>
        <v>339151859</v>
      </c>
      <c r="E55" s="341">
        <f>+E11</f>
        <v>358393744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57.199942626289392</v>
      </c>
      <c r="D57" s="355">
        <f>IF((D61/365)=0,0,+D58/(D61/365))</f>
        <v>52.123940666928533</v>
      </c>
      <c r="E57" s="355">
        <f>IF((E61/365)=0,0,+E58/(E61/365))</f>
        <v>40.789328697179755</v>
      </c>
    </row>
    <row r="58" spans="1:5" ht="24" customHeight="1" x14ac:dyDescent="0.2">
      <c r="A58" s="339">
        <v>18</v>
      </c>
      <c r="B58" s="340" t="s">
        <v>54</v>
      </c>
      <c r="C58" s="353">
        <f>+C40</f>
        <v>59090079</v>
      </c>
      <c r="D58" s="353">
        <f>+D40</f>
        <v>48038223</v>
      </c>
      <c r="E58" s="353">
        <f>+E40</f>
        <v>38591619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397151788</v>
      </c>
      <c r="D59" s="353">
        <f t="shared" si="0"/>
        <v>356160697</v>
      </c>
      <c r="E59" s="353">
        <f t="shared" si="0"/>
        <v>366063765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20090591</v>
      </c>
      <c r="D60" s="356">
        <f t="shared" si="0"/>
        <v>19771100</v>
      </c>
      <c r="E60" s="356">
        <f t="shared" si="0"/>
        <v>20729792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377061197</v>
      </c>
      <c r="D61" s="353">
        <f>+D59-D60</f>
        <v>336389597</v>
      </c>
      <c r="E61" s="353">
        <f>+E59-E60</f>
        <v>345333973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44.195202399938104</v>
      </c>
      <c r="D65" s="357">
        <f>IF(D67=0,0,(D66/D67)*100)</f>
        <v>47.426306507386336</v>
      </c>
      <c r="E65" s="357">
        <f>IF(E67=0,0,(E66/E67)*100)</f>
        <v>41.831031281161522</v>
      </c>
    </row>
    <row r="66" spans="1:5" ht="24" customHeight="1" x14ac:dyDescent="0.2">
      <c r="A66" s="339">
        <v>2</v>
      </c>
      <c r="B66" s="340" t="s">
        <v>67</v>
      </c>
      <c r="C66" s="353">
        <f>+C32</f>
        <v>238475802</v>
      </c>
      <c r="D66" s="353">
        <f>+D32</f>
        <v>232883084</v>
      </c>
      <c r="E66" s="353">
        <f>+E32</f>
        <v>209588766</v>
      </c>
    </row>
    <row r="67" spans="1:5" ht="24" customHeight="1" x14ac:dyDescent="0.2">
      <c r="A67" s="339">
        <v>3</v>
      </c>
      <c r="B67" s="340" t="s">
        <v>43</v>
      </c>
      <c r="C67" s="353">
        <v>539596583</v>
      </c>
      <c r="D67" s="353">
        <v>491042000</v>
      </c>
      <c r="E67" s="353">
        <v>501036574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76.914514812754291</v>
      </c>
      <c r="D69" s="357">
        <f>IF(D75=0,0,(D72/D75)*100)</f>
        <v>14.112305629247238</v>
      </c>
      <c r="E69" s="357">
        <f>IF(E75=0,0,(E72/E75)*100)</f>
        <v>39.751421665540207</v>
      </c>
    </row>
    <row r="70" spans="1:5" ht="24" customHeight="1" x14ac:dyDescent="0.2">
      <c r="A70" s="339">
        <v>5</v>
      </c>
      <c r="B70" s="340" t="s">
        <v>366</v>
      </c>
      <c r="C70" s="353">
        <f>+C28</f>
        <v>25439346</v>
      </c>
      <c r="D70" s="353">
        <f>+D28</f>
        <v>-4163039</v>
      </c>
      <c r="E70" s="353">
        <f>+E28</f>
        <v>19236566</v>
      </c>
    </row>
    <row r="71" spans="1:5" ht="24" customHeight="1" x14ac:dyDescent="0.2">
      <c r="A71" s="339">
        <v>6</v>
      </c>
      <c r="B71" s="340" t="s">
        <v>356</v>
      </c>
      <c r="C71" s="356">
        <f>+C47</f>
        <v>20090591</v>
      </c>
      <c r="D71" s="356">
        <f>+D47</f>
        <v>19771100</v>
      </c>
      <c r="E71" s="356">
        <f>+E47</f>
        <v>20729792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45529937</v>
      </c>
      <c r="D72" s="353">
        <f>+D70+D71</f>
        <v>15608061</v>
      </c>
      <c r="E72" s="353">
        <f>+E70+E71</f>
        <v>39966358</v>
      </c>
    </row>
    <row r="73" spans="1:5" ht="24" customHeight="1" x14ac:dyDescent="0.2">
      <c r="A73" s="339">
        <v>8</v>
      </c>
      <c r="B73" s="340" t="s">
        <v>54</v>
      </c>
      <c r="C73" s="341">
        <f>+C40</f>
        <v>59090079</v>
      </c>
      <c r="D73" s="341">
        <f>+D40</f>
        <v>48038223</v>
      </c>
      <c r="E73" s="341">
        <f>+E40</f>
        <v>38591619</v>
      </c>
    </row>
    <row r="74" spans="1:5" ht="24" customHeight="1" x14ac:dyDescent="0.2">
      <c r="A74" s="339">
        <v>9</v>
      </c>
      <c r="B74" s="340" t="s">
        <v>58</v>
      </c>
      <c r="C74" s="353">
        <v>105428</v>
      </c>
      <c r="D74" s="353">
        <v>62560721</v>
      </c>
      <c r="E74" s="353">
        <v>61949082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59195507</v>
      </c>
      <c r="D75" s="341">
        <f>+D73+D74</f>
        <v>110598944</v>
      </c>
      <c r="E75" s="341">
        <f>+E73+E74</f>
        <v>100540701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4.4189561768962299E-2</v>
      </c>
      <c r="D77" s="359">
        <f>IF(D80=0,0,(D78/D80)*100)</f>
        <v>21.175167643132674</v>
      </c>
      <c r="E77" s="359">
        <f>IF(E80=0,0,(E78/E80)*100)</f>
        <v>22.814161066784326</v>
      </c>
    </row>
    <row r="78" spans="1:5" ht="24" customHeight="1" x14ac:dyDescent="0.2">
      <c r="A78" s="339">
        <v>12</v>
      </c>
      <c r="B78" s="340" t="s">
        <v>58</v>
      </c>
      <c r="C78" s="341">
        <f>+C74</f>
        <v>105428</v>
      </c>
      <c r="D78" s="341">
        <f>+D74</f>
        <v>62560721</v>
      </c>
      <c r="E78" s="341">
        <f>+E74</f>
        <v>61949082</v>
      </c>
    </row>
    <row r="79" spans="1:5" ht="24" customHeight="1" x14ac:dyDescent="0.2">
      <c r="A79" s="339">
        <v>13</v>
      </c>
      <c r="B79" s="340" t="s">
        <v>67</v>
      </c>
      <c r="C79" s="341">
        <f>+C32</f>
        <v>238475802</v>
      </c>
      <c r="D79" s="341">
        <f>+D32</f>
        <v>232883084</v>
      </c>
      <c r="E79" s="341">
        <f>+E32</f>
        <v>209588766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238581230</v>
      </c>
      <c r="D80" s="341">
        <f>+D78+D79</f>
        <v>295443805</v>
      </c>
      <c r="E80" s="341">
        <f>+E78+E79</f>
        <v>271537848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38084</v>
      </c>
      <c r="D11" s="376">
        <v>9896</v>
      </c>
      <c r="E11" s="376">
        <v>9870</v>
      </c>
      <c r="F11" s="377">
        <v>155</v>
      </c>
      <c r="G11" s="377">
        <v>168</v>
      </c>
      <c r="H11" s="378">
        <f>IF(F11=0,0,$C11/(F11*365))</f>
        <v>0.67315952275740165</v>
      </c>
      <c r="I11" s="378">
        <f>IF(G11=0,0,$C11/(G11*365))</f>
        <v>0.62106979778212656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6544</v>
      </c>
      <c r="D13" s="376">
        <v>1603</v>
      </c>
      <c r="E13" s="376">
        <v>0</v>
      </c>
      <c r="F13" s="377">
        <v>24</v>
      </c>
      <c r="G13" s="377">
        <v>24</v>
      </c>
      <c r="H13" s="378">
        <f>IF(F13=0,0,$C13/(F13*365))</f>
        <v>0.74703196347031964</v>
      </c>
      <c r="I13" s="378">
        <f>IF(G13=0,0,$C13/(G13*365))</f>
        <v>0.74703196347031964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10450</v>
      </c>
      <c r="D16" s="376">
        <v>878</v>
      </c>
      <c r="E16" s="376">
        <v>877</v>
      </c>
      <c r="F16" s="377">
        <v>32</v>
      </c>
      <c r="G16" s="377">
        <v>32</v>
      </c>
      <c r="H16" s="378">
        <f t="shared" si="0"/>
        <v>0.8946917808219178</v>
      </c>
      <c r="I16" s="378">
        <f t="shared" si="0"/>
        <v>0.8946917808219178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10450</v>
      </c>
      <c r="D17" s="381">
        <f>SUM(D15:D16)</f>
        <v>878</v>
      </c>
      <c r="E17" s="381">
        <f>SUM(E15:E16)</f>
        <v>877</v>
      </c>
      <c r="F17" s="381">
        <f>SUM(F15:F16)</f>
        <v>32</v>
      </c>
      <c r="G17" s="381">
        <f>SUM(G15:G16)</f>
        <v>32</v>
      </c>
      <c r="H17" s="382">
        <f t="shared" si="0"/>
        <v>0.8946917808219178</v>
      </c>
      <c r="I17" s="382">
        <f t="shared" si="0"/>
        <v>0.8946917808219178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4360</v>
      </c>
      <c r="D21" s="376">
        <v>1586</v>
      </c>
      <c r="E21" s="376">
        <v>1586</v>
      </c>
      <c r="F21" s="377">
        <v>25</v>
      </c>
      <c r="G21" s="377">
        <v>27</v>
      </c>
      <c r="H21" s="378">
        <f>IF(F21=0,0,$C21/(F21*365))</f>
        <v>0.47780821917808219</v>
      </c>
      <c r="I21" s="378">
        <f>IF(G21=0,0,$C21/(G21*365))</f>
        <v>0.44241501775748349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3161</v>
      </c>
      <c r="D23" s="376">
        <v>1299</v>
      </c>
      <c r="E23" s="376">
        <v>1292</v>
      </c>
      <c r="F23" s="377">
        <v>20</v>
      </c>
      <c r="G23" s="377">
        <v>20</v>
      </c>
      <c r="H23" s="378">
        <f>IF(F23=0,0,$C23/(F23*365))</f>
        <v>0.433013698630137</v>
      </c>
      <c r="I23" s="378">
        <f>IF(G23=0,0,$C23/(G23*365))</f>
        <v>0.433013698630137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2479</v>
      </c>
      <c r="D25" s="376">
        <v>243</v>
      </c>
      <c r="E25" s="376">
        <v>0</v>
      </c>
      <c r="F25" s="377">
        <v>12</v>
      </c>
      <c r="G25" s="377">
        <v>12</v>
      </c>
      <c r="H25" s="378">
        <f>IF(F25=0,0,$C25/(F25*365))</f>
        <v>0.56598173515981731</v>
      </c>
      <c r="I25" s="378">
        <f>IF(G25=0,0,$C25/(G25*365))</f>
        <v>0.56598173515981731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27</v>
      </c>
      <c r="D27" s="376">
        <v>38</v>
      </c>
      <c r="E27" s="376">
        <v>239</v>
      </c>
      <c r="F27" s="377">
        <v>14</v>
      </c>
      <c r="G27" s="377">
        <v>15</v>
      </c>
      <c r="H27" s="378">
        <f>IF(F27=0,0,$C27/(F27*365))</f>
        <v>5.2837573385518593E-3</v>
      </c>
      <c r="I27" s="378">
        <f>IF(G27=0,0,$C27/(G27*365))</f>
        <v>4.9315068493150684E-3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61944</v>
      </c>
      <c r="D31" s="384">
        <f>SUM(D10:D29)-D13-D17-D23</f>
        <v>12641</v>
      </c>
      <c r="E31" s="384">
        <f>SUM(E10:E29)-E17-E23</f>
        <v>12572</v>
      </c>
      <c r="F31" s="384">
        <f>SUM(F10:F29)-F17-F23</f>
        <v>262</v>
      </c>
      <c r="G31" s="384">
        <f>SUM(G10:G29)-G17-G23</f>
        <v>278</v>
      </c>
      <c r="H31" s="385">
        <f>IF(F31=0,0,$C31/(F31*365))</f>
        <v>0.64774652305761793</v>
      </c>
      <c r="I31" s="385">
        <f>IF(G31=0,0,$C31/(G31*365))</f>
        <v>0.6104661476298413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65105</v>
      </c>
      <c r="D33" s="384">
        <f>SUM(D10:D29)-D13-D17</f>
        <v>13940</v>
      </c>
      <c r="E33" s="384">
        <f>SUM(E10:E29)-E17</f>
        <v>13864</v>
      </c>
      <c r="F33" s="384">
        <f>SUM(F10:F29)-F17</f>
        <v>282</v>
      </c>
      <c r="G33" s="384">
        <f>SUM(G10:G29)-G17</f>
        <v>298</v>
      </c>
      <c r="H33" s="385">
        <f>IF(F33=0,0,$C33/(F33*365))</f>
        <v>0.63251724472942772</v>
      </c>
      <c r="I33" s="385">
        <f>IF(G33=0,0,$C33/(G33*365))</f>
        <v>0.59855658729429073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65105</v>
      </c>
      <c r="D36" s="384">
        <f t="shared" si="1"/>
        <v>13940</v>
      </c>
      <c r="E36" s="384">
        <f t="shared" si="1"/>
        <v>13864</v>
      </c>
      <c r="F36" s="384">
        <f t="shared" si="1"/>
        <v>282</v>
      </c>
      <c r="G36" s="384">
        <f t="shared" si="1"/>
        <v>298</v>
      </c>
      <c r="H36" s="387">
        <f t="shared" si="1"/>
        <v>0.63251724472942772</v>
      </c>
      <c r="I36" s="387">
        <f t="shared" si="1"/>
        <v>0.59855658729429073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69007</v>
      </c>
      <c r="D37" s="384">
        <v>15230</v>
      </c>
      <c r="E37" s="384">
        <v>15159</v>
      </c>
      <c r="F37" s="386">
        <v>302</v>
      </c>
      <c r="G37" s="386">
        <v>344</v>
      </c>
      <c r="H37" s="385">
        <f>IF(F37=0,0,$C37/(F37*365))</f>
        <v>0.62602739726027401</v>
      </c>
      <c r="I37" s="385">
        <f>IF(G37=0,0,$C37/(G37*365))</f>
        <v>0.54959381968779863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-3902</v>
      </c>
      <c r="D38" s="384">
        <f t="shared" si="2"/>
        <v>-1290</v>
      </c>
      <c r="E38" s="384">
        <f t="shared" si="2"/>
        <v>-1295</v>
      </c>
      <c r="F38" s="384">
        <f t="shared" si="2"/>
        <v>-20</v>
      </c>
      <c r="G38" s="384">
        <f t="shared" si="2"/>
        <v>-46</v>
      </c>
      <c r="H38" s="387">
        <f t="shared" si="2"/>
        <v>6.4898474691537089E-3</v>
      </c>
      <c r="I38" s="387">
        <f t="shared" si="2"/>
        <v>4.8962767606492097E-2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-5.6544988189603955E-2</v>
      </c>
      <c r="D40" s="389">
        <f t="shared" si="3"/>
        <v>-8.4701247537754432E-2</v>
      </c>
      <c r="E40" s="389">
        <f t="shared" si="3"/>
        <v>-8.5427798667458282E-2</v>
      </c>
      <c r="F40" s="389">
        <f t="shared" si="3"/>
        <v>-6.6225165562913912E-2</v>
      </c>
      <c r="G40" s="389">
        <f t="shared" si="3"/>
        <v>-0.13372093023255813</v>
      </c>
      <c r="H40" s="389">
        <f t="shared" si="3"/>
        <v>1.0366714775672225E-2</v>
      </c>
      <c r="I40" s="389">
        <f t="shared" si="3"/>
        <v>8.9089006922068018E-2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446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0" orientation="landscape" horizontalDpi="1200" verticalDpi="1200" r:id="rId1"/>
  <headerFooter>
    <oddHeader>&amp;LOFFICE OF HEALTH CARE ACCESS&amp;CTWELVE MONTHS ACTUAL FILING&amp;RTHE HOSPITAL OF CENTRAL CONNECTICUT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6862</v>
      </c>
      <c r="D12" s="409">
        <v>6142</v>
      </c>
      <c r="E12" s="409">
        <f>+D12-C12</f>
        <v>-720</v>
      </c>
      <c r="F12" s="410">
        <f>IF(C12=0,0,+E12/C12)</f>
        <v>-0.10492567764500146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6359</v>
      </c>
      <c r="D13" s="409">
        <v>4788</v>
      </c>
      <c r="E13" s="409">
        <f>+D13-C13</f>
        <v>-1571</v>
      </c>
      <c r="F13" s="410">
        <f>IF(C13=0,0,+E13/C13)</f>
        <v>-0.24705142317974524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13993</v>
      </c>
      <c r="D14" s="409">
        <v>16634</v>
      </c>
      <c r="E14" s="409">
        <f>+D14-C14</f>
        <v>2641</v>
      </c>
      <c r="F14" s="410">
        <f>IF(C14=0,0,+E14/C14)</f>
        <v>0.18873722575573501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27214</v>
      </c>
      <c r="D16" s="401">
        <f>SUM(D12:D15)</f>
        <v>27564</v>
      </c>
      <c r="E16" s="401">
        <f>+D16-C16</f>
        <v>350</v>
      </c>
      <c r="F16" s="402">
        <f>IF(C16=0,0,+E16/C16)</f>
        <v>1.2861027412361285E-2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142</v>
      </c>
      <c r="D19" s="409">
        <v>96</v>
      </c>
      <c r="E19" s="409">
        <f>+D19-C19</f>
        <v>-46</v>
      </c>
      <c r="F19" s="410">
        <f>IF(C19=0,0,+E19/C19)</f>
        <v>-0.323943661971831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3239</v>
      </c>
      <c r="D20" s="409">
        <v>3223</v>
      </c>
      <c r="E20" s="409">
        <f>+D20-C20</f>
        <v>-16</v>
      </c>
      <c r="F20" s="410">
        <f>IF(C20=0,0,+E20/C20)</f>
        <v>-4.9397962334053721E-3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147</v>
      </c>
      <c r="D21" s="409">
        <v>148</v>
      </c>
      <c r="E21" s="409">
        <f>+D21-C21</f>
        <v>1</v>
      </c>
      <c r="F21" s="410">
        <f>IF(C21=0,0,+E21/C21)</f>
        <v>6.8027210884353739E-3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4127</v>
      </c>
      <c r="D22" s="409">
        <v>4517</v>
      </c>
      <c r="E22" s="409">
        <f>+D22-C22</f>
        <v>390</v>
      </c>
      <c r="F22" s="410">
        <f>IF(C22=0,0,+E22/C22)</f>
        <v>9.4499636539859461E-2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7655</v>
      </c>
      <c r="D23" s="401">
        <f>SUM(D19:D22)</f>
        <v>7984</v>
      </c>
      <c r="E23" s="401">
        <f>+D23-C23</f>
        <v>329</v>
      </c>
      <c r="F23" s="402">
        <f>IF(C23=0,0,+E23/C23)</f>
        <v>4.2978445460483343E-2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20</v>
      </c>
      <c r="D33" s="409">
        <v>3</v>
      </c>
      <c r="E33" s="409">
        <f>+D33-C33</f>
        <v>-17</v>
      </c>
      <c r="F33" s="410">
        <f>IF(C33=0,0,+E33/C33)</f>
        <v>-0.85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363</v>
      </c>
      <c r="D34" s="409">
        <v>354</v>
      </c>
      <c r="E34" s="409">
        <f>+D34-C34</f>
        <v>-9</v>
      </c>
      <c r="F34" s="410">
        <f>IF(C34=0,0,+E34/C34)</f>
        <v>-2.4793388429752067E-2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383</v>
      </c>
      <c r="D37" s="401">
        <f>SUM(D33:D36)</f>
        <v>357</v>
      </c>
      <c r="E37" s="401">
        <f>+D37-C37</f>
        <v>-26</v>
      </c>
      <c r="F37" s="402">
        <f>IF(C37=0,0,+E37/C37)</f>
        <v>-6.7885117493472591E-2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108</v>
      </c>
      <c r="D43" s="409">
        <v>49</v>
      </c>
      <c r="E43" s="409">
        <f>+D43-C43</f>
        <v>-59</v>
      </c>
      <c r="F43" s="410">
        <f>IF(C43=0,0,+E43/C43)</f>
        <v>-0.54629629629629628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6884</v>
      </c>
      <c r="D44" s="409">
        <v>9225</v>
      </c>
      <c r="E44" s="409">
        <f>+D44-C44</f>
        <v>2341</v>
      </c>
      <c r="F44" s="410">
        <f>IF(C44=0,0,+E44/C44)</f>
        <v>0.34006391632771643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6992</v>
      </c>
      <c r="D45" s="401">
        <f>SUM(D43:D44)</f>
        <v>9274</v>
      </c>
      <c r="E45" s="401">
        <f>+D45-C45</f>
        <v>2282</v>
      </c>
      <c r="F45" s="402">
        <f>IF(C45=0,0,+E45/C45)</f>
        <v>0.3263729977116705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697</v>
      </c>
      <c r="D48" s="409">
        <v>430</v>
      </c>
      <c r="E48" s="409">
        <f>+D48-C48</f>
        <v>-267</v>
      </c>
      <c r="F48" s="410">
        <f>IF(C48=0,0,+E48/C48)</f>
        <v>-0.38307030129124819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477</v>
      </c>
      <c r="D49" s="409">
        <v>443</v>
      </c>
      <c r="E49" s="409">
        <f>+D49-C49</f>
        <v>-34</v>
      </c>
      <c r="F49" s="410">
        <f>IF(C49=0,0,+E49/C49)</f>
        <v>-7.1278825995807121E-2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1174</v>
      </c>
      <c r="D50" s="401">
        <f>SUM(D48:D49)</f>
        <v>873</v>
      </c>
      <c r="E50" s="401">
        <f>+D50-C50</f>
        <v>-301</v>
      </c>
      <c r="F50" s="402">
        <f>IF(C50=0,0,+E50/C50)</f>
        <v>-0.25638841567291309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85</v>
      </c>
      <c r="D53" s="409">
        <v>76</v>
      </c>
      <c r="E53" s="409">
        <f>+D53-C53</f>
        <v>-9</v>
      </c>
      <c r="F53" s="410">
        <f>IF(C53=0,0,+E53/C53)</f>
        <v>-0.10588235294117647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85</v>
      </c>
      <c r="D55" s="401">
        <f>SUM(D53:D54)</f>
        <v>76</v>
      </c>
      <c r="E55" s="401">
        <f>+D55-C55</f>
        <v>-9</v>
      </c>
      <c r="F55" s="402">
        <f>IF(C55=0,0,+E55/C55)</f>
        <v>-0.10588235294117647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109</v>
      </c>
      <c r="E59" s="409">
        <f>+D59-C59</f>
        <v>109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109</v>
      </c>
      <c r="E60" s="401">
        <f>SUM(E58:E59)</f>
        <v>109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3123</v>
      </c>
      <c r="D63" s="409">
        <v>3165</v>
      </c>
      <c r="E63" s="409">
        <f>+D63-C63</f>
        <v>42</v>
      </c>
      <c r="F63" s="410">
        <f>IF(C63=0,0,+E63/C63)</f>
        <v>1.3448607108549471E-2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6358</v>
      </c>
      <c r="D64" s="409">
        <v>6154</v>
      </c>
      <c r="E64" s="409">
        <f>+D64-C64</f>
        <v>-204</v>
      </c>
      <c r="F64" s="410">
        <f>IF(C64=0,0,+E64/C64)</f>
        <v>-3.2085561497326207E-2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9481</v>
      </c>
      <c r="D65" s="401">
        <f>SUM(D63:D64)</f>
        <v>9319</v>
      </c>
      <c r="E65" s="401">
        <f>+D65-C65</f>
        <v>-162</v>
      </c>
      <c r="F65" s="402">
        <f>IF(C65=0,0,+E65/C65)</f>
        <v>-1.708680518932602E-2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972</v>
      </c>
      <c r="D68" s="409">
        <v>882</v>
      </c>
      <c r="E68" s="409">
        <f>+D68-C68</f>
        <v>-90</v>
      </c>
      <c r="F68" s="410">
        <f>IF(C68=0,0,+E68/C68)</f>
        <v>-9.2592592592592587E-2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5434</v>
      </c>
      <c r="D69" s="409">
        <v>5503</v>
      </c>
      <c r="E69" s="409">
        <f>+D69-C69</f>
        <v>69</v>
      </c>
      <c r="F69" s="412">
        <f>IF(C69=0,0,+E69/C69)</f>
        <v>1.2697828487302172E-2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6406</v>
      </c>
      <c r="D70" s="401">
        <f>SUM(D68:D69)</f>
        <v>6385</v>
      </c>
      <c r="E70" s="401">
        <f>+D70-C70</f>
        <v>-21</v>
      </c>
      <c r="F70" s="402">
        <f>IF(C70=0,0,+E70/C70)</f>
        <v>-3.2781767093349986E-3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12702</v>
      </c>
      <c r="D73" s="376">
        <v>11783</v>
      </c>
      <c r="E73" s="409">
        <f>+D73-C73</f>
        <v>-919</v>
      </c>
      <c r="F73" s="410">
        <f>IF(C73=0,0,+E73/C73)</f>
        <v>-7.2350810895921908E-2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91106</v>
      </c>
      <c r="D74" s="376">
        <v>91353</v>
      </c>
      <c r="E74" s="409">
        <f>+D74-C74</f>
        <v>247</v>
      </c>
      <c r="F74" s="410">
        <f>IF(C74=0,0,+E74/C74)</f>
        <v>2.7111276974074155E-3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103808</v>
      </c>
      <c r="D75" s="401">
        <f>SUM(D73:D74)</f>
        <v>103136</v>
      </c>
      <c r="E75" s="401">
        <f>SUM(E73:E74)</f>
        <v>-672</v>
      </c>
      <c r="F75" s="402">
        <f>IF(C75=0,0,+E75/C75)</f>
        <v>-6.473489519112207E-3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23113</v>
      </c>
      <c r="D79" s="376">
        <v>19314</v>
      </c>
      <c r="E79" s="409">
        <f t="shared" ref="E79:E92" si="0">+D79-C79</f>
        <v>-3799</v>
      </c>
      <c r="F79" s="410">
        <f t="shared" ref="F79:F92" si="1">IF(C79=0,0,+E79/C79)</f>
        <v>-0.16436637390213299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57598</v>
      </c>
      <c r="D81" s="376">
        <v>58466</v>
      </c>
      <c r="E81" s="409">
        <f t="shared" si="0"/>
        <v>868</v>
      </c>
      <c r="F81" s="410">
        <f t="shared" si="1"/>
        <v>1.5069967707212056E-2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3600</v>
      </c>
      <c r="D83" s="376">
        <v>1236</v>
      </c>
      <c r="E83" s="409">
        <f t="shared" si="0"/>
        <v>-2364</v>
      </c>
      <c r="F83" s="410">
        <f t="shared" si="1"/>
        <v>-0.65666666666666662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20733</v>
      </c>
      <c r="D91" s="376">
        <v>20138</v>
      </c>
      <c r="E91" s="409">
        <f t="shared" si="0"/>
        <v>-595</v>
      </c>
      <c r="F91" s="410">
        <f t="shared" si="1"/>
        <v>-2.8698210582163701E-2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105044</v>
      </c>
      <c r="D92" s="381">
        <f>SUM(D79:D91)</f>
        <v>99154</v>
      </c>
      <c r="E92" s="401">
        <f t="shared" si="0"/>
        <v>-5890</v>
      </c>
      <c r="F92" s="402">
        <f t="shared" si="1"/>
        <v>-5.6071741365523016E-2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29334</v>
      </c>
      <c r="D95" s="414">
        <v>31533</v>
      </c>
      <c r="E95" s="415">
        <f t="shared" ref="E95:E100" si="2">+D95-C95</f>
        <v>2199</v>
      </c>
      <c r="F95" s="412">
        <f t="shared" ref="F95:F100" si="3">IF(C95=0,0,+E95/C95)</f>
        <v>7.496420535896911E-2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5970</v>
      </c>
      <c r="D96" s="414">
        <v>6554</v>
      </c>
      <c r="E96" s="409">
        <f t="shared" si="2"/>
        <v>584</v>
      </c>
      <c r="F96" s="410">
        <f t="shared" si="3"/>
        <v>9.7822445561139032E-2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3574</v>
      </c>
      <c r="D97" s="414">
        <v>3113</v>
      </c>
      <c r="E97" s="409">
        <f t="shared" si="2"/>
        <v>-461</v>
      </c>
      <c r="F97" s="410">
        <f t="shared" si="3"/>
        <v>-0.12898712926692782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377</v>
      </c>
      <c r="D98" s="414">
        <v>394</v>
      </c>
      <c r="E98" s="409">
        <f t="shared" si="2"/>
        <v>17</v>
      </c>
      <c r="F98" s="410">
        <f t="shared" si="3"/>
        <v>4.5092838196286469E-2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27131</v>
      </c>
      <c r="D99" s="414">
        <v>29151</v>
      </c>
      <c r="E99" s="409">
        <f t="shared" si="2"/>
        <v>2020</v>
      </c>
      <c r="F99" s="410">
        <f t="shared" si="3"/>
        <v>7.4453577088938849E-2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66386</v>
      </c>
      <c r="D100" s="381">
        <f>SUM(D95:D99)</f>
        <v>70745</v>
      </c>
      <c r="E100" s="401">
        <f t="shared" si="2"/>
        <v>4359</v>
      </c>
      <c r="F100" s="402">
        <f t="shared" si="3"/>
        <v>6.5661434639833705E-2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489.7</v>
      </c>
      <c r="D104" s="416">
        <v>494.2</v>
      </c>
      <c r="E104" s="417">
        <f>+D104-C104</f>
        <v>4.5</v>
      </c>
      <c r="F104" s="410">
        <f>IF(C104=0,0,+E104/C104)</f>
        <v>9.1892995711660205E-3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106.5</v>
      </c>
      <c r="D105" s="416">
        <v>103.2</v>
      </c>
      <c r="E105" s="417">
        <f>+D105-C105</f>
        <v>-3.2999999999999972</v>
      </c>
      <c r="F105" s="410">
        <f>IF(C105=0,0,+E105/C105)</f>
        <v>-3.0985915492957719E-2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1242.0999999999999</v>
      </c>
      <c r="D106" s="416">
        <v>1142</v>
      </c>
      <c r="E106" s="417">
        <f>+D106-C106</f>
        <v>-100.09999999999991</v>
      </c>
      <c r="F106" s="410">
        <f>IF(C106=0,0,+E106/C106)</f>
        <v>-8.058932453103608E-2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1838.3</v>
      </c>
      <c r="D107" s="418">
        <f>SUM(D104:D106)</f>
        <v>1739.4</v>
      </c>
      <c r="E107" s="418">
        <f>+D107-C107</f>
        <v>-98.899999999999864</v>
      </c>
      <c r="F107" s="402">
        <f>IF(C107=0,0,+E107/C107)</f>
        <v>-5.3799706250339918E-2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64" orientation="portrait" horizontalDpi="1200" verticalDpi="1200" r:id="rId1"/>
  <headerFooter>
    <oddHeader>&amp;LOFFICE OF HEALTH CARE ACCESS&amp;CTWELVE MONTHS ACTUAL FILING&amp;RTHE HOSPITAL OF CENTRAL CONNECTICUT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0</v>
      </c>
      <c r="D12" s="409">
        <v>0</v>
      </c>
      <c r="E12" s="409">
        <f>+D12-C12</f>
        <v>0</v>
      </c>
      <c r="F12" s="410">
        <f>IF(C12=0,0,+E12/C12)</f>
        <v>0</v>
      </c>
    </row>
    <row r="13" spans="1:6" ht="15.75" customHeight="1" x14ac:dyDescent="0.2">
      <c r="A13" s="374">
        <v>2</v>
      </c>
      <c r="B13" s="408" t="s">
        <v>622</v>
      </c>
      <c r="C13" s="409">
        <v>6358</v>
      </c>
      <c r="D13" s="409">
        <v>6154</v>
      </c>
      <c r="E13" s="409">
        <f>+D13-C13</f>
        <v>-204</v>
      </c>
      <c r="F13" s="410">
        <f>IF(C13=0,0,+E13/C13)</f>
        <v>-3.2085561497326207E-2</v>
      </c>
    </row>
    <row r="14" spans="1:6" ht="15.75" customHeight="1" x14ac:dyDescent="0.25">
      <c r="A14" s="374"/>
      <c r="B14" s="399" t="s">
        <v>623</v>
      </c>
      <c r="C14" s="401">
        <f>SUM(C11:C13)</f>
        <v>6358</v>
      </c>
      <c r="D14" s="401">
        <f>SUM(D11:D13)</f>
        <v>6154</v>
      </c>
      <c r="E14" s="401">
        <f>+D14-C14</f>
        <v>-204</v>
      </c>
      <c r="F14" s="402">
        <f>IF(C14=0,0,+E14/C14)</f>
        <v>-3.2085561497326207E-2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1409</v>
      </c>
      <c r="D17" s="409">
        <v>1535</v>
      </c>
      <c r="E17" s="409">
        <f>+D17-C17</f>
        <v>126</v>
      </c>
      <c r="F17" s="410">
        <f>IF(C17=0,0,+E17/C17)</f>
        <v>8.9425124201561387E-2</v>
      </c>
    </row>
    <row r="18" spans="1:6" ht="15.75" customHeight="1" x14ac:dyDescent="0.2">
      <c r="A18" s="374">
        <v>2</v>
      </c>
      <c r="B18" s="408" t="s">
        <v>622</v>
      </c>
      <c r="C18" s="409">
        <v>4025</v>
      </c>
      <c r="D18" s="409">
        <v>3968</v>
      </c>
      <c r="E18" s="409">
        <f>+D18-C18</f>
        <v>-57</v>
      </c>
      <c r="F18" s="410">
        <f>IF(C18=0,0,+E18/C18)</f>
        <v>-1.4161490683229814E-2</v>
      </c>
    </row>
    <row r="19" spans="1:6" ht="15.75" customHeight="1" x14ac:dyDescent="0.25">
      <c r="A19" s="374"/>
      <c r="B19" s="399" t="s">
        <v>624</v>
      </c>
      <c r="C19" s="401">
        <f>SUM(C16:C18)</f>
        <v>5434</v>
      </c>
      <c r="D19" s="401">
        <f>SUM(D16:D18)</f>
        <v>5503</v>
      </c>
      <c r="E19" s="401">
        <f>+D19-C19</f>
        <v>69</v>
      </c>
      <c r="F19" s="402">
        <f>IF(C19=0,0,+E19/C19)</f>
        <v>1.2697828487302172E-2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15510</v>
      </c>
      <c r="D22" s="409">
        <v>15588</v>
      </c>
      <c r="E22" s="409">
        <f>+D22-C22</f>
        <v>78</v>
      </c>
      <c r="F22" s="410">
        <f>IF(C22=0,0,+E22/C22)</f>
        <v>5.0290135396518377E-3</v>
      </c>
    </row>
    <row r="23" spans="1:6" ht="15.75" customHeight="1" x14ac:dyDescent="0.2">
      <c r="A23" s="374">
        <v>2</v>
      </c>
      <c r="B23" s="408" t="s">
        <v>622</v>
      </c>
      <c r="C23" s="409">
        <v>75596</v>
      </c>
      <c r="D23" s="409">
        <v>75765</v>
      </c>
      <c r="E23" s="409">
        <f>+D23-C23</f>
        <v>169</v>
      </c>
      <c r="F23" s="410">
        <f>IF(C23=0,0,+E23/C23)</f>
        <v>2.2355680194719296E-3</v>
      </c>
    </row>
    <row r="24" spans="1:6" ht="15.75" customHeight="1" x14ac:dyDescent="0.25">
      <c r="A24" s="374"/>
      <c r="B24" s="399" t="s">
        <v>626</v>
      </c>
      <c r="C24" s="401">
        <f>SUM(C21:C23)</f>
        <v>91106</v>
      </c>
      <c r="D24" s="401">
        <f>SUM(D21:D23)</f>
        <v>91353</v>
      </c>
      <c r="E24" s="401">
        <f>+D24-C24</f>
        <v>247</v>
      </c>
      <c r="F24" s="402">
        <f>IF(C24=0,0,+E24/C24)</f>
        <v>2.7111276974074155E-3</v>
      </c>
    </row>
    <row r="25" spans="1:6" ht="15.75" customHeight="1" x14ac:dyDescent="0.25">
      <c r="A25" s="136"/>
      <c r="B25" s="399"/>
      <c r="C25" s="401"/>
      <c r="D25" s="401"/>
      <c r="E25" s="401"/>
      <c r="F25" s="402"/>
    </row>
    <row r="26" spans="1:6" ht="15.75" customHeight="1" x14ac:dyDescent="0.25">
      <c r="B26" s="813" t="s">
        <v>627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628</v>
      </c>
      <c r="C28" s="814"/>
      <c r="D28" s="814"/>
      <c r="E28" s="814"/>
      <c r="F28" s="815"/>
    </row>
    <row r="29" spans="1:6" ht="15.75" customHeight="1" x14ac:dyDescent="0.25">
      <c r="A29" s="392"/>
    </row>
    <row r="30" spans="1:6" ht="15.75" customHeight="1" x14ac:dyDescent="0.25">
      <c r="B30" s="813" t="s">
        <v>629</v>
      </c>
      <c r="C30" s="814"/>
      <c r="D30" s="814"/>
      <c r="E30" s="814"/>
      <c r="F30" s="815"/>
    </row>
    <row r="31" spans="1:6" ht="15.75" customHeight="1" x14ac:dyDescent="0.25">
      <c r="A31" s="392"/>
    </row>
  </sheetData>
  <mergeCells count="7">
    <mergeCell ref="B30:F30"/>
    <mergeCell ref="A1:F1"/>
    <mergeCell ref="A2:F2"/>
    <mergeCell ref="A3:F3"/>
    <mergeCell ref="A4:F4"/>
    <mergeCell ref="B26:F26"/>
    <mergeCell ref="B28:F28"/>
  </mergeCells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FILING&amp;RTHE HOSPITAL OF CENTRAL CONNECTICUT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214831594</v>
      </c>
      <c r="D15" s="448">
        <v>210370343</v>
      </c>
      <c r="E15" s="448">
        <f t="shared" ref="E15:E24" si="0">D15-C15</f>
        <v>-4461251</v>
      </c>
      <c r="F15" s="449">
        <f t="shared" ref="F15:F24" si="1">IF(C15=0,0,E15/C15)</f>
        <v>-2.076627053281558E-2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89265099</v>
      </c>
      <c r="D16" s="448">
        <v>85023962</v>
      </c>
      <c r="E16" s="448">
        <f t="shared" si="0"/>
        <v>-4241137</v>
      </c>
      <c r="F16" s="449">
        <f t="shared" si="1"/>
        <v>-4.7511704434450915E-2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0.41551197073927593</v>
      </c>
      <c r="D17" s="453">
        <f>IF(LN_IA1=0,0,LN_IA2/LN_IA1)</f>
        <v>0.40416325223180344</v>
      </c>
      <c r="E17" s="454">
        <f t="shared" si="0"/>
        <v>-1.1348718507472488E-2</v>
      </c>
      <c r="F17" s="449">
        <f t="shared" si="1"/>
        <v>-2.731261505482244E-2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7029</v>
      </c>
      <c r="D18" s="456">
        <v>6458</v>
      </c>
      <c r="E18" s="456">
        <f t="shared" si="0"/>
        <v>-571</v>
      </c>
      <c r="F18" s="449">
        <f t="shared" si="1"/>
        <v>-8.1234884051785458E-2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1.5341</v>
      </c>
      <c r="D19" s="459">
        <v>1.6580999999999999</v>
      </c>
      <c r="E19" s="460">
        <f t="shared" si="0"/>
        <v>0.12399999999999989</v>
      </c>
      <c r="F19" s="449">
        <f t="shared" si="1"/>
        <v>8.0829150642070191E-2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10783.188900000001</v>
      </c>
      <c r="D20" s="463">
        <f>LN_IA4*LN_IA5</f>
        <v>10708.0098</v>
      </c>
      <c r="E20" s="463">
        <f t="shared" si="0"/>
        <v>-75.179100000001199</v>
      </c>
      <c r="F20" s="449">
        <f t="shared" si="1"/>
        <v>-6.9718800901281798E-3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8278.1726099595635</v>
      </c>
      <c r="D21" s="465">
        <f>IF(LN_IA6=0,0,LN_IA2/LN_IA6)</f>
        <v>7940.2207868730193</v>
      </c>
      <c r="E21" s="465">
        <f t="shared" si="0"/>
        <v>-337.95182308654421</v>
      </c>
      <c r="F21" s="449">
        <f t="shared" si="1"/>
        <v>-4.0824447497017705E-2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35500</v>
      </c>
      <c r="D22" s="456">
        <v>33469</v>
      </c>
      <c r="E22" s="456">
        <f t="shared" si="0"/>
        <v>-2031</v>
      </c>
      <c r="F22" s="449">
        <f t="shared" si="1"/>
        <v>-5.7211267605633803E-2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2514.5098309859154</v>
      </c>
      <c r="D23" s="465">
        <f>IF(LN_IA8=0,0,LN_IA2/LN_IA8)</f>
        <v>2540.3795153724341</v>
      </c>
      <c r="E23" s="465">
        <f t="shared" si="0"/>
        <v>25.869684386518657</v>
      </c>
      <c r="F23" s="449">
        <f t="shared" si="1"/>
        <v>1.0288161958140127E-2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5.0505050505050502</v>
      </c>
      <c r="D24" s="466">
        <f>IF(LN_IA4=0,0,LN_IA8/LN_IA4)</f>
        <v>5.1825642613812324</v>
      </c>
      <c r="E24" s="466">
        <f t="shared" si="0"/>
        <v>0.13205921087618222</v>
      </c>
      <c r="F24" s="449">
        <f t="shared" si="1"/>
        <v>2.6147723753484082E-2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168149652</v>
      </c>
      <c r="D27" s="448">
        <v>187368099</v>
      </c>
      <c r="E27" s="448">
        <f t="shared" ref="E27:E32" si="2">D27-C27</f>
        <v>19218447</v>
      </c>
      <c r="F27" s="449">
        <f t="shared" ref="F27:F32" si="3">IF(C27=0,0,E27/C27)</f>
        <v>0.11429370665602091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38847438</v>
      </c>
      <c r="D28" s="448">
        <v>51618630</v>
      </c>
      <c r="E28" s="448">
        <f t="shared" si="2"/>
        <v>12771192</v>
      </c>
      <c r="F28" s="449">
        <f t="shared" si="3"/>
        <v>0.3287524907047924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0.23102895270934012</v>
      </c>
      <c r="D29" s="453">
        <f>IF(LN_IA11=0,0,LN_IA12/LN_IA11)</f>
        <v>0.27549316172546534</v>
      </c>
      <c r="E29" s="454">
        <f t="shared" si="2"/>
        <v>4.4464209016125217E-2</v>
      </c>
      <c r="F29" s="449">
        <f t="shared" si="3"/>
        <v>0.192461630867825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0.78270448433203921</v>
      </c>
      <c r="D30" s="453">
        <f>IF(LN_IA1=0,0,LN_IA11/LN_IA1)</f>
        <v>0.8906583329571317</v>
      </c>
      <c r="E30" s="454">
        <f t="shared" si="2"/>
        <v>0.1079538486250925</v>
      </c>
      <c r="F30" s="449">
        <f t="shared" si="3"/>
        <v>0.13792414734562358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5501.6298203699034</v>
      </c>
      <c r="D31" s="463">
        <f>LN_IA14*LN_IA4</f>
        <v>5751.8715142371566</v>
      </c>
      <c r="E31" s="463">
        <f t="shared" si="2"/>
        <v>250.24169386725316</v>
      </c>
      <c r="F31" s="449">
        <f t="shared" si="3"/>
        <v>4.5485011176275049E-2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7061.0781292784404</v>
      </c>
      <c r="D32" s="465">
        <f>IF(LN_IA15=0,0,LN_IA12/LN_IA15)</f>
        <v>8974.2321038000337</v>
      </c>
      <c r="E32" s="465">
        <f t="shared" si="2"/>
        <v>1913.1539745215932</v>
      </c>
      <c r="F32" s="449">
        <f t="shared" si="3"/>
        <v>0.27094360655616978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382981246</v>
      </c>
      <c r="D35" s="448">
        <f>LN_IA1+LN_IA11</f>
        <v>397738442</v>
      </c>
      <c r="E35" s="448">
        <f>D35-C35</f>
        <v>14757196</v>
      </c>
      <c r="F35" s="449">
        <f>IF(C35=0,0,E35/C35)</f>
        <v>3.8532424639926101E-2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128112537</v>
      </c>
      <c r="D36" s="448">
        <f>LN_IA2+LN_IA12</f>
        <v>136642592</v>
      </c>
      <c r="E36" s="448">
        <f>D36-C36</f>
        <v>8530055</v>
      </c>
      <c r="F36" s="449">
        <f>IF(C36=0,0,E36/C36)</f>
        <v>6.6582515651844434E-2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254868709</v>
      </c>
      <c r="D37" s="448">
        <f>LN_IA17-LN_IA18</f>
        <v>261095850</v>
      </c>
      <c r="E37" s="448">
        <f>D37-C37</f>
        <v>6227141</v>
      </c>
      <c r="F37" s="449">
        <f>IF(C37=0,0,E37/C37)</f>
        <v>2.4432740387914782E-2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85361084</v>
      </c>
      <c r="D42" s="448">
        <v>84602440</v>
      </c>
      <c r="E42" s="448">
        <f t="shared" ref="E42:E53" si="4">D42-C42</f>
        <v>-758644</v>
      </c>
      <c r="F42" s="449">
        <f t="shared" ref="F42:F53" si="5">IF(C42=0,0,E42/C42)</f>
        <v>-8.8874691422615951E-3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55575199</v>
      </c>
      <c r="D43" s="448">
        <v>54161997</v>
      </c>
      <c r="E43" s="448">
        <f t="shared" si="4"/>
        <v>-1413202</v>
      </c>
      <c r="F43" s="449">
        <f t="shared" si="5"/>
        <v>-2.5428644888882898E-2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0.65106013649030048</v>
      </c>
      <c r="D44" s="453">
        <f>IF(LN_IB1=0,0,LN_IB2/LN_IB1)</f>
        <v>0.64019426626466092</v>
      </c>
      <c r="E44" s="454">
        <f t="shared" si="4"/>
        <v>-1.0865870225639562E-2</v>
      </c>
      <c r="F44" s="449">
        <f t="shared" si="5"/>
        <v>-1.6689503191233152E-2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4106</v>
      </c>
      <c r="D45" s="456">
        <v>3617</v>
      </c>
      <c r="E45" s="456">
        <f t="shared" si="4"/>
        <v>-489</v>
      </c>
      <c r="F45" s="449">
        <f t="shared" si="5"/>
        <v>-0.11909400876765709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1.17228</v>
      </c>
      <c r="D46" s="459">
        <v>1.2376</v>
      </c>
      <c r="E46" s="460">
        <f t="shared" si="4"/>
        <v>6.5320000000000045E-2</v>
      </c>
      <c r="F46" s="449">
        <f t="shared" si="5"/>
        <v>5.5720476336711407E-2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4813.3816799999995</v>
      </c>
      <c r="D47" s="463">
        <f>LN_IB4*LN_IB5</f>
        <v>4476.3991999999998</v>
      </c>
      <c r="E47" s="463">
        <f t="shared" si="4"/>
        <v>-336.98247999999967</v>
      </c>
      <c r="F47" s="449">
        <f t="shared" si="5"/>
        <v>-7.0009507328327988E-2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11545.97800355612</v>
      </c>
      <c r="D48" s="465">
        <f>IF(LN_IB6=0,0,LN_IB2/LN_IB6)</f>
        <v>12099.456411304873</v>
      </c>
      <c r="E48" s="465">
        <f t="shared" si="4"/>
        <v>553.47840774875294</v>
      </c>
      <c r="F48" s="449">
        <f t="shared" si="5"/>
        <v>4.7936901280972784E-2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-3267.8053935965563</v>
      </c>
      <c r="D49" s="465">
        <f>LN_IA7-LN_IB7</f>
        <v>-4159.2356244318535</v>
      </c>
      <c r="E49" s="465">
        <f t="shared" si="4"/>
        <v>-891.43023083529715</v>
      </c>
      <c r="F49" s="449">
        <f t="shared" si="5"/>
        <v>0.27279171292822502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-15729194.615342852</v>
      </c>
      <c r="D50" s="479">
        <f>LN_IB8*LN_IB6</f>
        <v>-18618399.02181825</v>
      </c>
      <c r="E50" s="479">
        <f t="shared" si="4"/>
        <v>-2889204.4064753987</v>
      </c>
      <c r="F50" s="449">
        <f t="shared" si="5"/>
        <v>0.18368419217454143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15460</v>
      </c>
      <c r="D51" s="456">
        <v>13869</v>
      </c>
      <c r="E51" s="456">
        <f t="shared" si="4"/>
        <v>-1591</v>
      </c>
      <c r="F51" s="449">
        <f t="shared" si="5"/>
        <v>-0.10291073738680466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3594.7735446313068</v>
      </c>
      <c r="D52" s="465">
        <f>IF(LN_IB10=0,0,LN_IB2/LN_IB10)</f>
        <v>3905.2561107505949</v>
      </c>
      <c r="E52" s="465">
        <f t="shared" si="4"/>
        <v>310.48256611928809</v>
      </c>
      <c r="F52" s="449">
        <f t="shared" si="5"/>
        <v>8.6370549428067614E-2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3.7652216268874819</v>
      </c>
      <c r="D53" s="466">
        <f>IF(LN_IB4=0,0,LN_IB10/LN_IB4)</f>
        <v>3.8343931434890792</v>
      </c>
      <c r="E53" s="466">
        <f t="shared" si="4"/>
        <v>6.9171516601597371E-2</v>
      </c>
      <c r="F53" s="449">
        <f t="shared" si="5"/>
        <v>1.8371167345805874E-2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167251698</v>
      </c>
      <c r="D56" s="448">
        <v>183904391</v>
      </c>
      <c r="E56" s="448">
        <f t="shared" ref="E56:E63" si="6">D56-C56</f>
        <v>16652693</v>
      </c>
      <c r="F56" s="449">
        <f t="shared" ref="F56:F63" si="7">IF(C56=0,0,E56/C56)</f>
        <v>9.9566660303801513E-2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99884036</v>
      </c>
      <c r="D57" s="448">
        <v>115812696</v>
      </c>
      <c r="E57" s="448">
        <f t="shared" si="6"/>
        <v>15928660</v>
      </c>
      <c r="F57" s="449">
        <f t="shared" si="7"/>
        <v>0.15947152956454422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0.59720790398193746</v>
      </c>
      <c r="D58" s="453">
        <f>IF(LN_IB13=0,0,LN_IB14/LN_IB13)</f>
        <v>0.62974404999389055</v>
      </c>
      <c r="E58" s="454">
        <f t="shared" si="6"/>
        <v>3.2536146011953093E-2</v>
      </c>
      <c r="F58" s="449">
        <f t="shared" si="7"/>
        <v>5.4480434359651657E-2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1.9593436512591615</v>
      </c>
      <c r="D59" s="453">
        <f>IF(LN_IB1=0,0,LN_IB13/LN_IB1)</f>
        <v>2.1737480739326194</v>
      </c>
      <c r="E59" s="454">
        <f t="shared" si="6"/>
        <v>0.21440442267345783</v>
      </c>
      <c r="F59" s="449">
        <f t="shared" si="7"/>
        <v>0.10942665546989268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8045.065032070117</v>
      </c>
      <c r="D60" s="463">
        <f>LN_IB16*LN_IB4</f>
        <v>7862.4467834142843</v>
      </c>
      <c r="E60" s="463">
        <f t="shared" si="6"/>
        <v>-182.61824865583276</v>
      </c>
      <c r="F60" s="449">
        <f t="shared" si="7"/>
        <v>-2.2699412363711164E-2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12415.566014921116</v>
      </c>
      <c r="D61" s="465">
        <f>IF(LN_IB17=0,0,LN_IB14/LN_IB17)</f>
        <v>14729.854355810099</v>
      </c>
      <c r="E61" s="465">
        <f t="shared" si="6"/>
        <v>2314.2883408889829</v>
      </c>
      <c r="F61" s="449">
        <f t="shared" si="7"/>
        <v>0.18640216145664681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-5354.4878856426758</v>
      </c>
      <c r="D62" s="465">
        <f>LN_IA16-LN_IB18</f>
        <v>-5755.6222520100655</v>
      </c>
      <c r="E62" s="465">
        <f t="shared" si="6"/>
        <v>-401.1343663673897</v>
      </c>
      <c r="F62" s="449">
        <f t="shared" si="7"/>
        <v>7.4915542799709467E-2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-43077203.253426947</v>
      </c>
      <c r="D63" s="448">
        <f>LN_IB19*LN_IB17</f>
        <v>-45253273.661864221</v>
      </c>
      <c r="E63" s="448">
        <f t="shared" si="6"/>
        <v>-2176070.4084372744</v>
      </c>
      <c r="F63" s="449">
        <f t="shared" si="7"/>
        <v>5.0515591637536501E-2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252612782</v>
      </c>
      <c r="D66" s="448">
        <f>LN_IB1+LN_IB13</f>
        <v>268506831</v>
      </c>
      <c r="E66" s="448">
        <f>D66-C66</f>
        <v>15894049</v>
      </c>
      <c r="F66" s="449">
        <f>IF(C66=0,0,E66/C66)</f>
        <v>6.2918625392439559E-2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155459235</v>
      </c>
      <c r="D67" s="448">
        <f>LN_IB2+LN_IB14</f>
        <v>169974693</v>
      </c>
      <c r="E67" s="448">
        <f>D67-C67</f>
        <v>14515458</v>
      </c>
      <c r="F67" s="449">
        <f>IF(C67=0,0,E67/C67)</f>
        <v>9.3371474521922099E-2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97153547</v>
      </c>
      <c r="D68" s="448">
        <f>LN_IB21-LN_IB22</f>
        <v>98532138</v>
      </c>
      <c r="E68" s="448">
        <f>D68-C68</f>
        <v>1378591</v>
      </c>
      <c r="F68" s="449">
        <f>IF(C68=0,0,E68/C68)</f>
        <v>1.418981645621235E-2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-58806397.868769795</v>
      </c>
      <c r="D70" s="441">
        <f>LN_IB9+LN_IB20</f>
        <v>-63871672.683682472</v>
      </c>
      <c r="E70" s="448">
        <f>D70-C70</f>
        <v>-5065274.8149126768</v>
      </c>
      <c r="F70" s="449">
        <f>IF(C70=0,0,E70/C70)</f>
        <v>8.6134757415615881E-2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252612782</v>
      </c>
      <c r="D73" s="488">
        <v>268506831</v>
      </c>
      <c r="E73" s="488">
        <f>D73-C73</f>
        <v>15894049</v>
      </c>
      <c r="F73" s="489">
        <f>IF(C73=0,0,E73/C73)</f>
        <v>6.2918625392439559E-2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155459235</v>
      </c>
      <c r="D74" s="488">
        <v>169974693</v>
      </c>
      <c r="E74" s="488">
        <f>D74-C74</f>
        <v>14515458</v>
      </c>
      <c r="F74" s="489">
        <f>IF(C74=0,0,E74/C74)</f>
        <v>9.3371474521922099E-2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97153547</v>
      </c>
      <c r="D76" s="441">
        <f>LN_IB32-LN_IB33</f>
        <v>98532138</v>
      </c>
      <c r="E76" s="488">
        <f>D76-C76</f>
        <v>1378591</v>
      </c>
      <c r="F76" s="489">
        <f>IF(E76=0,0,E76/C76)</f>
        <v>1.418981645621235E-2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0.38459473915298553</v>
      </c>
      <c r="D77" s="453">
        <f>IF(LN_IB32=0,0,LN_IB34/LN_IB32)</f>
        <v>0.36696324496861682</v>
      </c>
      <c r="E77" s="493">
        <f>D77-C77</f>
        <v>-1.7631494184368712E-2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2926166</v>
      </c>
      <c r="D83" s="448">
        <v>3650600</v>
      </c>
      <c r="E83" s="448">
        <f t="shared" ref="E83:E95" si="8">D83-C83</f>
        <v>724434</v>
      </c>
      <c r="F83" s="449">
        <f t="shared" ref="F83:F95" si="9">IF(C83=0,0,E83/C83)</f>
        <v>0.24757105372695876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418873</v>
      </c>
      <c r="D84" s="448">
        <v>461496</v>
      </c>
      <c r="E84" s="448">
        <f t="shared" si="8"/>
        <v>42623</v>
      </c>
      <c r="F84" s="449">
        <f t="shared" si="9"/>
        <v>0.10175637961864335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0.14314738124904738</v>
      </c>
      <c r="D85" s="453">
        <f>IF(LN_IC1=0,0,LN_IC2/LN_IC1)</f>
        <v>0.12641647948282475</v>
      </c>
      <c r="E85" s="454">
        <f t="shared" si="8"/>
        <v>-1.6730901766222633E-2</v>
      </c>
      <c r="F85" s="449">
        <f t="shared" si="9"/>
        <v>-0.11687885325065263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122</v>
      </c>
      <c r="D86" s="456">
        <v>130</v>
      </c>
      <c r="E86" s="456">
        <f t="shared" si="8"/>
        <v>8</v>
      </c>
      <c r="F86" s="449">
        <f t="shared" si="9"/>
        <v>6.5573770491803282E-2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1.1993100000000001</v>
      </c>
      <c r="D87" s="459">
        <v>1.1455</v>
      </c>
      <c r="E87" s="460">
        <f t="shared" si="8"/>
        <v>-5.3810000000000136E-2</v>
      </c>
      <c r="F87" s="449">
        <f t="shared" si="9"/>
        <v>-4.486746545930588E-2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146.31582</v>
      </c>
      <c r="D88" s="463">
        <f>LN_IC4*LN_IC5</f>
        <v>148.91499999999999</v>
      </c>
      <c r="E88" s="463">
        <f t="shared" si="8"/>
        <v>2.5991799999999898</v>
      </c>
      <c r="F88" s="449">
        <f t="shared" si="9"/>
        <v>1.7764176149920013E-2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2862.8004818617701</v>
      </c>
      <c r="D89" s="465">
        <f>IF(LN_IC6=0,0,LN_IC2/LN_IC6)</f>
        <v>3099.0565087466007</v>
      </c>
      <c r="E89" s="465">
        <f t="shared" si="8"/>
        <v>236.25602688483059</v>
      </c>
      <c r="F89" s="449">
        <f t="shared" si="9"/>
        <v>8.2526193628130795E-2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8683.1775216943497</v>
      </c>
      <c r="D90" s="465">
        <f>LN_IB7-LN_IC7</f>
        <v>9000.3999025582725</v>
      </c>
      <c r="E90" s="465">
        <f t="shared" si="8"/>
        <v>317.22238086392281</v>
      </c>
      <c r="F90" s="449">
        <f t="shared" si="9"/>
        <v>3.6532983469630041E-2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5415.3721280977934</v>
      </c>
      <c r="D91" s="465">
        <f>LN_IA7-LN_IC7</f>
        <v>4841.1642781264181</v>
      </c>
      <c r="E91" s="465">
        <f t="shared" si="8"/>
        <v>-574.20784997137525</v>
      </c>
      <c r="F91" s="449">
        <f t="shared" si="9"/>
        <v>-0.10603294406899269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792354.61352777365</v>
      </c>
      <c r="D92" s="441">
        <f>LN_IC9*LN_IC6</f>
        <v>720921.97847719549</v>
      </c>
      <c r="E92" s="441">
        <f t="shared" si="8"/>
        <v>-71432.635050578159</v>
      </c>
      <c r="F92" s="449">
        <f t="shared" si="9"/>
        <v>-9.0152355815208862E-2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421</v>
      </c>
      <c r="D93" s="456">
        <v>440</v>
      </c>
      <c r="E93" s="456">
        <f t="shared" si="8"/>
        <v>19</v>
      </c>
      <c r="F93" s="449">
        <f t="shared" si="9"/>
        <v>4.5130641330166268E-2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994.94774346793349</v>
      </c>
      <c r="D94" s="499">
        <f>IF(LN_IC11=0,0,LN_IC2/LN_IC11)</f>
        <v>1048.8545454545454</v>
      </c>
      <c r="E94" s="499">
        <f t="shared" si="8"/>
        <v>53.906801986611868</v>
      </c>
      <c r="F94" s="449">
        <f t="shared" si="9"/>
        <v>5.4180535953292752E-2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3.4508196721311477</v>
      </c>
      <c r="D95" s="466">
        <f>IF(LN_IC4=0,0,LN_IC11/LN_IC4)</f>
        <v>3.3846153846153846</v>
      </c>
      <c r="E95" s="466">
        <f t="shared" si="8"/>
        <v>-6.6204287515763127E-2</v>
      </c>
      <c r="F95" s="449">
        <f t="shared" si="9"/>
        <v>-1.9185090443997865E-2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9644692</v>
      </c>
      <c r="D98" s="448">
        <v>10877420</v>
      </c>
      <c r="E98" s="448">
        <f t="shared" ref="E98:E106" si="10">D98-C98</f>
        <v>1232728</v>
      </c>
      <c r="F98" s="449">
        <f t="shared" ref="F98:F106" si="11">IF(C98=0,0,E98/C98)</f>
        <v>0.127814138595613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1188855</v>
      </c>
      <c r="D99" s="448">
        <v>184090</v>
      </c>
      <c r="E99" s="448">
        <f t="shared" si="10"/>
        <v>-1004765</v>
      </c>
      <c r="F99" s="449">
        <f t="shared" si="11"/>
        <v>-0.84515353007725924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0.12326521157959218</v>
      </c>
      <c r="D100" s="453">
        <f>IF(LN_IC14=0,0,LN_IC15/LN_IC14)</f>
        <v>1.6924050004504743E-2</v>
      </c>
      <c r="E100" s="454">
        <f t="shared" si="10"/>
        <v>-0.10634116157508744</v>
      </c>
      <c r="F100" s="449">
        <f t="shared" si="11"/>
        <v>-0.86270213803529716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3.2960166989842681</v>
      </c>
      <c r="D101" s="453">
        <f>IF(LN_IC1=0,0,LN_IC14/LN_IC1)</f>
        <v>2.9796252670793844</v>
      </c>
      <c r="E101" s="454">
        <f t="shared" si="10"/>
        <v>-0.31639143190488372</v>
      </c>
      <c r="F101" s="449">
        <f t="shared" si="11"/>
        <v>-9.5992059749692993E-2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402.11403727608069</v>
      </c>
      <c r="D102" s="463">
        <f>LN_IC17*LN_IC4</f>
        <v>387.35128472031994</v>
      </c>
      <c r="E102" s="463">
        <f t="shared" si="10"/>
        <v>-14.762752555760756</v>
      </c>
      <c r="F102" s="449">
        <f t="shared" si="11"/>
        <v>-3.6712850552951592E-2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2956.5120582541717</v>
      </c>
      <c r="D103" s="465">
        <f>IF(LN_IC18=0,0,LN_IC15/LN_IC18)</f>
        <v>475.25336112650018</v>
      </c>
      <c r="E103" s="465">
        <f t="shared" si="10"/>
        <v>-2481.2586971276714</v>
      </c>
      <c r="F103" s="449">
        <f t="shared" si="11"/>
        <v>-0.83925201326351473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9459.0539566669449</v>
      </c>
      <c r="D104" s="465">
        <f>LN_IB18-LN_IC19</f>
        <v>14254.600994683598</v>
      </c>
      <c r="E104" s="465">
        <f t="shared" si="10"/>
        <v>4795.5470380166535</v>
      </c>
      <c r="F104" s="449">
        <f t="shared" si="11"/>
        <v>0.50697956264819155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4104.5660710242682</v>
      </c>
      <c r="D105" s="465">
        <f>LN_IA16-LN_IC19</f>
        <v>8498.9787426735329</v>
      </c>
      <c r="E105" s="465">
        <f t="shared" si="10"/>
        <v>4394.4126716492647</v>
      </c>
      <c r="F105" s="449">
        <f t="shared" si="11"/>
        <v>1.0706156498907733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1650503.6340859886</v>
      </c>
      <c r="D106" s="448">
        <f>LN_IC21*LN_IC18</f>
        <v>3292090.3347852826</v>
      </c>
      <c r="E106" s="448">
        <f t="shared" si="10"/>
        <v>1641586.700699294</v>
      </c>
      <c r="F106" s="449">
        <f t="shared" si="11"/>
        <v>0.99459744698373076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12570858</v>
      </c>
      <c r="D109" s="448">
        <f>LN_IC1+LN_IC14</f>
        <v>14528020</v>
      </c>
      <c r="E109" s="448">
        <f>D109-C109</f>
        <v>1957162</v>
      </c>
      <c r="F109" s="449">
        <f>IF(C109=0,0,E109/C109)</f>
        <v>0.15569040713052362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1607728</v>
      </c>
      <c r="D110" s="448">
        <f>LN_IC2+LN_IC15</f>
        <v>645586</v>
      </c>
      <c r="E110" s="448">
        <f>D110-C110</f>
        <v>-962142</v>
      </c>
      <c r="F110" s="449">
        <f>IF(C110=0,0,E110/C110)</f>
        <v>-0.59844824497676219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10963130</v>
      </c>
      <c r="D111" s="448">
        <f>LN_IC23-LN_IC24</f>
        <v>13882434</v>
      </c>
      <c r="E111" s="448">
        <f>D111-C111</f>
        <v>2919304</v>
      </c>
      <c r="F111" s="449">
        <f>IF(C111=0,0,E111/C111)</f>
        <v>0.26628380763522824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2442858.2476137625</v>
      </c>
      <c r="D113" s="448">
        <f>LN_IC10+LN_IC22</f>
        <v>4013012.313262478</v>
      </c>
      <c r="E113" s="448">
        <f>D113-C113</f>
        <v>1570154.0656487155</v>
      </c>
      <c r="F113" s="449">
        <f>IF(C113=0,0,E113/C113)</f>
        <v>0.64275283561069352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78711810</v>
      </c>
      <c r="D118" s="448">
        <v>76705288</v>
      </c>
      <c r="E118" s="448">
        <f t="shared" ref="E118:E130" si="12">D118-C118</f>
        <v>-2006522</v>
      </c>
      <c r="F118" s="449">
        <f t="shared" ref="F118:F130" si="13">IF(C118=0,0,E118/C118)</f>
        <v>-2.5492006853863481E-2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25308182</v>
      </c>
      <c r="D119" s="448">
        <v>20767567</v>
      </c>
      <c r="E119" s="448">
        <f t="shared" si="12"/>
        <v>-4540615</v>
      </c>
      <c r="F119" s="449">
        <f t="shared" si="13"/>
        <v>-0.17941292661796093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0.32152966625973917</v>
      </c>
      <c r="D120" s="453">
        <f>IF(LN_ID1=0,0,LN_1D2/LN_ID1)</f>
        <v>0.27074491917688909</v>
      </c>
      <c r="E120" s="454">
        <f t="shared" si="12"/>
        <v>-5.0784747082850079E-2</v>
      </c>
      <c r="F120" s="449">
        <f t="shared" si="13"/>
        <v>-0.15794731376925256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4074</v>
      </c>
      <c r="D121" s="456">
        <v>3852</v>
      </c>
      <c r="E121" s="456">
        <f t="shared" si="12"/>
        <v>-222</v>
      </c>
      <c r="F121" s="449">
        <f t="shared" si="13"/>
        <v>-5.4491899852724596E-2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1.0530200000000001</v>
      </c>
      <c r="D122" s="459">
        <v>1.1048</v>
      </c>
      <c r="E122" s="460">
        <f t="shared" si="12"/>
        <v>5.1779999999999937E-2</v>
      </c>
      <c r="F122" s="449">
        <f t="shared" si="13"/>
        <v>4.9172855216425074E-2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4290.0034800000003</v>
      </c>
      <c r="D123" s="463">
        <f>LN_ID4*LN_ID5</f>
        <v>4255.6895999999997</v>
      </c>
      <c r="E123" s="463">
        <f t="shared" si="12"/>
        <v>-34.313880000000609</v>
      </c>
      <c r="F123" s="449">
        <f t="shared" si="13"/>
        <v>-7.9985669382255618E-3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5899.3383380658697</v>
      </c>
      <c r="D124" s="465">
        <f>IF(LN_ID6=0,0,LN_1D2/LN_ID6)</f>
        <v>4879.953415775437</v>
      </c>
      <c r="E124" s="465">
        <f t="shared" si="12"/>
        <v>-1019.3849222904328</v>
      </c>
      <c r="F124" s="449">
        <f t="shared" si="13"/>
        <v>-0.17279648392308411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5646.6396654902501</v>
      </c>
      <c r="D125" s="465">
        <f>LN_IB7-LN_ID7</f>
        <v>7219.5029955294358</v>
      </c>
      <c r="E125" s="465">
        <f t="shared" si="12"/>
        <v>1572.8633300391857</v>
      </c>
      <c r="F125" s="449">
        <f t="shared" si="13"/>
        <v>0.27854855687920493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2378.8342718936938</v>
      </c>
      <c r="D126" s="465">
        <f>LN_IA7-LN_ID7</f>
        <v>3060.2673710975823</v>
      </c>
      <c r="E126" s="465">
        <f t="shared" si="12"/>
        <v>681.43309920388856</v>
      </c>
      <c r="F126" s="449">
        <f t="shared" si="13"/>
        <v>0.28645673524008347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10205207.304767214</v>
      </c>
      <c r="D127" s="479">
        <f>LN_ID9*LN_ID6</f>
        <v>13023548.024399322</v>
      </c>
      <c r="E127" s="479">
        <f t="shared" si="12"/>
        <v>2818340.7196321078</v>
      </c>
      <c r="F127" s="449">
        <f t="shared" si="13"/>
        <v>0.27616692493013456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17977</v>
      </c>
      <c r="D128" s="456">
        <v>17684</v>
      </c>
      <c r="E128" s="456">
        <f t="shared" si="12"/>
        <v>-293</v>
      </c>
      <c r="F128" s="449">
        <f t="shared" si="13"/>
        <v>-1.6298603771485787E-2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1407.8089781387328</v>
      </c>
      <c r="D129" s="465">
        <f>IF(LN_ID11=0,0,LN_1D2/LN_ID11)</f>
        <v>1174.3704478624745</v>
      </c>
      <c r="E129" s="465">
        <f t="shared" si="12"/>
        <v>-233.43853027625823</v>
      </c>
      <c r="F129" s="449">
        <f t="shared" si="13"/>
        <v>-0.16581690691082807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4.4126165930289645</v>
      </c>
      <c r="D130" s="466">
        <f>IF(LN_ID4=0,0,LN_ID11/LN_ID4)</f>
        <v>4.5908618899273108</v>
      </c>
      <c r="E130" s="466">
        <f t="shared" si="12"/>
        <v>0.17824529689834634</v>
      </c>
      <c r="F130" s="449">
        <f t="shared" si="13"/>
        <v>4.0394467350718305E-2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137111570</v>
      </c>
      <c r="D133" s="448">
        <v>147801259</v>
      </c>
      <c r="E133" s="448">
        <f t="shared" ref="E133:E141" si="14">D133-C133</f>
        <v>10689689</v>
      </c>
      <c r="F133" s="449">
        <f t="shared" ref="F133:F141" si="15">IF(C133=0,0,E133/C133)</f>
        <v>7.7963435179102689E-2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34562104</v>
      </c>
      <c r="D134" s="448">
        <v>36648952</v>
      </c>
      <c r="E134" s="448">
        <f t="shared" si="14"/>
        <v>2086848</v>
      </c>
      <c r="F134" s="449">
        <f t="shared" si="15"/>
        <v>6.037965744215109E-2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0.25207284841096927</v>
      </c>
      <c r="D135" s="453">
        <f>IF(LN_ID14=0,0,LN_ID15/LN_ID14)</f>
        <v>0.24796102717907159</v>
      </c>
      <c r="E135" s="454">
        <f t="shared" si="14"/>
        <v>-4.1118212318976832E-3</v>
      </c>
      <c r="F135" s="449">
        <f t="shared" si="15"/>
        <v>-1.6312035420784146E-2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1.7419440615074155</v>
      </c>
      <c r="D136" s="453">
        <f>IF(LN_ID1=0,0,LN_ID14/LN_ID1)</f>
        <v>1.9268718344424964</v>
      </c>
      <c r="E136" s="454">
        <f t="shared" si="14"/>
        <v>0.18492777293508089</v>
      </c>
      <c r="F136" s="449">
        <f t="shared" si="15"/>
        <v>0.10616171725689691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7096.6801065812106</v>
      </c>
      <c r="D137" s="463">
        <f>LN_ID17*LN_ID4</f>
        <v>7422.3103062724958</v>
      </c>
      <c r="E137" s="463">
        <f t="shared" si="14"/>
        <v>325.63019969128527</v>
      </c>
      <c r="F137" s="449">
        <f t="shared" si="15"/>
        <v>4.5884863739216221E-2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4870.1792219644121</v>
      </c>
      <c r="D138" s="465">
        <f>IF(LN_ID18=0,0,LN_ID15/LN_ID18)</f>
        <v>4937.6744554897496</v>
      </c>
      <c r="E138" s="465">
        <f t="shared" si="14"/>
        <v>67.495233525337426</v>
      </c>
      <c r="F138" s="449">
        <f t="shared" si="15"/>
        <v>1.3858880843837379E-2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7545.3867929567041</v>
      </c>
      <c r="D139" s="465">
        <f>LN_IB18-LN_ID19</f>
        <v>9792.1799003203487</v>
      </c>
      <c r="E139" s="465">
        <f t="shared" si="14"/>
        <v>2246.7931073636446</v>
      </c>
      <c r="F139" s="449">
        <f t="shared" si="15"/>
        <v>0.2977704349710647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2190.8989073140283</v>
      </c>
      <c r="D140" s="465">
        <f>LN_IA16-LN_ID19</f>
        <v>4036.5576483102841</v>
      </c>
      <c r="E140" s="465">
        <f t="shared" si="14"/>
        <v>1845.6587409962558</v>
      </c>
      <c r="F140" s="449">
        <f t="shared" si="15"/>
        <v>0.84242076840458791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15548108.691065976</v>
      </c>
      <c r="D141" s="441">
        <f>LN_ID21*LN_ID18</f>
        <v>29960583.434916489</v>
      </c>
      <c r="E141" s="441">
        <f t="shared" si="14"/>
        <v>14412474.743850512</v>
      </c>
      <c r="F141" s="449">
        <f t="shared" si="15"/>
        <v>0.92695999431313436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215823380</v>
      </c>
      <c r="D144" s="448">
        <f>LN_ID1+LN_ID14</f>
        <v>224506547</v>
      </c>
      <c r="E144" s="448">
        <f>D144-C144</f>
        <v>8683167</v>
      </c>
      <c r="F144" s="449">
        <f>IF(C144=0,0,E144/C144)</f>
        <v>4.0232744941720404E-2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59870286</v>
      </c>
      <c r="D145" s="448">
        <f>LN_1D2+LN_ID15</f>
        <v>57416519</v>
      </c>
      <c r="E145" s="448">
        <f>D145-C145</f>
        <v>-2453767</v>
      </c>
      <c r="F145" s="449">
        <f>IF(C145=0,0,E145/C145)</f>
        <v>-4.0984721536155684E-2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155953094</v>
      </c>
      <c r="D146" s="448">
        <f>LN_ID23-LN_ID24</f>
        <v>167090028</v>
      </c>
      <c r="E146" s="448">
        <f>D146-C146</f>
        <v>11136934</v>
      </c>
      <c r="F146" s="449">
        <f>IF(C146=0,0,E146/C146)</f>
        <v>7.1412074710104828E-2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25753315.995833188</v>
      </c>
      <c r="D148" s="448">
        <f>LN_ID10+LN_ID22</f>
        <v>42984131.459315807</v>
      </c>
      <c r="E148" s="448">
        <f>D148-C148</f>
        <v>17230815.463482618</v>
      </c>
      <c r="F148" s="503">
        <f>IF(C148=0,0,E148/C148)</f>
        <v>0.66907172133757509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11545.97800355612</v>
      </c>
      <c r="D160" s="465">
        <f>LN_IB7-LN_IE7</f>
        <v>12099.456411304873</v>
      </c>
      <c r="E160" s="465">
        <f t="shared" si="16"/>
        <v>553.47840774875294</v>
      </c>
      <c r="F160" s="449">
        <f t="shared" si="17"/>
        <v>4.7936901280972784E-2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8278.1726099595635</v>
      </c>
      <c r="D161" s="465">
        <f>LN_IA7-LN_IE7</f>
        <v>7940.2207868730193</v>
      </c>
      <c r="E161" s="465">
        <f t="shared" si="16"/>
        <v>-337.95182308654421</v>
      </c>
      <c r="F161" s="449">
        <f t="shared" si="17"/>
        <v>-4.0824447497017705E-2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12415.566014921116</v>
      </c>
      <c r="D174" s="465">
        <f>LN_IB18-LN_IE19</f>
        <v>14729.854355810099</v>
      </c>
      <c r="E174" s="465">
        <f t="shared" si="18"/>
        <v>2314.2883408889829</v>
      </c>
      <c r="F174" s="449">
        <f t="shared" si="19"/>
        <v>0.18640216145664681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7061.0781292784404</v>
      </c>
      <c r="D175" s="465">
        <f>LN_IA16-LN_IE19</f>
        <v>8974.2321038000337</v>
      </c>
      <c r="E175" s="465">
        <f t="shared" si="18"/>
        <v>1913.1539745215932</v>
      </c>
      <c r="F175" s="449">
        <f t="shared" si="19"/>
        <v>0.27094360655616978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78711810</v>
      </c>
      <c r="D188" s="448">
        <f>LN_ID1+LN_IE1</f>
        <v>76705288</v>
      </c>
      <c r="E188" s="448">
        <f t="shared" ref="E188:E200" si="20">D188-C188</f>
        <v>-2006522</v>
      </c>
      <c r="F188" s="449">
        <f t="shared" ref="F188:F200" si="21">IF(C188=0,0,E188/C188)</f>
        <v>-2.5492006853863481E-2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25308182</v>
      </c>
      <c r="D189" s="448">
        <f>LN_1D2+LN_IE2</f>
        <v>20767567</v>
      </c>
      <c r="E189" s="448">
        <f t="shared" si="20"/>
        <v>-4540615</v>
      </c>
      <c r="F189" s="449">
        <f t="shared" si="21"/>
        <v>-0.17941292661796093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0.32152966625973917</v>
      </c>
      <c r="D190" s="453">
        <f>IF(LN_IF1=0,0,LN_IF2/LN_IF1)</f>
        <v>0.27074491917688909</v>
      </c>
      <c r="E190" s="454">
        <f t="shared" si="20"/>
        <v>-5.0784747082850079E-2</v>
      </c>
      <c r="F190" s="449">
        <f t="shared" si="21"/>
        <v>-0.15794731376925256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4074</v>
      </c>
      <c r="D191" s="456">
        <f>LN_ID4+LN_IE4</f>
        <v>3852</v>
      </c>
      <c r="E191" s="456">
        <f t="shared" si="20"/>
        <v>-222</v>
      </c>
      <c r="F191" s="449">
        <f t="shared" si="21"/>
        <v>-5.4491899852724596E-2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1.0530200000000001</v>
      </c>
      <c r="D192" s="459">
        <f>IF((LN_ID4+LN_IE4)=0,0,(LN_ID6+LN_IE6)/(LN_ID4+LN_IE4))</f>
        <v>1.1048</v>
      </c>
      <c r="E192" s="460">
        <f t="shared" si="20"/>
        <v>5.1779999999999937E-2</v>
      </c>
      <c r="F192" s="449">
        <f t="shared" si="21"/>
        <v>4.9172855216425074E-2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4290.0034800000003</v>
      </c>
      <c r="D193" s="463">
        <f>LN_IF4*LN_IF5</f>
        <v>4255.6895999999997</v>
      </c>
      <c r="E193" s="463">
        <f t="shared" si="20"/>
        <v>-34.313880000000609</v>
      </c>
      <c r="F193" s="449">
        <f t="shared" si="21"/>
        <v>-7.9985669382255618E-3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5899.3383380658697</v>
      </c>
      <c r="D194" s="465">
        <f>IF(LN_IF6=0,0,LN_IF2/LN_IF6)</f>
        <v>4879.953415775437</v>
      </c>
      <c r="E194" s="465">
        <f t="shared" si="20"/>
        <v>-1019.3849222904328</v>
      </c>
      <c r="F194" s="449">
        <f t="shared" si="21"/>
        <v>-0.17279648392308411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5646.6396654902501</v>
      </c>
      <c r="D195" s="465">
        <f>LN_IB7-LN_IF7</f>
        <v>7219.5029955294358</v>
      </c>
      <c r="E195" s="465">
        <f t="shared" si="20"/>
        <v>1572.8633300391857</v>
      </c>
      <c r="F195" s="449">
        <f t="shared" si="21"/>
        <v>0.27854855687920493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2378.8342718936938</v>
      </c>
      <c r="D196" s="465">
        <f>LN_IA7-LN_IF7</f>
        <v>3060.2673710975823</v>
      </c>
      <c r="E196" s="465">
        <f t="shared" si="20"/>
        <v>681.43309920388856</v>
      </c>
      <c r="F196" s="449">
        <f t="shared" si="21"/>
        <v>0.28645673524008347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10205207.304767214</v>
      </c>
      <c r="D197" s="479">
        <f>LN_IF9*LN_IF6</f>
        <v>13023548.024399322</v>
      </c>
      <c r="E197" s="479">
        <f t="shared" si="20"/>
        <v>2818340.7196321078</v>
      </c>
      <c r="F197" s="449">
        <f t="shared" si="21"/>
        <v>0.27616692493013456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17977</v>
      </c>
      <c r="D198" s="456">
        <f>LN_ID11+LN_IE11</f>
        <v>17684</v>
      </c>
      <c r="E198" s="456">
        <f t="shared" si="20"/>
        <v>-293</v>
      </c>
      <c r="F198" s="449">
        <f t="shared" si="21"/>
        <v>-1.6298603771485787E-2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1407.8089781387328</v>
      </c>
      <c r="D199" s="519">
        <f>IF(LN_IF11=0,0,LN_IF2/LN_IF11)</f>
        <v>1174.3704478624745</v>
      </c>
      <c r="E199" s="519">
        <f t="shared" si="20"/>
        <v>-233.43853027625823</v>
      </c>
      <c r="F199" s="449">
        <f t="shared" si="21"/>
        <v>-0.16581690691082807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4.4126165930289645</v>
      </c>
      <c r="D200" s="466">
        <f>IF(LN_IF4=0,0,LN_IF11/LN_IF4)</f>
        <v>4.5908618899273108</v>
      </c>
      <c r="E200" s="466">
        <f t="shared" si="20"/>
        <v>0.17824529689834634</v>
      </c>
      <c r="F200" s="449">
        <f t="shared" si="21"/>
        <v>4.0394467350718305E-2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137111570</v>
      </c>
      <c r="D203" s="448">
        <f>LN_ID14+LN_IE14</f>
        <v>147801259</v>
      </c>
      <c r="E203" s="448">
        <f t="shared" ref="E203:E211" si="22">D203-C203</f>
        <v>10689689</v>
      </c>
      <c r="F203" s="449">
        <f t="shared" ref="F203:F211" si="23">IF(C203=0,0,E203/C203)</f>
        <v>7.7963435179102689E-2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34562104</v>
      </c>
      <c r="D204" s="448">
        <f>LN_ID15+LN_IE15</f>
        <v>36648952</v>
      </c>
      <c r="E204" s="448">
        <f t="shared" si="22"/>
        <v>2086848</v>
      </c>
      <c r="F204" s="449">
        <f t="shared" si="23"/>
        <v>6.037965744215109E-2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0.25207284841096927</v>
      </c>
      <c r="D205" s="453">
        <f>IF(LN_IF14=0,0,LN_IF15/LN_IF14)</f>
        <v>0.24796102717907159</v>
      </c>
      <c r="E205" s="454">
        <f t="shared" si="22"/>
        <v>-4.1118212318976832E-3</v>
      </c>
      <c r="F205" s="449">
        <f t="shared" si="23"/>
        <v>-1.6312035420784146E-2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1.7419440615074155</v>
      </c>
      <c r="D206" s="453">
        <f>IF(LN_IF1=0,0,LN_IF14/LN_IF1)</f>
        <v>1.9268718344424964</v>
      </c>
      <c r="E206" s="454">
        <f t="shared" si="22"/>
        <v>0.18492777293508089</v>
      </c>
      <c r="F206" s="449">
        <f t="shared" si="23"/>
        <v>0.10616171725689691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7096.6801065812106</v>
      </c>
      <c r="D207" s="463">
        <f>LN_ID18+LN_IE18</f>
        <v>7422.3103062724958</v>
      </c>
      <c r="E207" s="463">
        <f t="shared" si="22"/>
        <v>325.63019969128527</v>
      </c>
      <c r="F207" s="449">
        <f t="shared" si="23"/>
        <v>4.5884863739216221E-2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4870.1792219644121</v>
      </c>
      <c r="D208" s="465">
        <f>IF(LN_IF18=0,0,LN_IF15/LN_IF18)</f>
        <v>4937.6744554897496</v>
      </c>
      <c r="E208" s="465">
        <f t="shared" si="22"/>
        <v>67.495233525337426</v>
      </c>
      <c r="F208" s="449">
        <f t="shared" si="23"/>
        <v>1.3858880843837379E-2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7545.3867929567041</v>
      </c>
      <c r="D209" s="465">
        <f>LN_IB18-LN_IF19</f>
        <v>9792.1799003203487</v>
      </c>
      <c r="E209" s="465">
        <f t="shared" si="22"/>
        <v>2246.7931073636446</v>
      </c>
      <c r="F209" s="449">
        <f t="shared" si="23"/>
        <v>0.2977704349710647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2190.8989073140283</v>
      </c>
      <c r="D210" s="465">
        <f>LN_IA16-LN_IF19</f>
        <v>4036.5576483102841</v>
      </c>
      <c r="E210" s="465">
        <f t="shared" si="22"/>
        <v>1845.6587409962558</v>
      </c>
      <c r="F210" s="449">
        <f t="shared" si="23"/>
        <v>0.84242076840458791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15548108.691065976</v>
      </c>
      <c r="D211" s="441">
        <f>LN_IF21*LN_IF18</f>
        <v>29960583.434916489</v>
      </c>
      <c r="E211" s="441">
        <f t="shared" si="22"/>
        <v>14412474.743850512</v>
      </c>
      <c r="F211" s="449">
        <f t="shared" si="23"/>
        <v>0.92695999431313436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215823380</v>
      </c>
      <c r="D214" s="448">
        <f>LN_IF1+LN_IF14</f>
        <v>224506547</v>
      </c>
      <c r="E214" s="448">
        <f>D214-C214</f>
        <v>8683167</v>
      </c>
      <c r="F214" s="449">
        <f>IF(C214=0,0,E214/C214)</f>
        <v>4.0232744941720404E-2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59870286</v>
      </c>
      <c r="D215" s="448">
        <f>LN_IF2+LN_IF15</f>
        <v>57416519</v>
      </c>
      <c r="E215" s="448">
        <f>D215-C215</f>
        <v>-2453767</v>
      </c>
      <c r="F215" s="449">
        <f>IF(C215=0,0,E215/C215)</f>
        <v>-4.0984721536155684E-2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155953094</v>
      </c>
      <c r="D216" s="448">
        <f>LN_IF23-LN_IF24</f>
        <v>167090028</v>
      </c>
      <c r="E216" s="448">
        <f>D216-C216</f>
        <v>11136934</v>
      </c>
      <c r="F216" s="449">
        <f>IF(C216=0,0,E216/C216)</f>
        <v>7.1412074710104828E-2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402608</v>
      </c>
      <c r="D221" s="448">
        <v>530516</v>
      </c>
      <c r="E221" s="448">
        <f t="shared" ref="E221:E230" si="24">D221-C221</f>
        <v>127908</v>
      </c>
      <c r="F221" s="449">
        <f t="shared" ref="F221:F230" si="25">IF(C221=0,0,E221/C221)</f>
        <v>0.31769860509478204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172823</v>
      </c>
      <c r="D222" s="448">
        <v>276423</v>
      </c>
      <c r="E222" s="448">
        <f t="shared" si="24"/>
        <v>103600</v>
      </c>
      <c r="F222" s="449">
        <f t="shared" si="25"/>
        <v>0.59945724816719992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0.42925873306044587</v>
      </c>
      <c r="D223" s="453">
        <f>IF(LN_IG1=0,0,LN_IG2/LN_IG1)</f>
        <v>0.52104554810787984</v>
      </c>
      <c r="E223" s="454">
        <f t="shared" si="24"/>
        <v>9.1786815047433967E-2</v>
      </c>
      <c r="F223" s="449">
        <f t="shared" si="25"/>
        <v>0.21382631960223636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21</v>
      </c>
      <c r="D224" s="456">
        <v>13</v>
      </c>
      <c r="E224" s="456">
        <f t="shared" si="24"/>
        <v>-8</v>
      </c>
      <c r="F224" s="449">
        <f t="shared" si="25"/>
        <v>-0.38095238095238093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1.2721</v>
      </c>
      <c r="D225" s="459">
        <v>1.4839</v>
      </c>
      <c r="E225" s="460">
        <f t="shared" si="24"/>
        <v>0.21179999999999999</v>
      </c>
      <c r="F225" s="449">
        <f t="shared" si="25"/>
        <v>0.16649634462699472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26.714100000000002</v>
      </c>
      <c r="D226" s="463">
        <f>LN_IG3*LN_IG4</f>
        <v>19.290700000000001</v>
      </c>
      <c r="E226" s="463">
        <f t="shared" si="24"/>
        <v>-7.4234000000000009</v>
      </c>
      <c r="F226" s="449">
        <f t="shared" si="25"/>
        <v>-0.27788321523090803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6469.3551345544111</v>
      </c>
      <c r="D227" s="465">
        <f>IF(LN_IG5=0,0,LN_IG2/LN_IG5)</f>
        <v>14329.340044684744</v>
      </c>
      <c r="E227" s="465">
        <f t="shared" si="24"/>
        <v>7859.9849101303334</v>
      </c>
      <c r="F227" s="449">
        <f t="shared" si="25"/>
        <v>1.2149564750508484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70</v>
      </c>
      <c r="D228" s="456">
        <v>83</v>
      </c>
      <c r="E228" s="456">
        <f t="shared" si="24"/>
        <v>13</v>
      </c>
      <c r="F228" s="449">
        <f t="shared" si="25"/>
        <v>0.18571428571428572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2468.9</v>
      </c>
      <c r="D229" s="465">
        <f>IF(LN_IG6=0,0,LN_IG2/LN_IG6)</f>
        <v>3330.397590361446</v>
      </c>
      <c r="E229" s="465">
        <f t="shared" si="24"/>
        <v>861.49759036144587</v>
      </c>
      <c r="F229" s="449">
        <f t="shared" si="25"/>
        <v>0.34893984785185544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3.3333333333333335</v>
      </c>
      <c r="D230" s="466">
        <f>IF(LN_IG3=0,0,LN_IG6/LN_IG3)</f>
        <v>6.384615384615385</v>
      </c>
      <c r="E230" s="466">
        <f t="shared" si="24"/>
        <v>3.0512820512820515</v>
      </c>
      <c r="F230" s="449">
        <f t="shared" si="25"/>
        <v>0.91538461538461546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625522</v>
      </c>
      <c r="D233" s="448">
        <v>957266</v>
      </c>
      <c r="E233" s="448">
        <f>D233-C233</f>
        <v>331744</v>
      </c>
      <c r="F233" s="449">
        <f>IF(C233=0,0,E233/C233)</f>
        <v>0.53034745380658077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122935</v>
      </c>
      <c r="D234" s="448">
        <v>283224</v>
      </c>
      <c r="E234" s="448">
        <f>D234-C234</f>
        <v>160289</v>
      </c>
      <c r="F234" s="449">
        <f>IF(C234=0,0,E234/C234)</f>
        <v>1.3038516289095863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1028130</v>
      </c>
      <c r="D237" s="448">
        <f>LN_IG1+LN_IG9</f>
        <v>1487782</v>
      </c>
      <c r="E237" s="448">
        <f>D237-C237</f>
        <v>459652</v>
      </c>
      <c r="F237" s="449">
        <f>IF(C237=0,0,E237/C237)</f>
        <v>0.44707575890208434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295758</v>
      </c>
      <c r="D238" s="448">
        <f>LN_IG2+LN_IG10</f>
        <v>559647</v>
      </c>
      <c r="E238" s="448">
        <f>D238-C238</f>
        <v>263889</v>
      </c>
      <c r="F238" s="449">
        <f>IF(C238=0,0,E238/C238)</f>
        <v>0.89224636358103582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732372</v>
      </c>
      <c r="D239" s="448">
        <f>LN_IG13-LN_IG14</f>
        <v>928135</v>
      </c>
      <c r="E239" s="448">
        <f>D239-C239</f>
        <v>195763</v>
      </c>
      <c r="F239" s="449">
        <f>IF(C239=0,0,E239/C239)</f>
        <v>0.26729995139082324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11666372</v>
      </c>
      <c r="D243" s="448">
        <v>11448697</v>
      </c>
      <c r="E243" s="441">
        <f>D243-C243</f>
        <v>-217675</v>
      </c>
      <c r="F243" s="503">
        <f>IF(C243=0,0,E243/C243)</f>
        <v>-1.865832839892299E-2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355106697</v>
      </c>
      <c r="D244" s="448">
        <v>366685881</v>
      </c>
      <c r="E244" s="441">
        <f>D244-C244</f>
        <v>11579184</v>
      </c>
      <c r="F244" s="503">
        <f>IF(C244=0,0,E244/C244)</f>
        <v>3.2607619337576166E-2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9706868</v>
      </c>
      <c r="D248" s="441">
        <v>10644417</v>
      </c>
      <c r="E248" s="441">
        <f>D248-C248</f>
        <v>937549</v>
      </c>
      <c r="F248" s="449">
        <f>IF(C248=0,0,E248/C248)</f>
        <v>9.6586149105973212E-2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5091859</v>
      </c>
      <c r="D249" s="441">
        <v>6729060</v>
      </c>
      <c r="E249" s="441">
        <f>D249-C249</f>
        <v>1637201</v>
      </c>
      <c r="F249" s="449">
        <f>IF(C249=0,0,E249/C249)</f>
        <v>0.32153305894762602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14798727</v>
      </c>
      <c r="D250" s="441">
        <f>LN_IH4+LN_IH5</f>
        <v>17373477</v>
      </c>
      <c r="E250" s="441">
        <f>D250-C250</f>
        <v>2574750</v>
      </c>
      <c r="F250" s="449">
        <f>IF(C250=0,0,E250/C250)</f>
        <v>0.17398455961786444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5631845.4733112846</v>
      </c>
      <c r="D251" s="441">
        <f>LN_IH6*LN_III10</f>
        <v>6684103.5878149718</v>
      </c>
      <c r="E251" s="441">
        <f>D251-C251</f>
        <v>1052258.1145036872</v>
      </c>
      <c r="F251" s="449">
        <f>IF(C251=0,0,E251/C251)</f>
        <v>0.18684072911627747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215823380</v>
      </c>
      <c r="D254" s="441">
        <f>LN_IF23</f>
        <v>224506547</v>
      </c>
      <c r="E254" s="441">
        <f>D254-C254</f>
        <v>8683167</v>
      </c>
      <c r="F254" s="449">
        <f>IF(C254=0,0,E254/C254)</f>
        <v>4.0232744941720404E-2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59870286</v>
      </c>
      <c r="D255" s="441">
        <f>LN_IF24</f>
        <v>57416519</v>
      </c>
      <c r="E255" s="441">
        <f>D255-C255</f>
        <v>-2453767</v>
      </c>
      <c r="F255" s="449">
        <f>IF(C255=0,0,E255/C255)</f>
        <v>-4.0984721536155684E-2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82134356.940819383</v>
      </c>
      <c r="D256" s="441">
        <f>LN_IH8*LN_III10</f>
        <v>86374478.539364949</v>
      </c>
      <c r="E256" s="441">
        <f>D256-C256</f>
        <v>4240121.5985455662</v>
      </c>
      <c r="F256" s="449">
        <f>IF(C256=0,0,E256/C256)</f>
        <v>5.162421374529929E-2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22264070.940819383</v>
      </c>
      <c r="D257" s="441">
        <f>LN_IH10-LN_IH9</f>
        <v>28957959.539364949</v>
      </c>
      <c r="E257" s="441">
        <f>D257-C257</f>
        <v>6693888.5985455662</v>
      </c>
      <c r="F257" s="449">
        <f>IF(C257=0,0,E257/C257)</f>
        <v>0.30065878860783091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379307096</v>
      </c>
      <c r="D261" s="448">
        <f>LN_IA1+LN_IB1+LN_IF1+LN_IG1</f>
        <v>372208587</v>
      </c>
      <c r="E261" s="448">
        <f t="shared" ref="E261:E274" si="26">D261-C261</f>
        <v>-7098509</v>
      </c>
      <c r="F261" s="503">
        <f t="shared" ref="F261:F274" si="27">IF(C261=0,0,E261/C261)</f>
        <v>-1.8714411290634014E-2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170321303</v>
      </c>
      <c r="D262" s="448">
        <f>+LN_IA2+LN_IB2+LN_IF2+LN_IG2</f>
        <v>160229949</v>
      </c>
      <c r="E262" s="448">
        <f t="shared" si="26"/>
        <v>-10091354</v>
      </c>
      <c r="F262" s="503">
        <f t="shared" si="27"/>
        <v>-5.9248924369724905E-2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0.44903273573347546</v>
      </c>
      <c r="D263" s="453">
        <f>IF(LN_IIA1=0,0,LN_IIA2/LN_IIA1)</f>
        <v>0.43048428917627307</v>
      </c>
      <c r="E263" s="454">
        <f t="shared" si="26"/>
        <v>-1.8548446557202392E-2</v>
      </c>
      <c r="F263" s="458">
        <f t="shared" si="27"/>
        <v>-4.1307559741505948E-2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15230</v>
      </c>
      <c r="D264" s="456">
        <f>LN_IA4+LN_IB4+LN_IF4+LN_IG3</f>
        <v>13940</v>
      </c>
      <c r="E264" s="456">
        <f t="shared" si="26"/>
        <v>-1290</v>
      </c>
      <c r="F264" s="503">
        <f t="shared" si="27"/>
        <v>-8.4701247537754432E-2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1.3075041470781352</v>
      </c>
      <c r="D265" s="525">
        <f>IF(LN_IIA4=0,0,LN_IIA6/LN_IIA4)</f>
        <v>1.3959389741750359</v>
      </c>
      <c r="E265" s="525">
        <f t="shared" si="26"/>
        <v>8.8434827096900648E-2</v>
      </c>
      <c r="F265" s="503">
        <f t="shared" si="27"/>
        <v>6.7636364515190991E-2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19913.28816</v>
      </c>
      <c r="D266" s="463">
        <f>LN_IA6+LN_IB6+LN_IF6+LN_IG5</f>
        <v>19459.389299999999</v>
      </c>
      <c r="E266" s="463">
        <f t="shared" si="26"/>
        <v>-453.89886000000115</v>
      </c>
      <c r="F266" s="503">
        <f t="shared" si="27"/>
        <v>-2.2793767475918509E-2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473138442</v>
      </c>
      <c r="D267" s="448">
        <f>LN_IA11+LN_IB13+LN_IF14+LN_IG9</f>
        <v>520031015</v>
      </c>
      <c r="E267" s="448">
        <f t="shared" si="26"/>
        <v>46892573</v>
      </c>
      <c r="F267" s="503">
        <f t="shared" si="27"/>
        <v>9.9109623817039152E-2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1.2473756673405341</v>
      </c>
      <c r="D268" s="453">
        <f>IF(LN_IIA1=0,0,LN_IIA7/LN_IIA1)</f>
        <v>1.3971494295482227</v>
      </c>
      <c r="E268" s="454">
        <f t="shared" si="26"/>
        <v>0.14977376220768868</v>
      </c>
      <c r="F268" s="458">
        <f t="shared" si="27"/>
        <v>0.12007109496292617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173416513</v>
      </c>
      <c r="D269" s="448">
        <f>LN_IA12+LN_IB14+LN_IF15+LN_IG10</f>
        <v>204363502</v>
      </c>
      <c r="E269" s="448">
        <f t="shared" si="26"/>
        <v>30946989</v>
      </c>
      <c r="F269" s="503">
        <f t="shared" si="27"/>
        <v>0.17845468383971025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0.36652382813569817</v>
      </c>
      <c r="D270" s="453">
        <f>IF(LN_IIA7=0,0,LN_IIA9/LN_IIA7)</f>
        <v>0.3929832954290236</v>
      </c>
      <c r="E270" s="454">
        <f t="shared" si="26"/>
        <v>2.6459467293325434E-2</v>
      </c>
      <c r="F270" s="458">
        <f t="shared" si="27"/>
        <v>7.219030595612283E-2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852445538</v>
      </c>
      <c r="D271" s="441">
        <f>LN_IIA1+LN_IIA7</f>
        <v>892239602</v>
      </c>
      <c r="E271" s="441">
        <f t="shared" si="26"/>
        <v>39794064</v>
      </c>
      <c r="F271" s="503">
        <f t="shared" si="27"/>
        <v>4.6682236255660946E-2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343737816</v>
      </c>
      <c r="D272" s="441">
        <f>LN_IIA2+LN_IIA9</f>
        <v>364593451</v>
      </c>
      <c r="E272" s="441">
        <f t="shared" si="26"/>
        <v>20855635</v>
      </c>
      <c r="F272" s="503">
        <f t="shared" si="27"/>
        <v>6.0673088700837034E-2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0.40323727520056535</v>
      </c>
      <c r="D273" s="453">
        <f>IF(LN_IIA11=0,0,LN_IIA12/LN_IIA11)</f>
        <v>0.408627290452862</v>
      </c>
      <c r="E273" s="454">
        <f t="shared" si="26"/>
        <v>5.3900152522966538E-3</v>
      </c>
      <c r="F273" s="458">
        <f t="shared" si="27"/>
        <v>1.3366857638882033E-2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69007</v>
      </c>
      <c r="D274" s="508">
        <f>LN_IA8+LN_IB10+LN_IF11+LN_IG6</f>
        <v>65105</v>
      </c>
      <c r="E274" s="528">
        <f t="shared" si="26"/>
        <v>-3902</v>
      </c>
      <c r="F274" s="458">
        <f t="shared" si="27"/>
        <v>-5.6544988189603955E-2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293946012</v>
      </c>
      <c r="D277" s="448">
        <f>LN_IA1+LN_IF1+LN_IG1</f>
        <v>287606147</v>
      </c>
      <c r="E277" s="448">
        <f t="shared" ref="E277:E291" si="28">D277-C277</f>
        <v>-6339865</v>
      </c>
      <c r="F277" s="503">
        <f t="shared" ref="F277:F291" si="29">IF(C277=0,0,E277/C277)</f>
        <v>-2.1568127279100489E-2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114746104</v>
      </c>
      <c r="D278" s="448">
        <f>LN_IA2+LN_IF2+LN_IG2</f>
        <v>106067952</v>
      </c>
      <c r="E278" s="448">
        <f t="shared" si="28"/>
        <v>-8678152</v>
      </c>
      <c r="F278" s="503">
        <f t="shared" si="29"/>
        <v>-7.562916471656414E-2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0.39036455442708984</v>
      </c>
      <c r="D279" s="453">
        <f>IF(D277=0,0,LN_IIB2/D277)</f>
        <v>0.36879584496502432</v>
      </c>
      <c r="E279" s="454">
        <f t="shared" si="28"/>
        <v>-2.1568709462065516E-2</v>
      </c>
      <c r="F279" s="458">
        <f t="shared" si="29"/>
        <v>-5.5252735468568272E-2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11124</v>
      </c>
      <c r="D280" s="456">
        <f>LN_IA4+LN_IF4+LN_IG3</f>
        <v>10323</v>
      </c>
      <c r="E280" s="456">
        <f t="shared" si="28"/>
        <v>-801</v>
      </c>
      <c r="F280" s="503">
        <f t="shared" si="29"/>
        <v>-7.200647249190939E-2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1.3574169795037756</v>
      </c>
      <c r="D281" s="525">
        <f>IF(LN_IIB4=0,0,LN_IIB6/LN_IIB4)</f>
        <v>1.4514182020730406</v>
      </c>
      <c r="E281" s="525">
        <f t="shared" si="28"/>
        <v>9.4001222569265019E-2</v>
      </c>
      <c r="F281" s="503">
        <f t="shared" si="29"/>
        <v>6.9250071266699936E-2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15099.90648</v>
      </c>
      <c r="D282" s="463">
        <f>LN_IA6+LN_IF6+LN_IG5</f>
        <v>14982.990099999999</v>
      </c>
      <c r="E282" s="463">
        <f t="shared" si="28"/>
        <v>-116.91638000000057</v>
      </c>
      <c r="F282" s="503">
        <f t="shared" si="29"/>
        <v>-7.7428545769377887E-3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305886744</v>
      </c>
      <c r="D283" s="448">
        <f>LN_IA11+LN_IF14+LN_IG9</f>
        <v>336126624</v>
      </c>
      <c r="E283" s="448">
        <f t="shared" si="28"/>
        <v>30239880</v>
      </c>
      <c r="F283" s="503">
        <f t="shared" si="29"/>
        <v>9.8859726984442314E-2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1.0406221942551819</v>
      </c>
      <c r="D284" s="453">
        <f>IF(D277=0,0,LN_IIB7/D277)</f>
        <v>1.1687045896136565</v>
      </c>
      <c r="E284" s="454">
        <f t="shared" si="28"/>
        <v>0.12808239535847465</v>
      </c>
      <c r="F284" s="458">
        <f t="shared" si="29"/>
        <v>0.12308251358231768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73532477</v>
      </c>
      <c r="D285" s="448">
        <f>LN_IA12+LN_IF15+LN_IG10</f>
        <v>88550806</v>
      </c>
      <c r="E285" s="448">
        <f t="shared" si="28"/>
        <v>15018329</v>
      </c>
      <c r="F285" s="503">
        <f t="shared" si="29"/>
        <v>0.20424076017458245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0.24039118543822874</v>
      </c>
      <c r="D286" s="453">
        <f>IF(LN_IIB7=0,0,LN_IIB9/LN_IIB7)</f>
        <v>0.26344478442743052</v>
      </c>
      <c r="E286" s="454">
        <f t="shared" si="28"/>
        <v>2.3053598989201785E-2</v>
      </c>
      <c r="F286" s="458">
        <f t="shared" si="29"/>
        <v>9.5900350702025516E-2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599832756</v>
      </c>
      <c r="D287" s="441">
        <f>D277+LN_IIB7</f>
        <v>623732771</v>
      </c>
      <c r="E287" s="441">
        <f t="shared" si="28"/>
        <v>23900015</v>
      </c>
      <c r="F287" s="503">
        <f t="shared" si="29"/>
        <v>3.9844464579390192E-2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188278581</v>
      </c>
      <c r="D288" s="441">
        <f>LN_IIB2+LN_IIB9</f>
        <v>194618758</v>
      </c>
      <c r="E288" s="441">
        <f t="shared" si="28"/>
        <v>6340177</v>
      </c>
      <c r="F288" s="503">
        <f t="shared" si="29"/>
        <v>3.367444648417018E-2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0.31388512734039486</v>
      </c>
      <c r="D289" s="453">
        <f>IF(LN_IIB11=0,0,LN_IIB12/LN_IIB11)</f>
        <v>0.31202265946036045</v>
      </c>
      <c r="E289" s="454">
        <f t="shared" si="28"/>
        <v>-1.862467880034413E-3</v>
      </c>
      <c r="F289" s="458">
        <f t="shared" si="29"/>
        <v>-5.9335970959039641E-3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53547</v>
      </c>
      <c r="D290" s="508">
        <f>LN_IA8+LN_IF11+LN_IG6</f>
        <v>51236</v>
      </c>
      <c r="E290" s="528">
        <f t="shared" si="28"/>
        <v>-2311</v>
      </c>
      <c r="F290" s="458">
        <f t="shared" si="29"/>
        <v>-4.3158346872840682E-2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411554175</v>
      </c>
      <c r="D291" s="516">
        <f>LN_IIB11-LN_IIB12</f>
        <v>429114013</v>
      </c>
      <c r="E291" s="441">
        <f t="shared" si="28"/>
        <v>17559838</v>
      </c>
      <c r="F291" s="503">
        <f t="shared" si="29"/>
        <v>4.2667136106686321E-2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5.0505050505050502</v>
      </c>
      <c r="D294" s="466">
        <f>IF(LN_IA4=0,0,LN_IA8/LN_IA4)</f>
        <v>5.1825642613812324</v>
      </c>
      <c r="E294" s="466">
        <f t="shared" ref="E294:E300" si="30">D294-C294</f>
        <v>0.13205921087618222</v>
      </c>
      <c r="F294" s="503">
        <f t="shared" ref="F294:F300" si="31">IF(C294=0,0,E294/C294)</f>
        <v>2.6147723753484082E-2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3.7652216268874819</v>
      </c>
      <c r="D295" s="466">
        <f>IF(LN_IB4=0,0,(LN_IB10)/(LN_IB4))</f>
        <v>3.8343931434890792</v>
      </c>
      <c r="E295" s="466">
        <f t="shared" si="30"/>
        <v>6.9171516601597371E-2</v>
      </c>
      <c r="F295" s="503">
        <f t="shared" si="31"/>
        <v>1.8371167345805874E-2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3.4508196721311477</v>
      </c>
      <c r="D296" s="466">
        <f>IF(LN_IC4=0,0,LN_IC11/LN_IC4)</f>
        <v>3.3846153846153846</v>
      </c>
      <c r="E296" s="466">
        <f t="shared" si="30"/>
        <v>-6.6204287515763127E-2</v>
      </c>
      <c r="F296" s="503">
        <f t="shared" si="31"/>
        <v>-1.9185090443997865E-2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4.4126165930289645</v>
      </c>
      <c r="D297" s="466">
        <f>IF(LN_ID4=0,0,LN_ID11/LN_ID4)</f>
        <v>4.5908618899273108</v>
      </c>
      <c r="E297" s="466">
        <f t="shared" si="30"/>
        <v>0.17824529689834634</v>
      </c>
      <c r="F297" s="503">
        <f t="shared" si="31"/>
        <v>4.0394467350718305E-2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3.3333333333333335</v>
      </c>
      <c r="D299" s="466">
        <f>IF(LN_IG3=0,0,LN_IG6/LN_IG3)</f>
        <v>6.384615384615385</v>
      </c>
      <c r="E299" s="466">
        <f t="shared" si="30"/>
        <v>3.0512820512820515</v>
      </c>
      <c r="F299" s="503">
        <f t="shared" si="31"/>
        <v>0.91538461538461546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4.5309914642153641</v>
      </c>
      <c r="D300" s="466">
        <f>IF(LN_IIA4=0,0,LN_IIA14/LN_IIA4)</f>
        <v>4.670373027259684</v>
      </c>
      <c r="E300" s="466">
        <f t="shared" si="30"/>
        <v>0.13938156304431981</v>
      </c>
      <c r="F300" s="503">
        <f t="shared" si="31"/>
        <v>3.0761824237613443E-2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852445538</v>
      </c>
      <c r="D304" s="441">
        <f>LN_IIA11</f>
        <v>892239602</v>
      </c>
      <c r="E304" s="441">
        <f t="shared" ref="E304:E316" si="32">D304-C304</f>
        <v>39794064</v>
      </c>
      <c r="F304" s="449">
        <f>IF(C304=0,0,E304/C304)</f>
        <v>4.6682236255660946E-2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411554175</v>
      </c>
      <c r="D305" s="441">
        <f>LN_IIB14</f>
        <v>429114013</v>
      </c>
      <c r="E305" s="441">
        <f t="shared" si="32"/>
        <v>17559838</v>
      </c>
      <c r="F305" s="449">
        <f>IF(C305=0,0,E305/C305)</f>
        <v>4.2667136106686321E-2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14798727</v>
      </c>
      <c r="D306" s="441">
        <f>LN_IH6</f>
        <v>17373477</v>
      </c>
      <c r="E306" s="441">
        <f t="shared" si="32"/>
        <v>2574750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97153547</v>
      </c>
      <c r="D307" s="441">
        <f>LN_IB32-LN_IB33</f>
        <v>98532138</v>
      </c>
      <c r="E307" s="441">
        <f t="shared" si="32"/>
        <v>1378591</v>
      </c>
      <c r="F307" s="449">
        <f t="shared" ref="F307:F316" si="33">IF(C307=0,0,E307/C307)</f>
        <v>1.418981645621235E-2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4530000</v>
      </c>
      <c r="D308" s="441">
        <v>3948335</v>
      </c>
      <c r="E308" s="441">
        <f t="shared" si="32"/>
        <v>-581665</v>
      </c>
      <c r="F308" s="449">
        <f t="shared" si="33"/>
        <v>-0.12840286975717438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528036449</v>
      </c>
      <c r="D309" s="441">
        <f>LN_III2+LN_III3+LN_III4+LN_III5</f>
        <v>548967963</v>
      </c>
      <c r="E309" s="441">
        <f t="shared" si="32"/>
        <v>20931514</v>
      </c>
      <c r="F309" s="449">
        <f t="shared" si="33"/>
        <v>3.9640282483605599E-2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324409089</v>
      </c>
      <c r="D310" s="441">
        <f>LN_III1-LN_III6</f>
        <v>343271639</v>
      </c>
      <c r="E310" s="441">
        <f t="shared" si="32"/>
        <v>18862550</v>
      </c>
      <c r="F310" s="449">
        <f t="shared" si="33"/>
        <v>5.8144332694698327E-2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324409089</v>
      </c>
      <c r="D312" s="441">
        <f>LN_III7+LN_III8</f>
        <v>343271639</v>
      </c>
      <c r="E312" s="441">
        <f t="shared" si="32"/>
        <v>18862550</v>
      </c>
      <c r="F312" s="449">
        <f t="shared" si="33"/>
        <v>5.8144332694698327E-2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0.38056283309444688</v>
      </c>
      <c r="D313" s="532">
        <f>IF(LN_III1=0,0,LN_III9/LN_III1)</f>
        <v>0.38473033278341301</v>
      </c>
      <c r="E313" s="532">
        <f t="shared" si="32"/>
        <v>4.1674996889661253E-3</v>
      </c>
      <c r="F313" s="449">
        <f t="shared" si="33"/>
        <v>1.0950884654392534E-2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5631845.4733112846</v>
      </c>
      <c r="D314" s="441">
        <f>D313*LN_III5</f>
        <v>6684103.5878149718</v>
      </c>
      <c r="E314" s="441">
        <f t="shared" si="32"/>
        <v>1052258.1145036872</v>
      </c>
      <c r="F314" s="449">
        <f t="shared" si="33"/>
        <v>0.18684072911627747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22264070.940819383</v>
      </c>
      <c r="D315" s="441">
        <f>D313*LN_IH8-LN_IH9</f>
        <v>28957959.539364949</v>
      </c>
      <c r="E315" s="441">
        <f t="shared" si="32"/>
        <v>6693888.5985455662</v>
      </c>
      <c r="F315" s="449">
        <f t="shared" si="33"/>
        <v>0.30065878860783091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27895916.414130665</v>
      </c>
      <c r="D318" s="441">
        <f>D314+D315+D316</f>
        <v>35642063.127179921</v>
      </c>
      <c r="E318" s="441">
        <f>D318-C318</f>
        <v>7746146.7130492553</v>
      </c>
      <c r="F318" s="449">
        <f>IF(C318=0,0,E318/C318)</f>
        <v>0.27768030983651243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15548108.691065976</v>
      </c>
      <c r="D322" s="441">
        <f>LN_ID22</f>
        <v>29960583.434916489</v>
      </c>
      <c r="E322" s="441">
        <f>LN_IV2-C322</f>
        <v>14412474.743850512</v>
      </c>
      <c r="F322" s="449">
        <f>IF(C322=0,0,E322/C322)</f>
        <v>0.92695999431313436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2442858.2476137625</v>
      </c>
      <c r="D324" s="441">
        <f>LN_IC10+LN_IC22</f>
        <v>4013012.313262478</v>
      </c>
      <c r="E324" s="441">
        <f>LN_IV1-C324</f>
        <v>1570154.0656487155</v>
      </c>
      <c r="F324" s="449">
        <f>IF(C324=0,0,E324/C324)</f>
        <v>0.64275283561069352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17990966.93867974</v>
      </c>
      <c r="D325" s="516">
        <f>LN_IV1+LN_IV2+LN_IV3</f>
        <v>33973595.748178966</v>
      </c>
      <c r="E325" s="441">
        <f>LN_IV4-C325</f>
        <v>15982628.809499227</v>
      </c>
      <c r="F325" s="449">
        <f>IF(C325=0,0,E325/C325)</f>
        <v>0.88836963927365797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8172977</v>
      </c>
      <c r="D329" s="518">
        <v>7464972</v>
      </c>
      <c r="E329" s="518">
        <f t="shared" ref="E329:E335" si="34">D329-C329</f>
        <v>-708005</v>
      </c>
      <c r="F329" s="542">
        <f t="shared" ref="F329:F335" si="35">IF(C329=0,0,E329/C329)</f>
        <v>-8.6627553215921194E-2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-4585956</v>
      </c>
      <c r="D330" s="516">
        <v>-6199707</v>
      </c>
      <c r="E330" s="518">
        <f t="shared" si="34"/>
        <v>-1613751</v>
      </c>
      <c r="F330" s="543">
        <f t="shared" si="35"/>
        <v>0.35188976954859574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339152000</v>
      </c>
      <c r="D331" s="516">
        <v>358393744</v>
      </c>
      <c r="E331" s="518">
        <f t="shared" si="34"/>
        <v>19241744</v>
      </c>
      <c r="F331" s="542">
        <f t="shared" si="35"/>
        <v>5.6734868141718166E-2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10197577</v>
      </c>
      <c r="D332" s="516">
        <v>10075774</v>
      </c>
      <c r="E332" s="518">
        <f t="shared" si="34"/>
        <v>-121803</v>
      </c>
      <c r="F332" s="543">
        <f t="shared" si="35"/>
        <v>-1.194430794687797E-2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862643115</v>
      </c>
      <c r="D333" s="516">
        <v>902315375</v>
      </c>
      <c r="E333" s="518">
        <f t="shared" si="34"/>
        <v>39672260</v>
      </c>
      <c r="F333" s="542">
        <f t="shared" si="35"/>
        <v>4.5989192181751778E-2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14798727</v>
      </c>
      <c r="D335" s="516">
        <v>17373477</v>
      </c>
      <c r="E335" s="516">
        <f t="shared" si="34"/>
        <v>2574750</v>
      </c>
      <c r="F335" s="542">
        <f t="shared" si="35"/>
        <v>0.17398455961786444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FILING&amp;RTHE HOSPITAL OF CENTRAL CONNECTICUT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85361084</v>
      </c>
      <c r="D14" s="589">
        <v>84602440</v>
      </c>
      <c r="E14" s="590">
        <f t="shared" ref="E14:E22" si="0">D14-C14</f>
        <v>-758644</v>
      </c>
    </row>
    <row r="15" spans="1:5" s="421" customFormat="1" x14ac:dyDescent="0.2">
      <c r="A15" s="588">
        <v>2</v>
      </c>
      <c r="B15" s="587" t="s">
        <v>636</v>
      </c>
      <c r="C15" s="589">
        <v>214831594</v>
      </c>
      <c r="D15" s="591">
        <v>210370343</v>
      </c>
      <c r="E15" s="590">
        <f t="shared" si="0"/>
        <v>-4461251</v>
      </c>
    </row>
    <row r="16" spans="1:5" s="421" customFormat="1" x14ac:dyDescent="0.2">
      <c r="A16" s="588">
        <v>3</v>
      </c>
      <c r="B16" s="587" t="s">
        <v>778</v>
      </c>
      <c r="C16" s="589">
        <v>78711810</v>
      </c>
      <c r="D16" s="591">
        <v>76705288</v>
      </c>
      <c r="E16" s="590">
        <f t="shared" si="0"/>
        <v>-2006522</v>
      </c>
    </row>
    <row r="17" spans="1:5" s="421" customFormat="1" x14ac:dyDescent="0.2">
      <c r="A17" s="588">
        <v>4</v>
      </c>
      <c r="B17" s="587" t="s">
        <v>115</v>
      </c>
      <c r="C17" s="589">
        <v>78711810</v>
      </c>
      <c r="D17" s="591">
        <v>76705288</v>
      </c>
      <c r="E17" s="590">
        <f t="shared" si="0"/>
        <v>-2006522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402608</v>
      </c>
      <c r="D19" s="591">
        <v>530516</v>
      </c>
      <c r="E19" s="590">
        <f t="shared" si="0"/>
        <v>127908</v>
      </c>
    </row>
    <row r="20" spans="1:5" s="421" customFormat="1" x14ac:dyDescent="0.2">
      <c r="A20" s="588">
        <v>7</v>
      </c>
      <c r="B20" s="587" t="s">
        <v>759</v>
      </c>
      <c r="C20" s="589">
        <v>2926166</v>
      </c>
      <c r="D20" s="591">
        <v>3650600</v>
      </c>
      <c r="E20" s="590">
        <f t="shared" si="0"/>
        <v>724434</v>
      </c>
    </row>
    <row r="21" spans="1:5" s="421" customFormat="1" x14ac:dyDescent="0.2">
      <c r="A21" s="588"/>
      <c r="B21" s="592" t="s">
        <v>779</v>
      </c>
      <c r="C21" s="593">
        <f>SUM(C15+C16+C19)</f>
        <v>293946012</v>
      </c>
      <c r="D21" s="593">
        <f>SUM(D15+D16+D19)</f>
        <v>287606147</v>
      </c>
      <c r="E21" s="593">
        <f t="shared" si="0"/>
        <v>-6339865</v>
      </c>
    </row>
    <row r="22" spans="1:5" s="421" customFormat="1" x14ac:dyDescent="0.2">
      <c r="A22" s="588"/>
      <c r="B22" s="592" t="s">
        <v>465</v>
      </c>
      <c r="C22" s="593">
        <f>SUM(C14+C21)</f>
        <v>379307096</v>
      </c>
      <c r="D22" s="593">
        <f>SUM(D14+D21)</f>
        <v>372208587</v>
      </c>
      <c r="E22" s="593">
        <f t="shared" si="0"/>
        <v>-7098509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167251698</v>
      </c>
      <c r="D25" s="589">
        <v>183904391</v>
      </c>
      <c r="E25" s="590">
        <f t="shared" ref="E25:E33" si="1">D25-C25</f>
        <v>16652693</v>
      </c>
    </row>
    <row r="26" spans="1:5" s="421" customFormat="1" x14ac:dyDescent="0.2">
      <c r="A26" s="588">
        <v>2</v>
      </c>
      <c r="B26" s="587" t="s">
        <v>636</v>
      </c>
      <c r="C26" s="589">
        <v>168149652</v>
      </c>
      <c r="D26" s="591">
        <v>187368099</v>
      </c>
      <c r="E26" s="590">
        <f t="shared" si="1"/>
        <v>19218447</v>
      </c>
    </row>
    <row r="27" spans="1:5" s="421" customFormat="1" x14ac:dyDescent="0.2">
      <c r="A27" s="588">
        <v>3</v>
      </c>
      <c r="B27" s="587" t="s">
        <v>778</v>
      </c>
      <c r="C27" s="589">
        <v>137111570</v>
      </c>
      <c r="D27" s="591">
        <v>147801259</v>
      </c>
      <c r="E27" s="590">
        <f t="shared" si="1"/>
        <v>10689689</v>
      </c>
    </row>
    <row r="28" spans="1:5" s="421" customFormat="1" x14ac:dyDescent="0.2">
      <c r="A28" s="588">
        <v>4</v>
      </c>
      <c r="B28" s="587" t="s">
        <v>115</v>
      </c>
      <c r="C28" s="589">
        <v>137111570</v>
      </c>
      <c r="D28" s="591">
        <v>147801259</v>
      </c>
      <c r="E28" s="590">
        <f t="shared" si="1"/>
        <v>10689689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625522</v>
      </c>
      <c r="D30" s="591">
        <v>957266</v>
      </c>
      <c r="E30" s="590">
        <f t="shared" si="1"/>
        <v>331744</v>
      </c>
    </row>
    <row r="31" spans="1:5" s="421" customFormat="1" x14ac:dyDescent="0.2">
      <c r="A31" s="588">
        <v>7</v>
      </c>
      <c r="B31" s="587" t="s">
        <v>759</v>
      </c>
      <c r="C31" s="590">
        <v>9644692</v>
      </c>
      <c r="D31" s="594">
        <v>10877420</v>
      </c>
      <c r="E31" s="590">
        <f t="shared" si="1"/>
        <v>1232728</v>
      </c>
    </row>
    <row r="32" spans="1:5" s="421" customFormat="1" x14ac:dyDescent="0.2">
      <c r="A32" s="588"/>
      <c r="B32" s="592" t="s">
        <v>781</v>
      </c>
      <c r="C32" s="593">
        <f>SUM(C26+C27+C30)</f>
        <v>305886744</v>
      </c>
      <c r="D32" s="593">
        <f>SUM(D26+D27+D30)</f>
        <v>336126624</v>
      </c>
      <c r="E32" s="593">
        <f t="shared" si="1"/>
        <v>30239880</v>
      </c>
    </row>
    <row r="33" spans="1:5" s="421" customFormat="1" x14ac:dyDescent="0.2">
      <c r="A33" s="588"/>
      <c r="B33" s="592" t="s">
        <v>467</v>
      </c>
      <c r="C33" s="593">
        <f>SUM(C25+C32)</f>
        <v>473138442</v>
      </c>
      <c r="D33" s="593">
        <f>SUM(D25+D32)</f>
        <v>520031015</v>
      </c>
      <c r="E33" s="593">
        <f t="shared" si="1"/>
        <v>46892573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252612782</v>
      </c>
      <c r="D36" s="590">
        <f t="shared" si="2"/>
        <v>268506831</v>
      </c>
      <c r="E36" s="590">
        <f t="shared" ref="E36:E44" si="3">D36-C36</f>
        <v>15894049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382981246</v>
      </c>
      <c r="D37" s="590">
        <f t="shared" si="2"/>
        <v>397738442</v>
      </c>
      <c r="E37" s="590">
        <f t="shared" si="3"/>
        <v>14757196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215823380</v>
      </c>
      <c r="D38" s="590">
        <f t="shared" si="2"/>
        <v>224506547</v>
      </c>
      <c r="E38" s="590">
        <f t="shared" si="3"/>
        <v>8683167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215823380</v>
      </c>
      <c r="D39" s="590">
        <f t="shared" si="2"/>
        <v>224506547</v>
      </c>
      <c r="E39" s="590">
        <f t="shared" si="3"/>
        <v>8683167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1028130</v>
      </c>
      <c r="D41" s="590">
        <f t="shared" si="2"/>
        <v>1487782</v>
      </c>
      <c r="E41" s="590">
        <f t="shared" si="3"/>
        <v>459652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12570858</v>
      </c>
      <c r="D42" s="590">
        <f t="shared" si="2"/>
        <v>14528020</v>
      </c>
      <c r="E42" s="590">
        <f t="shared" si="3"/>
        <v>1957162</v>
      </c>
    </row>
    <row r="43" spans="1:5" s="421" customFormat="1" x14ac:dyDescent="0.2">
      <c r="A43" s="588"/>
      <c r="B43" s="592" t="s">
        <v>789</v>
      </c>
      <c r="C43" s="593">
        <f>SUM(C37+C38+C41)</f>
        <v>599832756</v>
      </c>
      <c r="D43" s="593">
        <f>SUM(D37+D38+D41)</f>
        <v>623732771</v>
      </c>
      <c r="E43" s="593">
        <f t="shared" si="3"/>
        <v>23900015</v>
      </c>
    </row>
    <row r="44" spans="1:5" s="421" customFormat="1" x14ac:dyDescent="0.2">
      <c r="A44" s="588"/>
      <c r="B44" s="592" t="s">
        <v>726</v>
      </c>
      <c r="C44" s="593">
        <f>SUM(C36+C43)</f>
        <v>852445538</v>
      </c>
      <c r="D44" s="593">
        <f>SUM(D36+D43)</f>
        <v>892239602</v>
      </c>
      <c r="E44" s="593">
        <f t="shared" si="3"/>
        <v>39794064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55575199</v>
      </c>
      <c r="D47" s="589">
        <v>54161997</v>
      </c>
      <c r="E47" s="590">
        <f t="shared" ref="E47:E55" si="4">D47-C47</f>
        <v>-1413202</v>
      </c>
    </row>
    <row r="48" spans="1:5" s="421" customFormat="1" x14ac:dyDescent="0.2">
      <c r="A48" s="588">
        <v>2</v>
      </c>
      <c r="B48" s="587" t="s">
        <v>636</v>
      </c>
      <c r="C48" s="589">
        <v>89265099</v>
      </c>
      <c r="D48" s="591">
        <v>85023962</v>
      </c>
      <c r="E48" s="590">
        <f t="shared" si="4"/>
        <v>-4241137</v>
      </c>
    </row>
    <row r="49" spans="1:5" s="421" customFormat="1" x14ac:dyDescent="0.2">
      <c r="A49" s="588">
        <v>3</v>
      </c>
      <c r="B49" s="587" t="s">
        <v>778</v>
      </c>
      <c r="C49" s="589">
        <v>25308182</v>
      </c>
      <c r="D49" s="591">
        <v>20767567</v>
      </c>
      <c r="E49" s="590">
        <f t="shared" si="4"/>
        <v>-4540615</v>
      </c>
    </row>
    <row r="50" spans="1:5" s="421" customFormat="1" x14ac:dyDescent="0.2">
      <c r="A50" s="588">
        <v>4</v>
      </c>
      <c r="B50" s="587" t="s">
        <v>115</v>
      </c>
      <c r="C50" s="589">
        <v>25308182</v>
      </c>
      <c r="D50" s="591">
        <v>20767567</v>
      </c>
      <c r="E50" s="590">
        <f t="shared" si="4"/>
        <v>-4540615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172823</v>
      </c>
      <c r="D52" s="591">
        <v>276423</v>
      </c>
      <c r="E52" s="590">
        <f t="shared" si="4"/>
        <v>103600</v>
      </c>
    </row>
    <row r="53" spans="1:5" s="421" customFormat="1" x14ac:dyDescent="0.2">
      <c r="A53" s="588">
        <v>7</v>
      </c>
      <c r="B53" s="587" t="s">
        <v>759</v>
      </c>
      <c r="C53" s="589">
        <v>418873</v>
      </c>
      <c r="D53" s="591">
        <v>461496</v>
      </c>
      <c r="E53" s="590">
        <f t="shared" si="4"/>
        <v>42623</v>
      </c>
    </row>
    <row r="54" spans="1:5" s="421" customFormat="1" x14ac:dyDescent="0.2">
      <c r="A54" s="588"/>
      <c r="B54" s="592" t="s">
        <v>791</v>
      </c>
      <c r="C54" s="593">
        <f>SUM(C48+C49+C52)</f>
        <v>114746104</v>
      </c>
      <c r="D54" s="593">
        <f>SUM(D48+D49+D52)</f>
        <v>106067952</v>
      </c>
      <c r="E54" s="593">
        <f t="shared" si="4"/>
        <v>-8678152</v>
      </c>
    </row>
    <row r="55" spans="1:5" s="421" customFormat="1" x14ac:dyDescent="0.2">
      <c r="A55" s="588"/>
      <c r="B55" s="592" t="s">
        <v>466</v>
      </c>
      <c r="C55" s="593">
        <f>SUM(C47+C54)</f>
        <v>170321303</v>
      </c>
      <c r="D55" s="593">
        <f>SUM(D47+D54)</f>
        <v>160229949</v>
      </c>
      <c r="E55" s="593">
        <f t="shared" si="4"/>
        <v>-10091354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99884036</v>
      </c>
      <c r="D58" s="589">
        <v>115812696</v>
      </c>
      <c r="E58" s="590">
        <f t="shared" ref="E58:E66" si="5">D58-C58</f>
        <v>15928660</v>
      </c>
    </row>
    <row r="59" spans="1:5" s="421" customFormat="1" x14ac:dyDescent="0.2">
      <c r="A59" s="588">
        <v>2</v>
      </c>
      <c r="B59" s="587" t="s">
        <v>636</v>
      </c>
      <c r="C59" s="589">
        <v>38847438</v>
      </c>
      <c r="D59" s="591">
        <v>51618630</v>
      </c>
      <c r="E59" s="590">
        <f t="shared" si="5"/>
        <v>12771192</v>
      </c>
    </row>
    <row r="60" spans="1:5" s="421" customFormat="1" x14ac:dyDescent="0.2">
      <c r="A60" s="588">
        <v>3</v>
      </c>
      <c r="B60" s="587" t="s">
        <v>778</v>
      </c>
      <c r="C60" s="589">
        <f>C61+C62</f>
        <v>34562104</v>
      </c>
      <c r="D60" s="591">
        <f>D61+D62</f>
        <v>36648952</v>
      </c>
      <c r="E60" s="590">
        <f t="shared" si="5"/>
        <v>2086848</v>
      </c>
    </row>
    <row r="61" spans="1:5" s="421" customFormat="1" x14ac:dyDescent="0.2">
      <c r="A61" s="588">
        <v>4</v>
      </c>
      <c r="B61" s="587" t="s">
        <v>115</v>
      </c>
      <c r="C61" s="589">
        <v>34562104</v>
      </c>
      <c r="D61" s="591">
        <v>36648952</v>
      </c>
      <c r="E61" s="590">
        <f t="shared" si="5"/>
        <v>2086848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122935</v>
      </c>
      <c r="D63" s="591">
        <v>283224</v>
      </c>
      <c r="E63" s="590">
        <f t="shared" si="5"/>
        <v>160289</v>
      </c>
    </row>
    <row r="64" spans="1:5" s="421" customFormat="1" x14ac:dyDescent="0.2">
      <c r="A64" s="588">
        <v>7</v>
      </c>
      <c r="B64" s="587" t="s">
        <v>759</v>
      </c>
      <c r="C64" s="589">
        <v>1188855</v>
      </c>
      <c r="D64" s="591">
        <v>184090</v>
      </c>
      <c r="E64" s="590">
        <f t="shared" si="5"/>
        <v>-1004765</v>
      </c>
    </row>
    <row r="65" spans="1:5" s="421" customFormat="1" x14ac:dyDescent="0.2">
      <c r="A65" s="588"/>
      <c r="B65" s="592" t="s">
        <v>793</v>
      </c>
      <c r="C65" s="593">
        <f>SUM(C59+C60+C63)</f>
        <v>73532477</v>
      </c>
      <c r="D65" s="593">
        <f>SUM(D59+D60+D63)</f>
        <v>88550806</v>
      </c>
      <c r="E65" s="593">
        <f t="shared" si="5"/>
        <v>15018329</v>
      </c>
    </row>
    <row r="66" spans="1:5" s="421" customFormat="1" x14ac:dyDescent="0.2">
      <c r="A66" s="588"/>
      <c r="B66" s="592" t="s">
        <v>468</v>
      </c>
      <c r="C66" s="593">
        <f>SUM(C58+C65)</f>
        <v>173416513</v>
      </c>
      <c r="D66" s="593">
        <f>SUM(D58+D65)</f>
        <v>204363502</v>
      </c>
      <c r="E66" s="593">
        <f t="shared" si="5"/>
        <v>30946989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155459235</v>
      </c>
      <c r="D69" s="590">
        <f t="shared" si="6"/>
        <v>169974693</v>
      </c>
      <c r="E69" s="590">
        <f t="shared" ref="E69:E77" si="7">D69-C69</f>
        <v>14515458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128112537</v>
      </c>
      <c r="D70" s="590">
        <f t="shared" si="6"/>
        <v>136642592</v>
      </c>
      <c r="E70" s="590">
        <f t="shared" si="7"/>
        <v>8530055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59870286</v>
      </c>
      <c r="D71" s="590">
        <f t="shared" si="6"/>
        <v>57416519</v>
      </c>
      <c r="E71" s="590">
        <f t="shared" si="7"/>
        <v>-2453767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59870286</v>
      </c>
      <c r="D72" s="590">
        <f t="shared" si="6"/>
        <v>57416519</v>
      </c>
      <c r="E72" s="590">
        <f t="shared" si="7"/>
        <v>-2453767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295758</v>
      </c>
      <c r="D74" s="590">
        <f t="shared" si="6"/>
        <v>559647</v>
      </c>
      <c r="E74" s="590">
        <f t="shared" si="7"/>
        <v>263889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1607728</v>
      </c>
      <c r="D75" s="590">
        <f t="shared" si="6"/>
        <v>645586</v>
      </c>
      <c r="E75" s="590">
        <f t="shared" si="7"/>
        <v>-962142</v>
      </c>
    </row>
    <row r="76" spans="1:5" s="421" customFormat="1" x14ac:dyDescent="0.2">
      <c r="A76" s="588"/>
      <c r="B76" s="592" t="s">
        <v>794</v>
      </c>
      <c r="C76" s="593">
        <f>SUM(C70+C71+C74)</f>
        <v>188278581</v>
      </c>
      <c r="D76" s="593">
        <f>SUM(D70+D71+D74)</f>
        <v>194618758</v>
      </c>
      <c r="E76" s="593">
        <f t="shared" si="7"/>
        <v>6340177</v>
      </c>
    </row>
    <row r="77" spans="1:5" s="421" customFormat="1" x14ac:dyDescent="0.2">
      <c r="A77" s="588"/>
      <c r="B77" s="592" t="s">
        <v>727</v>
      </c>
      <c r="C77" s="593">
        <f>SUM(C69+C76)</f>
        <v>343737816</v>
      </c>
      <c r="D77" s="593">
        <f>SUM(D69+D76)</f>
        <v>364593451</v>
      </c>
      <c r="E77" s="593">
        <f t="shared" si="7"/>
        <v>20855635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0.10013670104986813</v>
      </c>
      <c r="D83" s="599">
        <f t="shared" si="8"/>
        <v>9.4820314868740832E-2</v>
      </c>
      <c r="E83" s="599">
        <f t="shared" ref="E83:E91" si="9">D83-C83</f>
        <v>-5.3163861811273E-3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0.25201796997381903</v>
      </c>
      <c r="D84" s="599">
        <f t="shared" si="8"/>
        <v>0.23577785891642142</v>
      </c>
      <c r="E84" s="599">
        <f t="shared" si="9"/>
        <v>-1.6240111057397616E-2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9.2336467834265329E-2</v>
      </c>
      <c r="D85" s="599">
        <f t="shared" si="8"/>
        <v>8.5969382919185877E-2</v>
      </c>
      <c r="E85" s="599">
        <f t="shared" si="9"/>
        <v>-6.3670849150794517E-3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9.2336467834265329E-2</v>
      </c>
      <c r="D86" s="599">
        <f t="shared" si="8"/>
        <v>8.5969382919185877E-2</v>
      </c>
      <c r="E86" s="599">
        <f t="shared" si="9"/>
        <v>-6.3670849150794517E-3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4.7229762143467281E-4</v>
      </c>
      <c r="D88" s="599">
        <f t="shared" si="8"/>
        <v>5.9458916507496603E-4</v>
      </c>
      <c r="E88" s="599">
        <f t="shared" si="9"/>
        <v>1.2229154364029322E-4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3.4326720823307307E-3</v>
      </c>
      <c r="D89" s="599">
        <f t="shared" si="8"/>
        <v>4.0915018699203623E-3</v>
      </c>
      <c r="E89" s="599">
        <f t="shared" si="9"/>
        <v>6.5882978758963163E-4</v>
      </c>
    </row>
    <row r="90" spans="1:5" s="421" customFormat="1" x14ac:dyDescent="0.2">
      <c r="A90" s="588"/>
      <c r="B90" s="592" t="s">
        <v>797</v>
      </c>
      <c r="C90" s="600">
        <f>SUM(C84+C85+C88)</f>
        <v>0.34482673542951908</v>
      </c>
      <c r="D90" s="600">
        <f>SUM(D84+D85+D88)</f>
        <v>0.32234183100068231</v>
      </c>
      <c r="E90" s="601">
        <f t="shared" si="9"/>
        <v>-2.2484904428836772E-2</v>
      </c>
    </row>
    <row r="91" spans="1:5" s="421" customFormat="1" x14ac:dyDescent="0.2">
      <c r="A91" s="588"/>
      <c r="B91" s="592" t="s">
        <v>798</v>
      </c>
      <c r="C91" s="600">
        <f>SUM(C83+C90)</f>
        <v>0.44496343647938719</v>
      </c>
      <c r="D91" s="600">
        <f>SUM(D83+D90)</f>
        <v>0.41716214586942313</v>
      </c>
      <c r="E91" s="601">
        <f t="shared" si="9"/>
        <v>-2.7801290609964058E-2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0.19620220946009573</v>
      </c>
      <c r="D95" s="599">
        <f t="shared" si="10"/>
        <v>0.2061154768156099</v>
      </c>
      <c r="E95" s="599">
        <f t="shared" ref="E95:E103" si="11">D95-C95</f>
        <v>9.913267355514177E-3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0.19725559523076536</v>
      </c>
      <c r="D96" s="599">
        <f t="shared" si="10"/>
        <v>0.20999751477070169</v>
      </c>
      <c r="E96" s="599">
        <f t="shared" si="11"/>
        <v>1.2741919539936336E-2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0.16084496180446897</v>
      </c>
      <c r="D97" s="599">
        <f t="shared" si="10"/>
        <v>0.16565198257138108</v>
      </c>
      <c r="E97" s="599">
        <f t="shared" si="11"/>
        <v>4.8070207669121123E-3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0.16084496180446897</v>
      </c>
      <c r="D98" s="599">
        <f t="shared" si="10"/>
        <v>0.16565198257138108</v>
      </c>
      <c r="E98" s="599">
        <f t="shared" si="11"/>
        <v>4.8070207669121123E-3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7.3379702528280461E-4</v>
      </c>
      <c r="D100" s="599">
        <f t="shared" si="10"/>
        <v>1.0728799728842342E-3</v>
      </c>
      <c r="E100" s="599">
        <f t="shared" si="11"/>
        <v>3.3908294760142961E-4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1.1314144505499189E-2</v>
      </c>
      <c r="D101" s="599">
        <f t="shared" si="10"/>
        <v>1.219114235191726E-2</v>
      </c>
      <c r="E101" s="599">
        <f t="shared" si="11"/>
        <v>8.769978464180702E-4</v>
      </c>
    </row>
    <row r="102" spans="1:5" s="421" customFormat="1" x14ac:dyDescent="0.2">
      <c r="A102" s="588"/>
      <c r="B102" s="592" t="s">
        <v>800</v>
      </c>
      <c r="C102" s="600">
        <f>SUM(C96+C97+C100)</f>
        <v>0.35883435406051717</v>
      </c>
      <c r="D102" s="600">
        <f>SUM(D96+D97+D100)</f>
        <v>0.37672237731496699</v>
      </c>
      <c r="E102" s="601">
        <f t="shared" si="11"/>
        <v>1.7888023254449825E-2</v>
      </c>
    </row>
    <row r="103" spans="1:5" s="421" customFormat="1" x14ac:dyDescent="0.2">
      <c r="A103" s="588"/>
      <c r="B103" s="592" t="s">
        <v>801</v>
      </c>
      <c r="C103" s="600">
        <f>SUM(C95+C102)</f>
        <v>0.55503656352061292</v>
      </c>
      <c r="D103" s="600">
        <f>SUM(D95+D102)</f>
        <v>0.58283785413057687</v>
      </c>
      <c r="E103" s="601">
        <f t="shared" si="11"/>
        <v>2.7801290609963947E-2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0.16167903679239062</v>
      </c>
      <c r="D109" s="599">
        <f t="shared" si="12"/>
        <v>0.14855449776030125</v>
      </c>
      <c r="E109" s="599">
        <f t="shared" ref="E109:E117" si="13">D109-C109</f>
        <v>-1.3124539032089377E-2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0.25968949252880574</v>
      </c>
      <c r="D110" s="599">
        <f t="shared" si="12"/>
        <v>0.23320210982067255</v>
      </c>
      <c r="E110" s="599">
        <f t="shared" si="13"/>
        <v>-2.6487382708133195E-2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7.3626411823132079E-2</v>
      </c>
      <c r="D111" s="599">
        <f t="shared" si="12"/>
        <v>5.6960888746188695E-2</v>
      </c>
      <c r="E111" s="599">
        <f t="shared" si="13"/>
        <v>-1.6665523076943384E-2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7.3626411823132079E-2</v>
      </c>
      <c r="D112" s="599">
        <f t="shared" si="12"/>
        <v>5.6960888746188695E-2</v>
      </c>
      <c r="E112" s="599">
        <f t="shared" si="13"/>
        <v>-1.6665523076943384E-2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5.027756387443853E-4</v>
      </c>
      <c r="D114" s="599">
        <f t="shared" si="12"/>
        <v>7.5816775984821518E-4</v>
      </c>
      <c r="E114" s="599">
        <f t="shared" si="13"/>
        <v>2.5539212110382988E-4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1.2185828282565221E-3</v>
      </c>
      <c r="D115" s="599">
        <f t="shared" si="12"/>
        <v>1.2657824728727781E-3</v>
      </c>
      <c r="E115" s="599">
        <f t="shared" si="13"/>
        <v>4.7199644616255929E-5</v>
      </c>
    </row>
    <row r="116" spans="1:5" s="421" customFormat="1" x14ac:dyDescent="0.2">
      <c r="A116" s="588"/>
      <c r="B116" s="592" t="s">
        <v>797</v>
      </c>
      <c r="C116" s="600">
        <f>SUM(C110+C111+C114)</f>
        <v>0.33381867999068221</v>
      </c>
      <c r="D116" s="600">
        <f>SUM(D110+D111+D114)</f>
        <v>0.29092116632670945</v>
      </c>
      <c r="E116" s="601">
        <f t="shared" si="13"/>
        <v>-4.2897513663972764E-2</v>
      </c>
    </row>
    <row r="117" spans="1:5" s="421" customFormat="1" x14ac:dyDescent="0.2">
      <c r="A117" s="588"/>
      <c r="B117" s="592" t="s">
        <v>798</v>
      </c>
      <c r="C117" s="600">
        <f>SUM(C109+C116)</f>
        <v>0.49549771678307286</v>
      </c>
      <c r="D117" s="600">
        <f>SUM(D109+D116)</f>
        <v>0.43947566408701066</v>
      </c>
      <c r="E117" s="601">
        <f t="shared" si="13"/>
        <v>-5.6022052696062197E-2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0.29058204058642184</v>
      </c>
      <c r="D121" s="599">
        <f t="shared" si="14"/>
        <v>0.31764886528364988</v>
      </c>
      <c r="E121" s="599">
        <f t="shared" ref="E121:E129" si="15">D121-C121</f>
        <v>2.7066824697228042E-2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0.11301473446261728</v>
      </c>
      <c r="D122" s="599">
        <f t="shared" si="14"/>
        <v>0.14157859900780281</v>
      </c>
      <c r="E122" s="599">
        <f t="shared" si="15"/>
        <v>2.856386454518553E-2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0.10054786640059411</v>
      </c>
      <c r="D123" s="599">
        <f t="shared" si="14"/>
        <v>0.10052005020792323</v>
      </c>
      <c r="E123" s="599">
        <f t="shared" si="15"/>
        <v>-2.7816192670879203E-5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0.10054786640059411</v>
      </c>
      <c r="D124" s="599">
        <f t="shared" si="14"/>
        <v>0.10052005020792323</v>
      </c>
      <c r="E124" s="599">
        <f t="shared" si="15"/>
        <v>-2.7816192670879203E-5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3.5764176729394243E-4</v>
      </c>
      <c r="D126" s="599">
        <f t="shared" si="14"/>
        <v>7.7682141361337838E-4</v>
      </c>
      <c r="E126" s="599">
        <f t="shared" si="15"/>
        <v>4.1917964631943595E-4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3.4586098609528607E-3</v>
      </c>
      <c r="D127" s="599">
        <f t="shared" si="14"/>
        <v>5.0491855927494432E-4</v>
      </c>
      <c r="E127" s="599">
        <f t="shared" si="15"/>
        <v>-2.9536913016779166E-3</v>
      </c>
    </row>
    <row r="128" spans="1:5" s="421" customFormat="1" x14ac:dyDescent="0.2">
      <c r="A128" s="588"/>
      <c r="B128" s="592" t="s">
        <v>800</v>
      </c>
      <c r="C128" s="600">
        <f>SUM(C122+C123+C126)</f>
        <v>0.21392024263050533</v>
      </c>
      <c r="D128" s="600">
        <f>SUM(D122+D123+D126)</f>
        <v>0.24287547062933942</v>
      </c>
      <c r="E128" s="601">
        <f t="shared" si="15"/>
        <v>2.8955227998834099E-2</v>
      </c>
    </row>
    <row r="129" spans="1:5" s="421" customFormat="1" x14ac:dyDescent="0.2">
      <c r="A129" s="588"/>
      <c r="B129" s="592" t="s">
        <v>801</v>
      </c>
      <c r="C129" s="600">
        <f>SUM(C121+C128)</f>
        <v>0.50450228321692714</v>
      </c>
      <c r="D129" s="600">
        <f>SUM(D121+D128)</f>
        <v>0.56052433591298934</v>
      </c>
      <c r="E129" s="601">
        <f t="shared" si="15"/>
        <v>5.6022052696062197E-2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4106</v>
      </c>
      <c r="D137" s="606">
        <v>3617</v>
      </c>
      <c r="E137" s="607">
        <f t="shared" ref="E137:E145" si="16">D137-C137</f>
        <v>-489</v>
      </c>
    </row>
    <row r="138" spans="1:5" s="421" customFormat="1" x14ac:dyDescent="0.2">
      <c r="A138" s="588">
        <v>2</v>
      </c>
      <c r="B138" s="587" t="s">
        <v>636</v>
      </c>
      <c r="C138" s="606">
        <v>7029</v>
      </c>
      <c r="D138" s="606">
        <v>6458</v>
      </c>
      <c r="E138" s="607">
        <f t="shared" si="16"/>
        <v>-571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4074</v>
      </c>
      <c r="D139" s="606">
        <f>D140+D141</f>
        <v>3852</v>
      </c>
      <c r="E139" s="607">
        <f t="shared" si="16"/>
        <v>-222</v>
      </c>
    </row>
    <row r="140" spans="1:5" s="421" customFormat="1" x14ac:dyDescent="0.2">
      <c r="A140" s="588">
        <v>4</v>
      </c>
      <c r="B140" s="587" t="s">
        <v>115</v>
      </c>
      <c r="C140" s="606">
        <v>4074</v>
      </c>
      <c r="D140" s="606">
        <v>3852</v>
      </c>
      <c r="E140" s="607">
        <f t="shared" si="16"/>
        <v>-222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21</v>
      </c>
      <c r="D142" s="606">
        <v>13</v>
      </c>
      <c r="E142" s="607">
        <f t="shared" si="16"/>
        <v>-8</v>
      </c>
    </row>
    <row r="143" spans="1:5" s="421" customFormat="1" x14ac:dyDescent="0.2">
      <c r="A143" s="588">
        <v>7</v>
      </c>
      <c r="B143" s="587" t="s">
        <v>759</v>
      </c>
      <c r="C143" s="606">
        <v>122</v>
      </c>
      <c r="D143" s="606">
        <v>130</v>
      </c>
      <c r="E143" s="607">
        <f t="shared" si="16"/>
        <v>8</v>
      </c>
    </row>
    <row r="144" spans="1:5" s="421" customFormat="1" x14ac:dyDescent="0.2">
      <c r="A144" s="588"/>
      <c r="B144" s="592" t="s">
        <v>808</v>
      </c>
      <c r="C144" s="608">
        <f>SUM(C138+C139+C142)</f>
        <v>11124</v>
      </c>
      <c r="D144" s="608">
        <f>SUM(D138+D139+D142)</f>
        <v>10323</v>
      </c>
      <c r="E144" s="609">
        <f t="shared" si="16"/>
        <v>-801</v>
      </c>
    </row>
    <row r="145" spans="1:5" s="421" customFormat="1" x14ac:dyDescent="0.2">
      <c r="A145" s="588"/>
      <c r="B145" s="592" t="s">
        <v>138</v>
      </c>
      <c r="C145" s="608">
        <f>SUM(C137+C144)</f>
        <v>15230</v>
      </c>
      <c r="D145" s="608">
        <f>SUM(D137+D144)</f>
        <v>13940</v>
      </c>
      <c r="E145" s="609">
        <f t="shared" si="16"/>
        <v>-1290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15460</v>
      </c>
      <c r="D149" s="610">
        <v>13869</v>
      </c>
      <c r="E149" s="607">
        <f t="shared" ref="E149:E157" si="17">D149-C149</f>
        <v>-1591</v>
      </c>
    </row>
    <row r="150" spans="1:5" s="421" customFormat="1" x14ac:dyDescent="0.2">
      <c r="A150" s="588">
        <v>2</v>
      </c>
      <c r="B150" s="587" t="s">
        <v>636</v>
      </c>
      <c r="C150" s="610">
        <v>35500</v>
      </c>
      <c r="D150" s="610">
        <v>33469</v>
      </c>
      <c r="E150" s="607">
        <f t="shared" si="17"/>
        <v>-2031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17977</v>
      </c>
      <c r="D151" s="610">
        <f>D152+D153</f>
        <v>17684</v>
      </c>
      <c r="E151" s="607">
        <f t="shared" si="17"/>
        <v>-293</v>
      </c>
    </row>
    <row r="152" spans="1:5" s="421" customFormat="1" x14ac:dyDescent="0.2">
      <c r="A152" s="588">
        <v>4</v>
      </c>
      <c r="B152" s="587" t="s">
        <v>115</v>
      </c>
      <c r="C152" s="610">
        <v>17977</v>
      </c>
      <c r="D152" s="610">
        <v>17684</v>
      </c>
      <c r="E152" s="607">
        <f t="shared" si="17"/>
        <v>-293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70</v>
      </c>
      <c r="D154" s="610">
        <v>83</v>
      </c>
      <c r="E154" s="607">
        <f t="shared" si="17"/>
        <v>13</v>
      </c>
    </row>
    <row r="155" spans="1:5" s="421" customFormat="1" x14ac:dyDescent="0.2">
      <c r="A155" s="588">
        <v>7</v>
      </c>
      <c r="B155" s="587" t="s">
        <v>759</v>
      </c>
      <c r="C155" s="610">
        <v>421</v>
      </c>
      <c r="D155" s="610">
        <v>440</v>
      </c>
      <c r="E155" s="607">
        <f t="shared" si="17"/>
        <v>19</v>
      </c>
    </row>
    <row r="156" spans="1:5" s="421" customFormat="1" x14ac:dyDescent="0.2">
      <c r="A156" s="588"/>
      <c r="B156" s="592" t="s">
        <v>809</v>
      </c>
      <c r="C156" s="608">
        <f>SUM(C150+C151+C154)</f>
        <v>53547</v>
      </c>
      <c r="D156" s="608">
        <f>SUM(D150+D151+D154)</f>
        <v>51236</v>
      </c>
      <c r="E156" s="609">
        <f t="shared" si="17"/>
        <v>-2311</v>
      </c>
    </row>
    <row r="157" spans="1:5" s="421" customFormat="1" x14ac:dyDescent="0.2">
      <c r="A157" s="588"/>
      <c r="B157" s="592" t="s">
        <v>140</v>
      </c>
      <c r="C157" s="608">
        <f>SUM(C149+C156)</f>
        <v>69007</v>
      </c>
      <c r="D157" s="608">
        <f>SUM(D149+D156)</f>
        <v>65105</v>
      </c>
      <c r="E157" s="609">
        <f t="shared" si="17"/>
        <v>-3902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3.7652216268874819</v>
      </c>
      <c r="D161" s="612">
        <f t="shared" si="18"/>
        <v>3.8343931434890792</v>
      </c>
      <c r="E161" s="613">
        <f t="shared" ref="E161:E169" si="19">D161-C161</f>
        <v>6.9171516601597371E-2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5.0505050505050502</v>
      </c>
      <c r="D162" s="612">
        <f t="shared" si="18"/>
        <v>5.1825642613812324</v>
      </c>
      <c r="E162" s="613">
        <f t="shared" si="19"/>
        <v>0.13205921087618222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4.4126165930289645</v>
      </c>
      <c r="D163" s="612">
        <f t="shared" si="18"/>
        <v>4.5908618899273108</v>
      </c>
      <c r="E163" s="613">
        <f t="shared" si="19"/>
        <v>0.17824529689834634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4.4126165930289645</v>
      </c>
      <c r="D164" s="612">
        <f t="shared" si="18"/>
        <v>4.5908618899273108</v>
      </c>
      <c r="E164" s="613">
        <f t="shared" si="19"/>
        <v>0.17824529689834634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3.3333333333333335</v>
      </c>
      <c r="D166" s="612">
        <f t="shared" si="18"/>
        <v>6.384615384615385</v>
      </c>
      <c r="E166" s="613">
        <f t="shared" si="19"/>
        <v>3.0512820512820515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3.4508196721311477</v>
      </c>
      <c r="D167" s="612">
        <f t="shared" si="18"/>
        <v>3.3846153846153846</v>
      </c>
      <c r="E167" s="613">
        <f t="shared" si="19"/>
        <v>-6.6204287515763127E-2</v>
      </c>
    </row>
    <row r="168" spans="1:5" s="421" customFormat="1" x14ac:dyDescent="0.2">
      <c r="A168" s="588"/>
      <c r="B168" s="592" t="s">
        <v>811</v>
      </c>
      <c r="C168" s="614">
        <f t="shared" si="18"/>
        <v>4.8136461704422873</v>
      </c>
      <c r="D168" s="614">
        <f t="shared" si="18"/>
        <v>4.963285866511673</v>
      </c>
      <c r="E168" s="615">
        <f t="shared" si="19"/>
        <v>0.14963969606938576</v>
      </c>
    </row>
    <row r="169" spans="1:5" s="421" customFormat="1" x14ac:dyDescent="0.2">
      <c r="A169" s="588"/>
      <c r="B169" s="592" t="s">
        <v>745</v>
      </c>
      <c r="C169" s="614">
        <f t="shared" si="18"/>
        <v>4.5309914642153641</v>
      </c>
      <c r="D169" s="614">
        <f t="shared" si="18"/>
        <v>4.670373027259684</v>
      </c>
      <c r="E169" s="615">
        <f t="shared" si="19"/>
        <v>0.13938156304431981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1.17228</v>
      </c>
      <c r="D173" s="617">
        <f t="shared" si="20"/>
        <v>1.2376</v>
      </c>
      <c r="E173" s="618">
        <f t="shared" ref="E173:E181" si="21">D173-C173</f>
        <v>6.5320000000000045E-2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1.5341000000000002</v>
      </c>
      <c r="D174" s="617">
        <f t="shared" si="20"/>
        <v>1.6580999999999999</v>
      </c>
      <c r="E174" s="618">
        <f t="shared" si="21"/>
        <v>0.12399999999999967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1.0530200000000001</v>
      </c>
      <c r="D175" s="617">
        <f t="shared" si="20"/>
        <v>1.1048</v>
      </c>
      <c r="E175" s="618">
        <f t="shared" si="21"/>
        <v>5.1779999999999937E-2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1.0530200000000001</v>
      </c>
      <c r="D176" s="617">
        <f t="shared" si="20"/>
        <v>1.1048</v>
      </c>
      <c r="E176" s="618">
        <f t="shared" si="21"/>
        <v>5.1779999999999937E-2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1.2721</v>
      </c>
      <c r="D178" s="617">
        <f t="shared" si="20"/>
        <v>1.4839</v>
      </c>
      <c r="E178" s="618">
        <f t="shared" si="21"/>
        <v>0.21179999999999999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1.1993100000000001</v>
      </c>
      <c r="D179" s="617">
        <f t="shared" si="20"/>
        <v>1.1455</v>
      </c>
      <c r="E179" s="618">
        <f t="shared" si="21"/>
        <v>-5.3810000000000136E-2</v>
      </c>
    </row>
    <row r="180" spans="1:5" s="421" customFormat="1" x14ac:dyDescent="0.2">
      <c r="A180" s="588"/>
      <c r="B180" s="592" t="s">
        <v>813</v>
      </c>
      <c r="C180" s="619">
        <f t="shared" si="20"/>
        <v>1.3574169795037756</v>
      </c>
      <c r="D180" s="619">
        <f t="shared" si="20"/>
        <v>1.4514182020730406</v>
      </c>
      <c r="E180" s="620">
        <f t="shared" si="21"/>
        <v>9.4001222569265019E-2</v>
      </c>
    </row>
    <row r="181" spans="1:5" s="421" customFormat="1" x14ac:dyDescent="0.2">
      <c r="A181" s="588"/>
      <c r="B181" s="592" t="s">
        <v>724</v>
      </c>
      <c r="C181" s="619">
        <f t="shared" si="20"/>
        <v>1.3075041470781352</v>
      </c>
      <c r="D181" s="619">
        <f t="shared" si="20"/>
        <v>1.3959389741750359</v>
      </c>
      <c r="E181" s="620">
        <f t="shared" si="21"/>
        <v>8.8434827096900648E-2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252612782</v>
      </c>
      <c r="D185" s="589">
        <v>268506831</v>
      </c>
      <c r="E185" s="590">
        <f>D185-C185</f>
        <v>15894049</v>
      </c>
    </row>
    <row r="186" spans="1:5" s="421" customFormat="1" ht="25.5" x14ac:dyDescent="0.2">
      <c r="A186" s="588">
        <v>2</v>
      </c>
      <c r="B186" s="587" t="s">
        <v>816</v>
      </c>
      <c r="C186" s="589">
        <v>155459235</v>
      </c>
      <c r="D186" s="589">
        <v>169974693</v>
      </c>
      <c r="E186" s="590">
        <f>D186-C186</f>
        <v>14515458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97153547</v>
      </c>
      <c r="D188" s="622">
        <f>+D185-D186</f>
        <v>98532138</v>
      </c>
      <c r="E188" s="590">
        <f t="shared" ref="E188:E197" si="22">D188-C188</f>
        <v>1378591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0.38459473915298553</v>
      </c>
      <c r="D189" s="623">
        <f>IF(D185=0,0,+D188/D185)</f>
        <v>0.36696324496861682</v>
      </c>
      <c r="E189" s="599">
        <f t="shared" si="22"/>
        <v>-1.7631494184368712E-2</v>
      </c>
    </row>
    <row r="190" spans="1:5" s="421" customFormat="1" x14ac:dyDescent="0.2">
      <c r="A190" s="588">
        <v>5</v>
      </c>
      <c r="B190" s="587" t="s">
        <v>763</v>
      </c>
      <c r="C190" s="589">
        <v>8172977</v>
      </c>
      <c r="D190" s="589">
        <v>7464972</v>
      </c>
      <c r="E190" s="622">
        <f t="shared" si="22"/>
        <v>-708005</v>
      </c>
    </row>
    <row r="191" spans="1:5" s="421" customFormat="1" x14ac:dyDescent="0.2">
      <c r="A191" s="588">
        <v>6</v>
      </c>
      <c r="B191" s="587" t="s">
        <v>749</v>
      </c>
      <c r="C191" s="589">
        <v>4530000</v>
      </c>
      <c r="D191" s="589">
        <v>3948335</v>
      </c>
      <c r="E191" s="622">
        <f t="shared" si="22"/>
        <v>-581665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9706868</v>
      </c>
      <c r="D193" s="589">
        <v>10644417</v>
      </c>
      <c r="E193" s="622">
        <f t="shared" si="22"/>
        <v>937549</v>
      </c>
    </row>
    <row r="194" spans="1:5" s="421" customFormat="1" x14ac:dyDescent="0.2">
      <c r="A194" s="588">
        <v>9</v>
      </c>
      <c r="B194" s="587" t="s">
        <v>819</v>
      </c>
      <c r="C194" s="589">
        <v>5091859</v>
      </c>
      <c r="D194" s="589">
        <v>6729060</v>
      </c>
      <c r="E194" s="622">
        <f t="shared" si="22"/>
        <v>1637201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14798727</v>
      </c>
      <c r="D195" s="589">
        <f>+D193+D194</f>
        <v>17373477</v>
      </c>
      <c r="E195" s="625">
        <f t="shared" si="22"/>
        <v>2574750</v>
      </c>
    </row>
    <row r="196" spans="1:5" s="421" customFormat="1" x14ac:dyDescent="0.2">
      <c r="A196" s="588">
        <v>11</v>
      </c>
      <c r="B196" s="587" t="s">
        <v>821</v>
      </c>
      <c r="C196" s="589">
        <v>11666372</v>
      </c>
      <c r="D196" s="589">
        <v>11448697</v>
      </c>
      <c r="E196" s="622">
        <f t="shared" si="22"/>
        <v>-217675</v>
      </c>
    </row>
    <row r="197" spans="1:5" s="421" customFormat="1" x14ac:dyDescent="0.2">
      <c r="A197" s="588">
        <v>12</v>
      </c>
      <c r="B197" s="587" t="s">
        <v>711</v>
      </c>
      <c r="C197" s="589">
        <v>355106697</v>
      </c>
      <c r="D197" s="589">
        <v>366685881</v>
      </c>
      <c r="E197" s="622">
        <f t="shared" si="22"/>
        <v>11579184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4813.3816799999995</v>
      </c>
      <c r="D203" s="629">
        <v>4476.3991999999998</v>
      </c>
      <c r="E203" s="630">
        <f t="shared" ref="E203:E211" si="23">D203-C203</f>
        <v>-336.98247999999967</v>
      </c>
    </row>
    <row r="204" spans="1:5" s="421" customFormat="1" x14ac:dyDescent="0.2">
      <c r="A204" s="588">
        <v>2</v>
      </c>
      <c r="B204" s="587" t="s">
        <v>636</v>
      </c>
      <c r="C204" s="629">
        <v>10783.188900000001</v>
      </c>
      <c r="D204" s="629">
        <v>10708.0098</v>
      </c>
      <c r="E204" s="630">
        <f t="shared" si="23"/>
        <v>-75.179100000001199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4290.0034800000003</v>
      </c>
      <c r="D205" s="629">
        <f>D206+D207</f>
        <v>4255.6895999999997</v>
      </c>
      <c r="E205" s="630">
        <f t="shared" si="23"/>
        <v>-34.313880000000609</v>
      </c>
    </row>
    <row r="206" spans="1:5" s="421" customFormat="1" x14ac:dyDescent="0.2">
      <c r="A206" s="588">
        <v>4</v>
      </c>
      <c r="B206" s="587" t="s">
        <v>115</v>
      </c>
      <c r="C206" s="629">
        <v>4290.0034800000003</v>
      </c>
      <c r="D206" s="629">
        <v>4255.6895999999997</v>
      </c>
      <c r="E206" s="630">
        <f t="shared" si="23"/>
        <v>-34.313880000000609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26.714100000000002</v>
      </c>
      <c r="D208" s="629">
        <v>19.290700000000001</v>
      </c>
      <c r="E208" s="630">
        <f t="shared" si="23"/>
        <v>-7.4234000000000009</v>
      </c>
    </row>
    <row r="209" spans="1:5" s="421" customFormat="1" x14ac:dyDescent="0.2">
      <c r="A209" s="588">
        <v>7</v>
      </c>
      <c r="B209" s="587" t="s">
        <v>759</v>
      </c>
      <c r="C209" s="629">
        <v>146.31582</v>
      </c>
      <c r="D209" s="629">
        <v>148.91499999999999</v>
      </c>
      <c r="E209" s="630">
        <f t="shared" si="23"/>
        <v>2.5991799999999898</v>
      </c>
    </row>
    <row r="210" spans="1:5" s="421" customFormat="1" x14ac:dyDescent="0.2">
      <c r="A210" s="588"/>
      <c r="B210" s="592" t="s">
        <v>824</v>
      </c>
      <c r="C210" s="631">
        <f>C204+C205+C208</f>
        <v>15099.90648</v>
      </c>
      <c r="D210" s="631">
        <f>D204+D205+D208</f>
        <v>14982.990099999999</v>
      </c>
      <c r="E210" s="632">
        <f t="shared" si="23"/>
        <v>-116.91638000000057</v>
      </c>
    </row>
    <row r="211" spans="1:5" s="421" customFormat="1" x14ac:dyDescent="0.2">
      <c r="A211" s="588"/>
      <c r="B211" s="592" t="s">
        <v>725</v>
      </c>
      <c r="C211" s="631">
        <f>C210+C203</f>
        <v>19913.28816</v>
      </c>
      <c r="D211" s="631">
        <f>D210+D203</f>
        <v>19459.389299999999</v>
      </c>
      <c r="E211" s="632">
        <f t="shared" si="23"/>
        <v>-453.89886000000115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8045.065032070117</v>
      </c>
      <c r="D215" s="633">
        <f>IF(D14*D137=0,0,D25/D14*D137)</f>
        <v>7862.4467834142843</v>
      </c>
      <c r="E215" s="633">
        <f t="shared" ref="E215:E223" si="24">D215-C215</f>
        <v>-182.61824865583276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5501.6298203699034</v>
      </c>
      <c r="D216" s="633">
        <f>IF(D15*D138=0,0,D26/D15*D138)</f>
        <v>5751.8715142371566</v>
      </c>
      <c r="E216" s="633">
        <f t="shared" si="24"/>
        <v>250.24169386725316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7096.6801065812106</v>
      </c>
      <c r="D217" s="633">
        <f>D218+D219</f>
        <v>7422.3103062724958</v>
      </c>
      <c r="E217" s="633">
        <f t="shared" si="24"/>
        <v>325.63019969128527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7096.6801065812106</v>
      </c>
      <c r="D218" s="633">
        <f t="shared" si="25"/>
        <v>7422.3103062724958</v>
      </c>
      <c r="E218" s="633">
        <f t="shared" si="24"/>
        <v>325.63019969128527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32.627175813694713</v>
      </c>
      <c r="D220" s="633">
        <f t="shared" si="25"/>
        <v>23.457271788221281</v>
      </c>
      <c r="E220" s="633">
        <f t="shared" si="24"/>
        <v>-9.1699040254734321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402.11403727608069</v>
      </c>
      <c r="D221" s="633">
        <f t="shared" si="25"/>
        <v>387.35128472031994</v>
      </c>
      <c r="E221" s="633">
        <f t="shared" si="24"/>
        <v>-14.762752555760756</v>
      </c>
    </row>
    <row r="222" spans="1:5" s="421" customFormat="1" x14ac:dyDescent="0.2">
      <c r="A222" s="588"/>
      <c r="B222" s="592" t="s">
        <v>826</v>
      </c>
      <c r="C222" s="634">
        <f>C216+C218+C219+C220</f>
        <v>12630.93710276481</v>
      </c>
      <c r="D222" s="634">
        <f>D216+D218+D219+D220</f>
        <v>13197.639092297875</v>
      </c>
      <c r="E222" s="634">
        <f t="shared" si="24"/>
        <v>566.70198953306499</v>
      </c>
    </row>
    <row r="223" spans="1:5" s="421" customFormat="1" x14ac:dyDescent="0.2">
      <c r="A223" s="588"/>
      <c r="B223" s="592" t="s">
        <v>827</v>
      </c>
      <c r="C223" s="634">
        <f>C215+C222</f>
        <v>20676.002134834926</v>
      </c>
      <c r="D223" s="634">
        <f>D215+D222</f>
        <v>21060.08587571216</v>
      </c>
      <c r="E223" s="634">
        <f t="shared" si="24"/>
        <v>384.08374087723496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11545.97800355612</v>
      </c>
      <c r="D227" s="636">
        <f t="shared" si="26"/>
        <v>12099.456411304873</v>
      </c>
      <c r="E227" s="636">
        <f t="shared" ref="E227:E235" si="27">D227-C227</f>
        <v>553.47840774875294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8278.1726099595635</v>
      </c>
      <c r="D228" s="636">
        <f t="shared" si="26"/>
        <v>7940.2207868730193</v>
      </c>
      <c r="E228" s="636">
        <f t="shared" si="27"/>
        <v>-337.95182308654421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5899.3383380658697</v>
      </c>
      <c r="D229" s="636">
        <f t="shared" si="26"/>
        <v>4879.953415775437</v>
      </c>
      <c r="E229" s="636">
        <f t="shared" si="27"/>
        <v>-1019.3849222904328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5899.3383380658697</v>
      </c>
      <c r="D230" s="636">
        <f t="shared" si="26"/>
        <v>4879.953415775437</v>
      </c>
      <c r="E230" s="636">
        <f t="shared" si="27"/>
        <v>-1019.3849222904328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6469.3551345544111</v>
      </c>
      <c r="D232" s="636">
        <f t="shared" si="26"/>
        <v>14329.340044684744</v>
      </c>
      <c r="E232" s="636">
        <f t="shared" si="27"/>
        <v>7859.9849101303334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2862.8004818617701</v>
      </c>
      <c r="D233" s="636">
        <f t="shared" si="26"/>
        <v>3099.0565087466007</v>
      </c>
      <c r="E233" s="636">
        <f t="shared" si="27"/>
        <v>236.25602688483059</v>
      </c>
    </row>
    <row r="234" spans="1:5" x14ac:dyDescent="0.2">
      <c r="A234" s="588"/>
      <c r="B234" s="592" t="s">
        <v>829</v>
      </c>
      <c r="C234" s="637">
        <f t="shared" si="26"/>
        <v>7599.1267993601505</v>
      </c>
      <c r="D234" s="637">
        <f t="shared" si="26"/>
        <v>7079.224593494192</v>
      </c>
      <c r="E234" s="637">
        <f t="shared" si="27"/>
        <v>-519.90220586595842</v>
      </c>
    </row>
    <row r="235" spans="1:5" s="421" customFormat="1" x14ac:dyDescent="0.2">
      <c r="A235" s="588"/>
      <c r="B235" s="592" t="s">
        <v>830</v>
      </c>
      <c r="C235" s="637">
        <f t="shared" si="26"/>
        <v>8553.1481105227977</v>
      </c>
      <c r="D235" s="637">
        <f t="shared" si="26"/>
        <v>8234.0687330819783</v>
      </c>
      <c r="E235" s="637">
        <f t="shared" si="27"/>
        <v>-319.07937744081937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12415.566014921116</v>
      </c>
      <c r="D239" s="636">
        <f t="shared" si="28"/>
        <v>14729.854355810099</v>
      </c>
      <c r="E239" s="638">
        <f t="shared" ref="E239:E247" si="29">D239-C239</f>
        <v>2314.2883408889829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7061.0781292784404</v>
      </c>
      <c r="D240" s="636">
        <f t="shared" si="28"/>
        <v>8974.2321038000337</v>
      </c>
      <c r="E240" s="638">
        <f t="shared" si="29"/>
        <v>1913.1539745215932</v>
      </c>
    </row>
    <row r="241" spans="1:5" x14ac:dyDescent="0.2">
      <c r="A241" s="588">
        <v>3</v>
      </c>
      <c r="B241" s="587" t="s">
        <v>778</v>
      </c>
      <c r="C241" s="636">
        <f t="shared" si="28"/>
        <v>4870.1792219644121</v>
      </c>
      <c r="D241" s="636">
        <f t="shared" si="28"/>
        <v>4937.6744554897496</v>
      </c>
      <c r="E241" s="638">
        <f t="shared" si="29"/>
        <v>67.495233525337426</v>
      </c>
    </row>
    <row r="242" spans="1:5" x14ac:dyDescent="0.2">
      <c r="A242" s="588">
        <v>4</v>
      </c>
      <c r="B242" s="587" t="s">
        <v>115</v>
      </c>
      <c r="C242" s="636">
        <f t="shared" si="28"/>
        <v>4870.1792219644121</v>
      </c>
      <c r="D242" s="636">
        <f t="shared" si="28"/>
        <v>4937.6744554897496</v>
      </c>
      <c r="E242" s="638">
        <f t="shared" si="29"/>
        <v>67.495233525337426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3767.8713199688</v>
      </c>
      <c r="D244" s="636">
        <f t="shared" si="28"/>
        <v>12074.038385922471</v>
      </c>
      <c r="E244" s="638">
        <f t="shared" si="29"/>
        <v>8306.1670659536721</v>
      </c>
    </row>
    <row r="245" spans="1:5" x14ac:dyDescent="0.2">
      <c r="A245" s="588">
        <v>7</v>
      </c>
      <c r="B245" s="587" t="s">
        <v>759</v>
      </c>
      <c r="C245" s="636">
        <f t="shared" si="28"/>
        <v>2956.5120582541717</v>
      </c>
      <c r="D245" s="636">
        <f t="shared" si="28"/>
        <v>475.25336112650018</v>
      </c>
      <c r="E245" s="638">
        <f t="shared" si="29"/>
        <v>-2481.2586971276714</v>
      </c>
    </row>
    <row r="246" spans="1:5" ht="25.5" x14ac:dyDescent="0.2">
      <c r="A246" s="588"/>
      <c r="B246" s="592" t="s">
        <v>832</v>
      </c>
      <c r="C246" s="637">
        <f t="shared" si="28"/>
        <v>5821.6169078938992</v>
      </c>
      <c r="D246" s="637">
        <f t="shared" si="28"/>
        <v>6709.5944494859032</v>
      </c>
      <c r="E246" s="639">
        <f t="shared" si="29"/>
        <v>887.97754159200394</v>
      </c>
    </row>
    <row r="247" spans="1:5" x14ac:dyDescent="0.2">
      <c r="A247" s="588"/>
      <c r="B247" s="592" t="s">
        <v>833</v>
      </c>
      <c r="C247" s="637">
        <f t="shared" si="28"/>
        <v>8387.3329026131159</v>
      </c>
      <c r="D247" s="637">
        <f t="shared" si="28"/>
        <v>9703.8304214934415</v>
      </c>
      <c r="E247" s="639">
        <f t="shared" si="29"/>
        <v>1316.4975188803255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15548108.691065976</v>
      </c>
      <c r="D251" s="622">
        <f>((IF((IF(D15=0,0,D26/D15)*D138)=0,0,D59/(IF(D15=0,0,D26/D15)*D138)))-(IF((IF(D17=0,0,D28/D17)*D140)=0,0,D61/(IF(D17=0,0,D28/D17)*D140))))*(IF(D17=0,0,D28/D17)*D140)</f>
        <v>29960583.434916489</v>
      </c>
      <c r="E251" s="622">
        <f>D251-C251</f>
        <v>14412474.743850512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2442858.2476137625</v>
      </c>
      <c r="D253" s="622">
        <f>IF(D233=0,0,(D228-D233)*D209+IF(D221=0,0,(D240-D245)*D221))</f>
        <v>4013012.313262478</v>
      </c>
      <c r="E253" s="622">
        <f>D253-C253</f>
        <v>1570154.0656487155</v>
      </c>
    </row>
    <row r="254" spans="1:5" ht="15" customHeight="1" x14ac:dyDescent="0.2">
      <c r="A254" s="588"/>
      <c r="B254" s="592" t="s">
        <v>760</v>
      </c>
      <c r="C254" s="640">
        <f>+C251+C252+C253</f>
        <v>17990966.93867974</v>
      </c>
      <c r="D254" s="640">
        <f>+D251+D252+D253</f>
        <v>33973595.748178966</v>
      </c>
      <c r="E254" s="640">
        <f>D254-C254</f>
        <v>15982628.809499227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852445538</v>
      </c>
      <c r="D258" s="625">
        <f>+D44</f>
        <v>892239602</v>
      </c>
      <c r="E258" s="622">
        <f t="shared" ref="E258:E271" si="30">D258-C258</f>
        <v>39794064</v>
      </c>
    </row>
    <row r="259" spans="1:5" x14ac:dyDescent="0.2">
      <c r="A259" s="588">
        <v>2</v>
      </c>
      <c r="B259" s="587" t="s">
        <v>743</v>
      </c>
      <c r="C259" s="622">
        <f>+(C43-C76)</f>
        <v>411554175</v>
      </c>
      <c r="D259" s="625">
        <f>+(D43-D76)</f>
        <v>429114013</v>
      </c>
      <c r="E259" s="622">
        <f t="shared" si="30"/>
        <v>17559838</v>
      </c>
    </row>
    <row r="260" spans="1:5" x14ac:dyDescent="0.2">
      <c r="A260" s="588">
        <v>3</v>
      </c>
      <c r="B260" s="587" t="s">
        <v>747</v>
      </c>
      <c r="C260" s="622">
        <f>C195</f>
        <v>14798727</v>
      </c>
      <c r="D260" s="622">
        <f>D195</f>
        <v>17373477</v>
      </c>
      <c r="E260" s="622">
        <f t="shared" si="30"/>
        <v>2574750</v>
      </c>
    </row>
    <row r="261" spans="1:5" x14ac:dyDescent="0.2">
      <c r="A261" s="588">
        <v>4</v>
      </c>
      <c r="B261" s="587" t="s">
        <v>748</v>
      </c>
      <c r="C261" s="622">
        <f>C188</f>
        <v>97153547</v>
      </c>
      <c r="D261" s="622">
        <f>D188</f>
        <v>98532138</v>
      </c>
      <c r="E261" s="622">
        <f t="shared" si="30"/>
        <v>1378591</v>
      </c>
    </row>
    <row r="262" spans="1:5" x14ac:dyDescent="0.2">
      <c r="A262" s="588">
        <v>5</v>
      </c>
      <c r="B262" s="587" t="s">
        <v>749</v>
      </c>
      <c r="C262" s="622">
        <f>C191</f>
        <v>4530000</v>
      </c>
      <c r="D262" s="622">
        <f>D191</f>
        <v>3948335</v>
      </c>
      <c r="E262" s="622">
        <f t="shared" si="30"/>
        <v>-581665</v>
      </c>
    </row>
    <row r="263" spans="1:5" x14ac:dyDescent="0.2">
      <c r="A263" s="588">
        <v>6</v>
      </c>
      <c r="B263" s="587" t="s">
        <v>750</v>
      </c>
      <c r="C263" s="622">
        <f>+C259+C260+C261+C262</f>
        <v>528036449</v>
      </c>
      <c r="D263" s="622">
        <f>+D259+D260+D261+D262</f>
        <v>548967963</v>
      </c>
      <c r="E263" s="622">
        <f t="shared" si="30"/>
        <v>20931514</v>
      </c>
    </row>
    <row r="264" spans="1:5" x14ac:dyDescent="0.2">
      <c r="A264" s="588">
        <v>7</v>
      </c>
      <c r="B264" s="587" t="s">
        <v>655</v>
      </c>
      <c r="C264" s="622">
        <f>+C258-C263</f>
        <v>324409089</v>
      </c>
      <c r="D264" s="622">
        <f>+D258-D263</f>
        <v>343271639</v>
      </c>
      <c r="E264" s="622">
        <f t="shared" si="30"/>
        <v>18862550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324409089</v>
      </c>
      <c r="D266" s="622">
        <f>+D264+D265</f>
        <v>343271639</v>
      </c>
      <c r="E266" s="641">
        <f t="shared" si="30"/>
        <v>18862550</v>
      </c>
    </row>
    <row r="267" spans="1:5" x14ac:dyDescent="0.2">
      <c r="A267" s="588">
        <v>10</v>
      </c>
      <c r="B267" s="587" t="s">
        <v>838</v>
      </c>
      <c r="C267" s="642">
        <f>IF(C258=0,0,C266/C258)</f>
        <v>0.38056283309444688</v>
      </c>
      <c r="D267" s="642">
        <f>IF(D258=0,0,D266/D258)</f>
        <v>0.38473033278341301</v>
      </c>
      <c r="E267" s="643">
        <f t="shared" si="30"/>
        <v>4.1674996889661253E-3</v>
      </c>
    </row>
    <row r="268" spans="1:5" x14ac:dyDescent="0.2">
      <c r="A268" s="588">
        <v>11</v>
      </c>
      <c r="B268" s="587" t="s">
        <v>717</v>
      </c>
      <c r="C268" s="622">
        <f>+C260*C267</f>
        <v>5631845.4733112846</v>
      </c>
      <c r="D268" s="644">
        <f>+D260*D267</f>
        <v>6684103.5878149718</v>
      </c>
      <c r="E268" s="622">
        <f t="shared" si="30"/>
        <v>1052258.1145036872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22264070.940819383</v>
      </c>
      <c r="D269" s="644">
        <f>((D17+D18+D28+D29)*D267)-(D50+D51+D61+D62)</f>
        <v>28957959.539364949</v>
      </c>
      <c r="E269" s="622">
        <f t="shared" si="30"/>
        <v>6693888.5985455662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27895916.414130665</v>
      </c>
      <c r="D271" s="622">
        <f>+D268+D269+D270</f>
        <v>35642063.127179921</v>
      </c>
      <c r="E271" s="625">
        <f t="shared" si="30"/>
        <v>7746146.7130492553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0.65106013649030048</v>
      </c>
      <c r="D276" s="623">
        <f t="shared" si="31"/>
        <v>0.64019426626466092</v>
      </c>
      <c r="E276" s="650">
        <f t="shared" ref="E276:E284" si="32">D276-C276</f>
        <v>-1.0865870225639562E-2</v>
      </c>
    </row>
    <row r="277" spans="1:5" x14ac:dyDescent="0.2">
      <c r="A277" s="588">
        <v>2</v>
      </c>
      <c r="B277" s="587" t="s">
        <v>636</v>
      </c>
      <c r="C277" s="623">
        <f t="shared" si="31"/>
        <v>0.41551197073927593</v>
      </c>
      <c r="D277" s="623">
        <f t="shared" si="31"/>
        <v>0.40416325223180344</v>
      </c>
      <c r="E277" s="650">
        <f t="shared" si="32"/>
        <v>-1.1348718507472488E-2</v>
      </c>
    </row>
    <row r="278" spans="1:5" x14ac:dyDescent="0.2">
      <c r="A278" s="588">
        <v>3</v>
      </c>
      <c r="B278" s="587" t="s">
        <v>778</v>
      </c>
      <c r="C278" s="623">
        <f t="shared" si="31"/>
        <v>0.32152966625973917</v>
      </c>
      <c r="D278" s="623">
        <f t="shared" si="31"/>
        <v>0.27074491917688909</v>
      </c>
      <c r="E278" s="650">
        <f t="shared" si="32"/>
        <v>-5.0784747082850079E-2</v>
      </c>
    </row>
    <row r="279" spans="1:5" x14ac:dyDescent="0.2">
      <c r="A279" s="588">
        <v>4</v>
      </c>
      <c r="B279" s="587" t="s">
        <v>115</v>
      </c>
      <c r="C279" s="623">
        <f t="shared" si="31"/>
        <v>0.32152966625973917</v>
      </c>
      <c r="D279" s="623">
        <f t="shared" si="31"/>
        <v>0.27074491917688909</v>
      </c>
      <c r="E279" s="650">
        <f t="shared" si="32"/>
        <v>-5.0784747082850079E-2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0.42925873306044587</v>
      </c>
      <c r="D281" s="623">
        <f t="shared" si="31"/>
        <v>0.52104554810787984</v>
      </c>
      <c r="E281" s="650">
        <f t="shared" si="32"/>
        <v>9.1786815047433967E-2</v>
      </c>
    </row>
    <row r="282" spans="1:5" x14ac:dyDescent="0.2">
      <c r="A282" s="588">
        <v>7</v>
      </c>
      <c r="B282" s="587" t="s">
        <v>759</v>
      </c>
      <c r="C282" s="623">
        <f t="shared" si="31"/>
        <v>0.14314738124904738</v>
      </c>
      <c r="D282" s="623">
        <f t="shared" si="31"/>
        <v>0.12641647948282475</v>
      </c>
      <c r="E282" s="650">
        <f t="shared" si="32"/>
        <v>-1.6730901766222633E-2</v>
      </c>
    </row>
    <row r="283" spans="1:5" ht="29.25" customHeight="1" x14ac:dyDescent="0.2">
      <c r="A283" s="588"/>
      <c r="B283" s="592" t="s">
        <v>845</v>
      </c>
      <c r="C283" s="651">
        <f t="shared" si="31"/>
        <v>0.39036455442708984</v>
      </c>
      <c r="D283" s="651">
        <f t="shared" si="31"/>
        <v>0.36879584496502432</v>
      </c>
      <c r="E283" s="652">
        <f t="shared" si="32"/>
        <v>-2.1568709462065516E-2</v>
      </c>
    </row>
    <row r="284" spans="1:5" x14ac:dyDescent="0.2">
      <c r="A284" s="588"/>
      <c r="B284" s="592" t="s">
        <v>846</v>
      </c>
      <c r="C284" s="651">
        <f t="shared" si="31"/>
        <v>0.44903273573347546</v>
      </c>
      <c r="D284" s="651">
        <f t="shared" si="31"/>
        <v>0.43048428917627307</v>
      </c>
      <c r="E284" s="652">
        <f t="shared" si="32"/>
        <v>-1.8548446557202392E-2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0.59720790398193746</v>
      </c>
      <c r="D287" s="623">
        <f t="shared" si="33"/>
        <v>0.62974404999389055</v>
      </c>
      <c r="E287" s="650">
        <f t="shared" ref="E287:E295" si="34">D287-C287</f>
        <v>3.2536146011953093E-2</v>
      </c>
    </row>
    <row r="288" spans="1:5" x14ac:dyDescent="0.2">
      <c r="A288" s="588">
        <v>2</v>
      </c>
      <c r="B288" s="587" t="s">
        <v>636</v>
      </c>
      <c r="C288" s="623">
        <f t="shared" si="33"/>
        <v>0.23102895270934012</v>
      </c>
      <c r="D288" s="623">
        <f t="shared" si="33"/>
        <v>0.27549316172546534</v>
      </c>
      <c r="E288" s="650">
        <f t="shared" si="34"/>
        <v>4.4464209016125217E-2</v>
      </c>
    </row>
    <row r="289" spans="1:5" x14ac:dyDescent="0.2">
      <c r="A289" s="588">
        <v>3</v>
      </c>
      <c r="B289" s="587" t="s">
        <v>778</v>
      </c>
      <c r="C289" s="623">
        <f t="shared" si="33"/>
        <v>0.25207284841096927</v>
      </c>
      <c r="D289" s="623">
        <f t="shared" si="33"/>
        <v>0.24796102717907159</v>
      </c>
      <c r="E289" s="650">
        <f t="shared" si="34"/>
        <v>-4.1118212318976832E-3</v>
      </c>
    </row>
    <row r="290" spans="1:5" x14ac:dyDescent="0.2">
      <c r="A290" s="588">
        <v>4</v>
      </c>
      <c r="B290" s="587" t="s">
        <v>115</v>
      </c>
      <c r="C290" s="623">
        <f t="shared" si="33"/>
        <v>0.25207284841096927</v>
      </c>
      <c r="D290" s="623">
        <f t="shared" si="33"/>
        <v>0.24796102717907159</v>
      </c>
      <c r="E290" s="650">
        <f t="shared" si="34"/>
        <v>-4.1118212318976832E-3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0.19653185659337322</v>
      </c>
      <c r="D292" s="623">
        <f t="shared" si="33"/>
        <v>0.2958676062870717</v>
      </c>
      <c r="E292" s="650">
        <f t="shared" si="34"/>
        <v>9.9335749693698489E-2</v>
      </c>
    </row>
    <row r="293" spans="1:5" x14ac:dyDescent="0.2">
      <c r="A293" s="588">
        <v>7</v>
      </c>
      <c r="B293" s="587" t="s">
        <v>759</v>
      </c>
      <c r="C293" s="623">
        <f t="shared" si="33"/>
        <v>0.12326521157959218</v>
      </c>
      <c r="D293" s="623">
        <f t="shared" si="33"/>
        <v>1.6924050004504743E-2</v>
      </c>
      <c r="E293" s="650">
        <f t="shared" si="34"/>
        <v>-0.10634116157508744</v>
      </c>
    </row>
    <row r="294" spans="1:5" ht="29.25" customHeight="1" x14ac:dyDescent="0.2">
      <c r="A294" s="588"/>
      <c r="B294" s="592" t="s">
        <v>848</v>
      </c>
      <c r="C294" s="651">
        <f t="shared" si="33"/>
        <v>0.24039118543822874</v>
      </c>
      <c r="D294" s="651">
        <f t="shared" si="33"/>
        <v>0.26344478442743052</v>
      </c>
      <c r="E294" s="652">
        <f t="shared" si="34"/>
        <v>2.3053598989201785E-2</v>
      </c>
    </row>
    <row r="295" spans="1:5" x14ac:dyDescent="0.2">
      <c r="A295" s="588"/>
      <c r="B295" s="592" t="s">
        <v>849</v>
      </c>
      <c r="C295" s="651">
        <f t="shared" si="33"/>
        <v>0.36652382813569817</v>
      </c>
      <c r="D295" s="651">
        <f t="shared" si="33"/>
        <v>0.3929832954290236</v>
      </c>
      <c r="E295" s="652">
        <f t="shared" si="34"/>
        <v>2.6459467293325434E-2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343737816</v>
      </c>
      <c r="D301" s="590">
        <f>+D48+D47+D50+D51+D52+D59+D58+D61+D62+D63</f>
        <v>364593451</v>
      </c>
      <c r="E301" s="590">
        <f>D301-C301</f>
        <v>20855635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343737816</v>
      </c>
      <c r="D303" s="593">
        <f>+D301+D302</f>
        <v>364593451</v>
      </c>
      <c r="E303" s="593">
        <f>D303-C303</f>
        <v>20855635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-4585956</v>
      </c>
      <c r="D305" s="654">
        <v>-6199707</v>
      </c>
      <c r="E305" s="655">
        <f>D305-C305</f>
        <v>-1613751</v>
      </c>
    </row>
    <row r="306" spans="1:5" x14ac:dyDescent="0.2">
      <c r="A306" s="588">
        <v>4</v>
      </c>
      <c r="B306" s="592" t="s">
        <v>856</v>
      </c>
      <c r="C306" s="593">
        <f>+C303+C305+C194+C190-C191</f>
        <v>347886696</v>
      </c>
      <c r="D306" s="593">
        <f>+D303+D305</f>
        <v>358393744</v>
      </c>
      <c r="E306" s="656">
        <f>D306-C306</f>
        <v>10507048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339152000</v>
      </c>
      <c r="D308" s="589">
        <v>358393744</v>
      </c>
      <c r="E308" s="590">
        <f>D308-C308</f>
        <v>19241744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8734696</v>
      </c>
      <c r="D310" s="658">
        <f>D306-D308</f>
        <v>0</v>
      </c>
      <c r="E310" s="656">
        <f>D310-C310</f>
        <v>-8734696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852445538</v>
      </c>
      <c r="D314" s="590">
        <f>+D14+D15+D16+D19+D25+D26+D27+D30</f>
        <v>892239602</v>
      </c>
      <c r="E314" s="590">
        <f>D314-C314</f>
        <v>39794064</v>
      </c>
    </row>
    <row r="315" spans="1:5" x14ac:dyDescent="0.2">
      <c r="A315" s="588">
        <v>2</v>
      </c>
      <c r="B315" s="659" t="s">
        <v>861</v>
      </c>
      <c r="C315" s="589">
        <v>10197577</v>
      </c>
      <c r="D315" s="589">
        <v>10075774</v>
      </c>
      <c r="E315" s="590">
        <f>D315-C315</f>
        <v>-121803</v>
      </c>
    </row>
    <row r="316" spans="1:5" x14ac:dyDescent="0.2">
      <c r="A316" s="588"/>
      <c r="B316" s="592" t="s">
        <v>862</v>
      </c>
      <c r="C316" s="657">
        <f>C314+C315</f>
        <v>862643115</v>
      </c>
      <c r="D316" s="657">
        <f>D314+D315</f>
        <v>902315376</v>
      </c>
      <c r="E316" s="593">
        <f>D316-C316</f>
        <v>39672261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862643115</v>
      </c>
      <c r="D318" s="589">
        <v>902315375</v>
      </c>
      <c r="E318" s="590">
        <f>D318-C318</f>
        <v>39672260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14798727</v>
      </c>
      <c r="D324" s="589">
        <f>+D193+D194</f>
        <v>17373477</v>
      </c>
      <c r="E324" s="590">
        <f>D324-C324</f>
        <v>2574750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14798727</v>
      </c>
      <c r="D326" s="657">
        <f>D324+D325</f>
        <v>17373477</v>
      </c>
      <c r="E326" s="593">
        <f>D326-C326</f>
        <v>2574750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14798727</v>
      </c>
      <c r="D328" s="589">
        <v>17373477</v>
      </c>
      <c r="E328" s="590">
        <f>D328-C328</f>
        <v>2574750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1" orientation="portrait" horizontalDpi="1200" verticalDpi="1200" r:id="rId1"/>
  <headerFooter>
    <oddHeader>_x000D_
                &amp;LOFFICE OF HEALTH CARE ACCESS&amp;CTWELVE MONTHS ACTUAL FILING&amp;RTHE HOSPITAL OF CENTRAL CONNECTICUT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84602440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210370343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76705288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76705288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530516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3650600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287606147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372208587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183904391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187368099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147801259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147801259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957266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10877420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336126624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520031015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268506831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623732771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892239602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54161997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85023962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20767567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20767567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276423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461496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106067952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160229949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115812696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51618630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36648952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36648952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283224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184090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88550806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204363502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169974693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194618758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364593451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3617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6458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3852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3852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130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10323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13940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1.2376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1.6580999999999999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1.1048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1.1048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1.4839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1.1455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1.4514182020730406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1.3959389741750359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268506831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169974693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98532138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0.36696324496861682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7464972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3948335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10644417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6729060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17373477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11448697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366685881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364593451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364593451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-6199707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358393744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358393744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892239602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10075774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902315376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902315375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17373477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17373477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17373477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3" orientation="portrait" r:id="rId1"/>
  <headerFooter>
    <oddHeader>&amp;LOFFICE OF HEALTH CARE ACCESS&amp;CTWELVE MONTHS ACTUAL FILING&amp;RTHE HOSPITAL OF CENTRAL CONNECTICUT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906</v>
      </c>
      <c r="D12" s="185">
        <v>1124</v>
      </c>
      <c r="E12" s="185">
        <f>+D12-C12</f>
        <v>218</v>
      </c>
      <c r="F12" s="77">
        <f>IF(C12=0,0,+E12/C12)</f>
        <v>0.24061810154525387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520</v>
      </c>
      <c r="D13" s="185">
        <v>863</v>
      </c>
      <c r="E13" s="185">
        <f>+D13-C13</f>
        <v>343</v>
      </c>
      <c r="F13" s="77">
        <f>IF(C13=0,0,+E13/C13)</f>
        <v>0.6596153846153846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9706868</v>
      </c>
      <c r="D15" s="76">
        <v>10644417</v>
      </c>
      <c r="E15" s="76">
        <f>+D15-C15</f>
        <v>937549</v>
      </c>
      <c r="F15" s="77">
        <f>IF(C15=0,0,+E15/C15)</f>
        <v>9.6586149105973212E-2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18667.053846153845</v>
      </c>
      <c r="D16" s="79">
        <f>IF(D13=0,0,+D15/+D13)</f>
        <v>12334.202780996524</v>
      </c>
      <c r="E16" s="79">
        <f>+D16-C16</f>
        <v>-6332.8510651573215</v>
      </c>
      <c r="F16" s="80">
        <f>IF(C16=0,0,+E16/C16)</f>
        <v>-0.33925284179014359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0.40965099999999999</v>
      </c>
      <c r="D18" s="704">
        <v>0.41094999999999998</v>
      </c>
      <c r="E18" s="704">
        <f>+D18-C18</f>
        <v>1.2989999999999946E-3</v>
      </c>
      <c r="F18" s="77">
        <f>IF(C18=0,0,+E18/C18)</f>
        <v>3.1709918930992349E-3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3976428.1830679998</v>
      </c>
      <c r="D19" s="79">
        <f>+D15*D18</f>
        <v>4374323.1661499999</v>
      </c>
      <c r="E19" s="79">
        <f>+D19-C19</f>
        <v>397894.98308200017</v>
      </c>
      <c r="F19" s="80">
        <f>IF(C19=0,0,+E19/C19)</f>
        <v>0.10006341489487322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7646.9772751307692</v>
      </c>
      <c r="D20" s="79">
        <f>IF(D13=0,0,+D19/D13)</f>
        <v>5068.7406328505213</v>
      </c>
      <c r="E20" s="79">
        <f>+D20-C20</f>
        <v>-2578.2366422802479</v>
      </c>
      <c r="F20" s="80">
        <f>IF(C20=0,0,+E20/C20)</f>
        <v>-0.3371576179080718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2122076</v>
      </c>
      <c r="D22" s="76">
        <v>2215162</v>
      </c>
      <c r="E22" s="76">
        <f>+D22-C22</f>
        <v>93086</v>
      </c>
      <c r="F22" s="77">
        <f>IF(C22=0,0,+E22/C22)</f>
        <v>4.386553544736381E-2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5421348</v>
      </c>
      <c r="D23" s="185">
        <v>5653778</v>
      </c>
      <c r="E23" s="185">
        <f>+D23-C23</f>
        <v>232430</v>
      </c>
      <c r="F23" s="77">
        <f>IF(C23=0,0,+E23/C23)</f>
        <v>4.2873100933568553E-2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2163444</v>
      </c>
      <c r="D24" s="185">
        <v>2775477</v>
      </c>
      <c r="E24" s="185">
        <f>+D24-C24</f>
        <v>612033</v>
      </c>
      <c r="F24" s="77">
        <f>IF(C24=0,0,+E24/C24)</f>
        <v>0.28289754668944517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9706868</v>
      </c>
      <c r="D25" s="79">
        <f>+D22+D23+D24</f>
        <v>10644417</v>
      </c>
      <c r="E25" s="79">
        <f>+E22+E23+E24</f>
        <v>937549</v>
      </c>
      <c r="F25" s="80">
        <f>IF(C25=0,0,+E25/C25)</f>
        <v>9.6586149105973212E-2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3317</v>
      </c>
      <c r="D27" s="185">
        <v>3250</v>
      </c>
      <c r="E27" s="185">
        <f>+D27-C27</f>
        <v>-67</v>
      </c>
      <c r="F27" s="77">
        <f>IF(C27=0,0,+E27/C27)</f>
        <v>-2.0198974977389206E-2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577</v>
      </c>
      <c r="D28" s="185">
        <v>616</v>
      </c>
      <c r="E28" s="185">
        <f>+D28-C28</f>
        <v>39</v>
      </c>
      <c r="F28" s="77">
        <f>IF(C28=0,0,+E28/C28)</f>
        <v>6.7590987868284227E-2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6673</v>
      </c>
      <c r="D29" s="185">
        <v>7299</v>
      </c>
      <c r="E29" s="185">
        <f>+D29-C29</f>
        <v>626</v>
      </c>
      <c r="F29" s="77">
        <f>IF(C29=0,0,+E29/C29)</f>
        <v>9.3810879664318891E-2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3673</v>
      </c>
      <c r="D30" s="185">
        <v>4488</v>
      </c>
      <c r="E30" s="185">
        <f>+D30-C30</f>
        <v>815</v>
      </c>
      <c r="F30" s="77">
        <f>IF(C30=0,0,+E30/C30)</f>
        <v>0.22188946365368908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1743990</v>
      </c>
      <c r="D33" s="76">
        <v>2153135</v>
      </c>
      <c r="E33" s="76">
        <f>+D33-C33</f>
        <v>409145</v>
      </c>
      <c r="F33" s="77">
        <f>IF(C33=0,0,+E33/C33)</f>
        <v>0.23460283602543591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1791093</v>
      </c>
      <c r="D34" s="185">
        <v>2448097</v>
      </c>
      <c r="E34" s="185">
        <f>+D34-C34</f>
        <v>657004</v>
      </c>
      <c r="F34" s="77">
        <f>IF(C34=0,0,+E34/C34)</f>
        <v>0.36681735677600213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1556776</v>
      </c>
      <c r="D35" s="185">
        <v>2127828</v>
      </c>
      <c r="E35" s="185">
        <f>+D35-C35</f>
        <v>571052</v>
      </c>
      <c r="F35" s="77">
        <f>IF(C35=0,0,+E35/C35)</f>
        <v>0.36681706295574956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5091859</v>
      </c>
      <c r="D36" s="79">
        <f>+D33+D34+D35</f>
        <v>6729060</v>
      </c>
      <c r="E36" s="79">
        <f>+E33+E34+E35</f>
        <v>1637201</v>
      </c>
      <c r="F36" s="80">
        <f>IF(C36=0,0,+E36/C36)</f>
        <v>0.32153305894762602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9706868</v>
      </c>
      <c r="D39" s="76">
        <f>+D25</f>
        <v>10644417</v>
      </c>
      <c r="E39" s="76">
        <f>+D39-C39</f>
        <v>937549</v>
      </c>
      <c r="F39" s="77">
        <f>IF(C39=0,0,+E39/C39)</f>
        <v>9.6586149105973212E-2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5091859</v>
      </c>
      <c r="D40" s="185">
        <f>+D36</f>
        <v>6729060</v>
      </c>
      <c r="E40" s="185">
        <f>+D40-C40</f>
        <v>1637201</v>
      </c>
      <c r="F40" s="77">
        <f>IF(C40=0,0,+E40/C40)</f>
        <v>0.32153305894762602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14798727</v>
      </c>
      <c r="D41" s="79">
        <f>+D39+D40</f>
        <v>17373477</v>
      </c>
      <c r="E41" s="79">
        <f>+E39+E40</f>
        <v>2574750</v>
      </c>
      <c r="F41" s="80">
        <f>IF(C41=0,0,+E41/C41)</f>
        <v>0.17398455961786444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3866066</v>
      </c>
      <c r="D43" s="76">
        <f t="shared" si="0"/>
        <v>4368297</v>
      </c>
      <c r="E43" s="76">
        <f>+D43-C43</f>
        <v>502231</v>
      </c>
      <c r="F43" s="77">
        <f>IF(C43=0,0,+E43/C43)</f>
        <v>0.12990750804564641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7212441</v>
      </c>
      <c r="D44" s="185">
        <f t="shared" si="0"/>
        <v>8101875</v>
      </c>
      <c r="E44" s="185">
        <f>+D44-C44</f>
        <v>889434</v>
      </c>
      <c r="F44" s="77">
        <f>IF(C44=0,0,+E44/C44)</f>
        <v>0.12331941432865794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3720220</v>
      </c>
      <c r="D45" s="185">
        <f t="shared" si="0"/>
        <v>4903305</v>
      </c>
      <c r="E45" s="185">
        <f>+D45-C45</f>
        <v>1183085</v>
      </c>
      <c r="F45" s="77">
        <f>IF(C45=0,0,+E45/C45)</f>
        <v>0.318014794823962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14798727</v>
      </c>
      <c r="D46" s="79">
        <f>+D43+D44+D45</f>
        <v>17373477</v>
      </c>
      <c r="E46" s="79">
        <f>+E43+E44+E45</f>
        <v>2574750</v>
      </c>
      <c r="F46" s="80">
        <f>IF(C46=0,0,+E46/C46)</f>
        <v>0.17398455961786444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FILING&amp;RTHE HOSPITAL OF CENTRAL CONNECTICUT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252612782</v>
      </c>
      <c r="D15" s="76">
        <v>268506831</v>
      </c>
      <c r="E15" s="76">
        <f>+D15-C15</f>
        <v>15894049</v>
      </c>
      <c r="F15" s="77">
        <f>IF(C15=0,0,E15/C15)</f>
        <v>6.2918625392439559E-2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97153547</v>
      </c>
      <c r="D17" s="76">
        <v>98532138</v>
      </c>
      <c r="E17" s="76">
        <f>+D17-C17</f>
        <v>1378591</v>
      </c>
      <c r="F17" s="77">
        <f>IF(C17=0,0,E17/C17)</f>
        <v>1.418981645621235E-2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155459235</v>
      </c>
      <c r="D19" s="79">
        <f>+D15-D17</f>
        <v>169974693</v>
      </c>
      <c r="E19" s="79">
        <f>+D19-C19</f>
        <v>14515458</v>
      </c>
      <c r="F19" s="80">
        <f>IF(C19=0,0,E19/C19)</f>
        <v>9.3371474521922099E-2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0.38459473915298553</v>
      </c>
      <c r="D21" s="720">
        <f>IF(D15=0,0,D17/D15)</f>
        <v>0.36696324496861682</v>
      </c>
      <c r="E21" s="720">
        <f>+D21-C21</f>
        <v>-1.7631494184368712E-2</v>
      </c>
      <c r="F21" s="80">
        <f>IF(C21=0,0,E21/C21)</f>
        <v>-4.5844345721419738E-2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FILING&amp;R&amp;12THE HOSPITAL OF CENTRAL CONNECTICUT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370675621</v>
      </c>
      <c r="D10" s="744">
        <v>379307096</v>
      </c>
      <c r="E10" s="744">
        <v>372208587</v>
      </c>
    </row>
    <row r="11" spans="1:6" ht="26.1" customHeight="1" x14ac:dyDescent="0.25">
      <c r="A11" s="742">
        <v>2</v>
      </c>
      <c r="B11" s="743" t="s">
        <v>933</v>
      </c>
      <c r="C11" s="744">
        <v>483755858</v>
      </c>
      <c r="D11" s="744">
        <v>473138442</v>
      </c>
      <c r="E11" s="744">
        <v>520031015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854431479</v>
      </c>
      <c r="D12" s="744">
        <f>+D11+D10</f>
        <v>852445538</v>
      </c>
      <c r="E12" s="744">
        <f>+E11+E10</f>
        <v>892239602</v>
      </c>
    </row>
    <row r="13" spans="1:6" ht="26.1" customHeight="1" x14ac:dyDescent="0.25">
      <c r="A13" s="742">
        <v>4</v>
      </c>
      <c r="B13" s="743" t="s">
        <v>507</v>
      </c>
      <c r="C13" s="744">
        <v>361711967</v>
      </c>
      <c r="D13" s="744">
        <v>339151859</v>
      </c>
      <c r="E13" s="744">
        <v>358393744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359304084</v>
      </c>
      <c r="D16" s="744">
        <v>355106697</v>
      </c>
      <c r="E16" s="744">
        <v>366685881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69265</v>
      </c>
      <c r="D19" s="747">
        <v>69007</v>
      </c>
      <c r="E19" s="747">
        <v>65105</v>
      </c>
    </row>
    <row r="20" spans="1:5" ht="26.1" customHeight="1" x14ac:dyDescent="0.25">
      <c r="A20" s="742">
        <v>2</v>
      </c>
      <c r="B20" s="743" t="s">
        <v>381</v>
      </c>
      <c r="C20" s="748">
        <v>15640</v>
      </c>
      <c r="D20" s="748">
        <v>15230</v>
      </c>
      <c r="E20" s="748">
        <v>13940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4.4287084398976981</v>
      </c>
      <c r="D21" s="749">
        <f>IF(D20=0,0,+D19/D20)</f>
        <v>4.5309914642153641</v>
      </c>
      <c r="E21" s="749">
        <f>IF(E20=0,0,+E19/E20)</f>
        <v>4.670373027259684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159660.34192719407</v>
      </c>
      <c r="D22" s="748">
        <f>IF(D10=0,0,D19*(D12/D10))</f>
        <v>155084.65267616822</v>
      </c>
      <c r="E22" s="748">
        <f>IF(E10=0,0,E19*(E12/E10))</f>
        <v>156066.41361073701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36051.219919747571</v>
      </c>
      <c r="D23" s="748">
        <f>IF(D10=0,0,D20*(D12/D10))</f>
        <v>34227.531413596327</v>
      </c>
      <c r="E23" s="748">
        <f>IF(E10=0,0,E20*(E12/E10))</f>
        <v>33416.263047902219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1.3089228132992328</v>
      </c>
      <c r="D26" s="750">
        <v>1.3075041470781352</v>
      </c>
      <c r="E26" s="750">
        <v>1.3959389741750359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90662.538663171363</v>
      </c>
      <c r="D27" s="748">
        <f>D19*D26</f>
        <v>90226.938677420883</v>
      </c>
      <c r="E27" s="748">
        <f>E19*E26</f>
        <v>90882.606913665717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20471.552800000001</v>
      </c>
      <c r="D28" s="748">
        <f>D20*D26</f>
        <v>19913.28816</v>
      </c>
      <c r="E28" s="748">
        <f>E20*E26</f>
        <v>19459.389299999999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208983.06392766032</v>
      </c>
      <c r="D29" s="748">
        <f>D22*D26</f>
        <v>202773.82652226216</v>
      </c>
      <c r="E29" s="748">
        <f>E22*E26</f>
        <v>217859.18931894909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47188.264200225334</v>
      </c>
      <c r="D30" s="748">
        <f>D23*D26</f>
        <v>44752.639267524348</v>
      </c>
      <c r="E30" s="748">
        <f>E23*E26</f>
        <v>46647.063959851781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12335.688717245363</v>
      </c>
      <c r="D33" s="744">
        <f>IF(D19=0,0,D12/D19)</f>
        <v>12353.029953482979</v>
      </c>
      <c r="E33" s="744">
        <f>IF(E19=0,0,E12/E19)</f>
        <v>13704.624867521696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54631.168734015344</v>
      </c>
      <c r="D34" s="744">
        <f>IF(D20=0,0,D12/D20)</f>
        <v>55971.4732764281</v>
      </c>
      <c r="E34" s="744">
        <f>IF(E20=0,0,E12/E20)</f>
        <v>64005.710329985654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5351.5573666353857</v>
      </c>
      <c r="D35" s="744">
        <f>IF(D22=0,0,D12/D22)</f>
        <v>5496.6466590345908</v>
      </c>
      <c r="E35" s="744">
        <f>IF(E22=0,0,E12/E22)</f>
        <v>5717.0507180708091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23700.487276214833</v>
      </c>
      <c r="D36" s="744">
        <f>IF(D23=0,0,D12/D23)</f>
        <v>24905.259093893634</v>
      </c>
      <c r="E36" s="744">
        <f>IF(E23=0,0,E12/E23)</f>
        <v>26700.75946915352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4088.520203224517</v>
      </c>
      <c r="D37" s="744">
        <f>IF(D29=0,0,D12/D29)</f>
        <v>4203.9229254590782</v>
      </c>
      <c r="E37" s="744">
        <f>IF(E29=0,0,E12/E29)</f>
        <v>4095.4875706149255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18106.863930712669</v>
      </c>
      <c r="D38" s="744">
        <f>IF(D30=0,0,D12/D30)</f>
        <v>19047.938891474369</v>
      </c>
      <c r="E38" s="744">
        <f>IF(E30=0,0,E12/E30)</f>
        <v>19127.454683277243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2321.6511785314224</v>
      </c>
      <c r="D39" s="744">
        <f>IF(D22=0,0,D10/D22)</f>
        <v>2445.8067865169737</v>
      </c>
      <c r="E39" s="744">
        <f>IF(E22=0,0,E10/E22)</f>
        <v>2384.9371455947448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10281.916168860547</v>
      </c>
      <c r="D40" s="744">
        <f>IF(D23=0,0,D10/D23)</f>
        <v>11081.929672828419</v>
      </c>
      <c r="E40" s="744">
        <f>IF(E23=0,0,E10/E23)</f>
        <v>11138.546116495399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5222.1463509709092</v>
      </c>
      <c r="D43" s="744">
        <f>IF(D19=0,0,D13/D19)</f>
        <v>4914.7457359398322</v>
      </c>
      <c r="E43" s="744">
        <f>IF(E19=0,0,E13/E19)</f>
        <v>5504.8574456646957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23127.363618925832</v>
      </c>
      <c r="D44" s="744">
        <f>IF(D20=0,0,D13/D20)</f>
        <v>22268.67097833224</v>
      </c>
      <c r="E44" s="744">
        <f>IF(E20=0,0,E13/E20)</f>
        <v>25709.737733142036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2265.5091592184021</v>
      </c>
      <c r="D45" s="744">
        <f>IF(D22=0,0,D13/D22)</f>
        <v>2186.8821520862025</v>
      </c>
      <c r="E45" s="744">
        <f>IF(E22=0,0,E13/E22)</f>
        <v>2296.4181447387559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10033.279534096073</v>
      </c>
      <c r="D46" s="744">
        <f>IF(D23=0,0,D13/D23)</f>
        <v>9908.7443643475108</v>
      </c>
      <c r="E46" s="744">
        <f>IF(E23=0,0,E13/E23)</f>
        <v>10725.129362497612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1730.8195228930463</v>
      </c>
      <c r="D47" s="744">
        <f>IF(D29=0,0,D13/D29)</f>
        <v>1672.5623065695077</v>
      </c>
      <c r="E47" s="744">
        <f>IF(E29=0,0,E13/E29)</f>
        <v>1645.070584905676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7665.2950289761402</v>
      </c>
      <c r="D48" s="744">
        <f>IF(D30=0,0,D13/D30)</f>
        <v>7578.3655344348008</v>
      </c>
      <c r="E48" s="744">
        <f>IF(E30=0,0,E13/E30)</f>
        <v>7683.0932876817824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5187.3830072908395</v>
      </c>
      <c r="D51" s="744">
        <f>IF(D19=0,0,D16/D19)</f>
        <v>5145.9518164823858</v>
      </c>
      <c r="E51" s="744">
        <f>IF(E19=0,0,E16/E19)</f>
        <v>5632.2230397050917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22973.406905370844</v>
      </c>
      <c r="D52" s="744">
        <f>IF(D20=0,0,D16/D20)</f>
        <v>23316.26375574524</v>
      </c>
      <c r="E52" s="744">
        <f>IF(E20=0,0,E16/E20)</f>
        <v>26304.58256814921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2250.4278749687542</v>
      </c>
      <c r="D53" s="744">
        <f>IF(D22=0,0,D16/D22)</f>
        <v>2289.760404219347</v>
      </c>
      <c r="E53" s="744">
        <f>IF(E22=0,0,E16/E22)</f>
        <v>2349.5502492585815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9966.4889232551614</v>
      </c>
      <c r="D54" s="744">
        <f>IF(D23=0,0,D16/D23)</f>
        <v>10374.884846616185</v>
      </c>
      <c r="E54" s="744">
        <f>IF(E23=0,0,E16/E23)</f>
        <v>10973.276110328547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1719.2976179369896</v>
      </c>
      <c r="D55" s="744">
        <f>IF(D29=0,0,D16/D29)</f>
        <v>1751.2452326336777</v>
      </c>
      <c r="E55" s="744">
        <f>IF(E29=0,0,E16/E29)</f>
        <v>1683.1324955642169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7614.2678712535526</v>
      </c>
      <c r="D56" s="744">
        <f>IF(D30=0,0,D16/D30)</f>
        <v>7934.8772008110436</v>
      </c>
      <c r="E56" s="744">
        <f>IF(E30=0,0,E16/E30)</f>
        <v>7860.8566085873999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55467737</v>
      </c>
      <c r="D59" s="752">
        <v>54890328</v>
      </c>
      <c r="E59" s="752">
        <v>53467923</v>
      </c>
    </row>
    <row r="60" spans="1:6" ht="26.1" customHeight="1" x14ac:dyDescent="0.25">
      <c r="A60" s="742">
        <v>2</v>
      </c>
      <c r="B60" s="743" t="s">
        <v>969</v>
      </c>
      <c r="C60" s="752">
        <v>16863617</v>
      </c>
      <c r="D60" s="752">
        <v>16616732</v>
      </c>
      <c r="E60" s="752">
        <v>14652480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72331354</v>
      </c>
      <c r="D61" s="755">
        <f>D59+D60</f>
        <v>71507060</v>
      </c>
      <c r="E61" s="755">
        <f>E59+E60</f>
        <v>68120403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26775789</v>
      </c>
      <c r="D64" s="744">
        <v>25288284</v>
      </c>
      <c r="E64" s="752">
        <v>25579872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8140528</v>
      </c>
      <c r="D65" s="752">
        <v>8220997</v>
      </c>
      <c r="E65" s="752">
        <v>7249199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34916317</v>
      </c>
      <c r="D66" s="757">
        <f>D64+D65</f>
        <v>33509281</v>
      </c>
      <c r="E66" s="757">
        <f>E64+E65</f>
        <v>32829071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66172692</v>
      </c>
      <c r="D69" s="752">
        <v>62467928</v>
      </c>
      <c r="E69" s="752">
        <v>56821831</v>
      </c>
    </row>
    <row r="70" spans="1:6" ht="26.1" customHeight="1" x14ac:dyDescent="0.25">
      <c r="A70" s="742">
        <v>2</v>
      </c>
      <c r="B70" s="743" t="s">
        <v>977</v>
      </c>
      <c r="C70" s="752">
        <v>20118199</v>
      </c>
      <c r="D70" s="752">
        <v>19967424</v>
      </c>
      <c r="E70" s="752">
        <v>17607088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86290891</v>
      </c>
      <c r="D71" s="755">
        <f>D69+D70</f>
        <v>82435352</v>
      </c>
      <c r="E71" s="755">
        <f>E69+E70</f>
        <v>74428919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148416218</v>
      </c>
      <c r="D75" s="744">
        <f t="shared" si="0"/>
        <v>142646540</v>
      </c>
      <c r="E75" s="744">
        <f t="shared" si="0"/>
        <v>135869626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45122344</v>
      </c>
      <c r="D76" s="744">
        <f t="shared" si="0"/>
        <v>44805153</v>
      </c>
      <c r="E76" s="744">
        <f t="shared" si="0"/>
        <v>39508767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193538562</v>
      </c>
      <c r="D77" s="757">
        <f>D75+D76</f>
        <v>187451693</v>
      </c>
      <c r="E77" s="757">
        <f>E75+E76</f>
        <v>175378393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513.5</v>
      </c>
      <c r="D80" s="749">
        <v>489.7</v>
      </c>
      <c r="E80" s="749">
        <v>494.2</v>
      </c>
    </row>
    <row r="81" spans="1:5" ht="26.1" customHeight="1" x14ac:dyDescent="0.25">
      <c r="A81" s="742">
        <v>2</v>
      </c>
      <c r="B81" s="743" t="s">
        <v>617</v>
      </c>
      <c r="C81" s="749">
        <v>113.9</v>
      </c>
      <c r="D81" s="749">
        <v>106.5</v>
      </c>
      <c r="E81" s="749">
        <v>103.2</v>
      </c>
    </row>
    <row r="82" spans="1:5" ht="26.1" customHeight="1" x14ac:dyDescent="0.25">
      <c r="A82" s="742">
        <v>3</v>
      </c>
      <c r="B82" s="743" t="s">
        <v>983</v>
      </c>
      <c r="C82" s="749">
        <v>1374.3</v>
      </c>
      <c r="D82" s="749">
        <v>1242.0999999999999</v>
      </c>
      <c r="E82" s="749">
        <v>1142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2001.6999999999998</v>
      </c>
      <c r="D83" s="759">
        <f>D80+D81+D82</f>
        <v>1838.3</v>
      </c>
      <c r="E83" s="759">
        <f>E80+E81+E82</f>
        <v>1739.4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108018.96202531646</v>
      </c>
      <c r="D86" s="752">
        <f>IF(D80=0,0,D59/D80)</f>
        <v>112089.70390034716</v>
      </c>
      <c r="E86" s="752">
        <f>IF(E80=0,0,E59/E80)</f>
        <v>108190.85997571834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32840.539435248298</v>
      </c>
      <c r="D87" s="752">
        <f>IF(D80=0,0,D60/D80)</f>
        <v>33932.472942617933</v>
      </c>
      <c r="E87" s="752">
        <f>IF(E80=0,0,E60/E80)</f>
        <v>29648.887090246862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140859.50146056476</v>
      </c>
      <c r="D88" s="755">
        <f>+D86+D87</f>
        <v>146022.1768429651</v>
      </c>
      <c r="E88" s="755">
        <f>+E86+E87</f>
        <v>137839.7470659652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235081.55399473221</v>
      </c>
      <c r="D91" s="744">
        <f>IF(D81=0,0,D64/D81)</f>
        <v>237448.67605633804</v>
      </c>
      <c r="E91" s="744">
        <f>IF(E81=0,0,E64/E81)</f>
        <v>247866.97674418605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71470.834064969269</v>
      </c>
      <c r="D92" s="744">
        <f>IF(D81=0,0,D65/D81)</f>
        <v>77192.46009389672</v>
      </c>
      <c r="E92" s="744">
        <f>IF(E81=0,0,E65/E81)</f>
        <v>70244.176356589145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306552.38805970148</v>
      </c>
      <c r="D93" s="757">
        <f>+D91+D92</f>
        <v>314641.13615023473</v>
      </c>
      <c r="E93" s="757">
        <f>+E91+E92</f>
        <v>318111.15310077521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48150.106963545077</v>
      </c>
      <c r="D96" s="752">
        <f>IF(D82=0,0,D69/D82)</f>
        <v>50292.189034699302</v>
      </c>
      <c r="E96" s="752">
        <f>IF(E82=0,0,E69/E82)</f>
        <v>49756.419439579688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14638.86997016663</v>
      </c>
      <c r="D97" s="752">
        <f>IF(D82=0,0,D70/D82)</f>
        <v>16075.536591256743</v>
      </c>
      <c r="E97" s="752">
        <f>IF(E82=0,0,E70/E82)</f>
        <v>15417.765323992995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62788.976933711703</v>
      </c>
      <c r="D98" s="757">
        <f>+D96+D97</f>
        <v>66367.725625956053</v>
      </c>
      <c r="E98" s="757">
        <f>+E96+E97</f>
        <v>65174.184763572681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74145.085677174415</v>
      </c>
      <c r="D101" s="744">
        <f>IF(D83=0,0,D75/D83)</f>
        <v>77596.986346080623</v>
      </c>
      <c r="E101" s="744">
        <f>IF(E83=0,0,E75/E83)</f>
        <v>78112.927446245827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22542.011290403159</v>
      </c>
      <c r="D102" s="761">
        <f>IF(D83=0,0,D76/D83)</f>
        <v>24373.145297285537</v>
      </c>
      <c r="E102" s="761">
        <f>IF(E83=0,0,E76/E83)</f>
        <v>22714.020351845462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96687.09696757757</v>
      </c>
      <c r="D103" s="757">
        <f>+D101+D102</f>
        <v>101970.13164336616</v>
      </c>
      <c r="E103" s="757">
        <f>+E101+E102</f>
        <v>100826.94779809129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2794.1754421424962</v>
      </c>
      <c r="D108" s="744">
        <f>IF(D19=0,0,D77/D19)</f>
        <v>2716.4156245018621</v>
      </c>
      <c r="E108" s="744">
        <f>IF(E19=0,0,E77/E19)</f>
        <v>2693.7776361262577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12374.588363171355</v>
      </c>
      <c r="D109" s="744">
        <f>IF(D20=0,0,D77/D20)</f>
        <v>12308.056007879186</v>
      </c>
      <c r="E109" s="744">
        <f>IF(E20=0,0,E77/E20)</f>
        <v>12580.946413199426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1212.1893243110715</v>
      </c>
      <c r="D110" s="744">
        <f>IF(D22=0,0,D77/D22)</f>
        <v>1208.7056311846493</v>
      </c>
      <c r="E110" s="744">
        <f>IF(E22=0,0,E77/E22)</f>
        <v>1123.7420591814916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5368.4330913303293</v>
      </c>
      <c r="D111" s="744">
        <f>IF(D23=0,0,D77/D23)</f>
        <v>5476.6348976466907</v>
      </c>
      <c r="E111" s="744">
        <f>IF(E23=0,0,E77/E23)</f>
        <v>5248.2946027984954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926.09687293604588</v>
      </c>
      <c r="D112" s="744">
        <f>IF(D29=0,0,D77/D29)</f>
        <v>924.43732120141271</v>
      </c>
      <c r="E112" s="744">
        <f>IF(E29=0,0,E77/E29)</f>
        <v>805.0080125068464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4101.4130373347325</v>
      </c>
      <c r="D113" s="744">
        <f>IF(D30=0,0,D77/D30)</f>
        <v>4188.6176115657181</v>
      </c>
      <c r="E113" s="744">
        <f>IF(E30=0,0,E77/E30)</f>
        <v>3759.6877083399027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3" fitToHeight="5" orientation="portrait" horizontalDpi="1200" verticalDpi="1200" r:id="rId1"/>
  <headerFooter>
    <oddHeader>&amp;L&amp;"Arial,Bold"&amp;12OFFICE OF HEALTH CARE ACCESS&amp;C&amp;"Arial,Bold"&amp;12TWELVE MONTHS ACTUAL FILING&amp;R&amp;"Arial,Bold"&amp;12THE HOSPITAL OF CENTRAL CONNECTICUT</oddHeader>
    <oddFooter>&amp;L&amp;"Arial,Bold"&amp;12REPORT 700&amp;C&amp;"Arial,Bold"&amp;12PAGE &amp;P of &amp;N&amp;R&amp;"Arial,Bold"&amp;12&amp;D, &amp;T</oddFooter>
  </headerFooter>
  <rowBreaks count="2" manualBreakCount="2">
    <brk id="40" max="4" man="1"/>
    <brk id="77" max="4" man="1"/>
  </rowBreaks>
  <colBreaks count="1" manualBreakCount="1">
    <brk id="6" min="7" max="1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862643115</v>
      </c>
      <c r="D12" s="76">
        <v>902315375</v>
      </c>
      <c r="E12" s="76">
        <f t="shared" ref="E12:E21" si="0">D12-C12</f>
        <v>39672260</v>
      </c>
      <c r="F12" s="77">
        <f t="shared" ref="F12:F21" si="1">IF(C12=0,0,E12/C12)</f>
        <v>4.5989192181751778E-2</v>
      </c>
    </row>
    <row r="13" spans="1:8" ht="23.1" customHeight="1" x14ac:dyDescent="0.2">
      <c r="A13" s="74">
        <v>2</v>
      </c>
      <c r="B13" s="75" t="s">
        <v>72</v>
      </c>
      <c r="C13" s="76">
        <v>508692529</v>
      </c>
      <c r="D13" s="76">
        <v>526548154</v>
      </c>
      <c r="E13" s="76">
        <f t="shared" si="0"/>
        <v>17855625</v>
      </c>
      <c r="F13" s="77">
        <f t="shared" si="1"/>
        <v>3.5101016787293923E-2</v>
      </c>
    </row>
    <row r="14" spans="1:8" ht="23.1" customHeight="1" x14ac:dyDescent="0.2">
      <c r="A14" s="74">
        <v>3</v>
      </c>
      <c r="B14" s="75" t="s">
        <v>73</v>
      </c>
      <c r="C14" s="76">
        <v>9706868</v>
      </c>
      <c r="D14" s="76">
        <v>10644417</v>
      </c>
      <c r="E14" s="76">
        <f t="shared" si="0"/>
        <v>937549</v>
      </c>
      <c r="F14" s="77">
        <f t="shared" si="1"/>
        <v>9.6586149105973212E-2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344243718</v>
      </c>
      <c r="D16" s="79">
        <f>D12-D13-D14-D15</f>
        <v>365122804</v>
      </c>
      <c r="E16" s="79">
        <f t="shared" si="0"/>
        <v>20879086</v>
      </c>
      <c r="F16" s="80">
        <f t="shared" si="1"/>
        <v>6.0652046524782191E-2</v>
      </c>
    </row>
    <row r="17" spans="1:7" ht="23.1" customHeight="1" x14ac:dyDescent="0.2">
      <c r="A17" s="74">
        <v>5</v>
      </c>
      <c r="B17" s="75" t="s">
        <v>76</v>
      </c>
      <c r="C17" s="76">
        <v>5091859</v>
      </c>
      <c r="D17" s="76">
        <v>6729060</v>
      </c>
      <c r="E17" s="76">
        <f t="shared" si="0"/>
        <v>1637201</v>
      </c>
      <c r="F17" s="77">
        <f t="shared" si="1"/>
        <v>0.32153305894762602</v>
      </c>
      <c r="G17" s="65"/>
    </row>
    <row r="18" spans="1:7" ht="31.5" customHeight="1" x14ac:dyDescent="0.25">
      <c r="A18" s="71"/>
      <c r="B18" s="81" t="s">
        <v>77</v>
      </c>
      <c r="C18" s="79">
        <f>C16-C17</f>
        <v>339151859</v>
      </c>
      <c r="D18" s="79">
        <f>D16-D17</f>
        <v>358393744</v>
      </c>
      <c r="E18" s="79">
        <f t="shared" si="0"/>
        <v>19241885</v>
      </c>
      <c r="F18" s="80">
        <f t="shared" si="1"/>
        <v>5.6735307471807196E-2</v>
      </c>
    </row>
    <row r="19" spans="1:7" ht="23.1" customHeight="1" x14ac:dyDescent="0.2">
      <c r="A19" s="74">
        <v>6</v>
      </c>
      <c r="B19" s="75" t="s">
        <v>78</v>
      </c>
      <c r="C19" s="76">
        <v>11782388</v>
      </c>
      <c r="D19" s="76">
        <v>13594417</v>
      </c>
      <c r="E19" s="76">
        <f t="shared" si="0"/>
        <v>1812029</v>
      </c>
      <c r="F19" s="77">
        <f t="shared" si="1"/>
        <v>0.1537913197222838</v>
      </c>
      <c r="G19" s="65"/>
    </row>
    <row r="20" spans="1:7" ht="33" customHeight="1" x14ac:dyDescent="0.2">
      <c r="A20" s="74">
        <v>7</v>
      </c>
      <c r="B20" s="82" t="s">
        <v>79</v>
      </c>
      <c r="C20" s="76">
        <v>1128658</v>
      </c>
      <c r="D20" s="76">
        <v>978222</v>
      </c>
      <c r="E20" s="76">
        <f t="shared" si="0"/>
        <v>-150436</v>
      </c>
      <c r="F20" s="77">
        <f t="shared" si="1"/>
        <v>-0.13328749718692465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352062905</v>
      </c>
      <c r="D21" s="79">
        <f>SUM(D18:D20)</f>
        <v>372966383</v>
      </c>
      <c r="E21" s="79">
        <f t="shared" si="0"/>
        <v>20903478</v>
      </c>
      <c r="F21" s="80">
        <f t="shared" si="1"/>
        <v>5.9374270061198296E-2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142646540</v>
      </c>
      <c r="D24" s="76">
        <v>135869626</v>
      </c>
      <c r="E24" s="76">
        <f t="shared" ref="E24:E33" si="2">D24-C24</f>
        <v>-6776914</v>
      </c>
      <c r="F24" s="77">
        <f t="shared" ref="F24:F33" si="3">IF(C24=0,0,E24/C24)</f>
        <v>-4.7508435886352375E-2</v>
      </c>
    </row>
    <row r="25" spans="1:7" ht="23.1" customHeight="1" x14ac:dyDescent="0.2">
      <c r="A25" s="74">
        <v>2</v>
      </c>
      <c r="B25" s="75" t="s">
        <v>83</v>
      </c>
      <c r="C25" s="76">
        <v>44805153</v>
      </c>
      <c r="D25" s="76">
        <v>39508767</v>
      </c>
      <c r="E25" s="76">
        <f t="shared" si="2"/>
        <v>-5296386</v>
      </c>
      <c r="F25" s="77">
        <f t="shared" si="3"/>
        <v>-0.11820930507702987</v>
      </c>
    </row>
    <row r="26" spans="1:7" ht="23.1" customHeight="1" x14ac:dyDescent="0.2">
      <c r="A26" s="74">
        <v>3</v>
      </c>
      <c r="B26" s="75" t="s">
        <v>84</v>
      </c>
      <c r="C26" s="76">
        <v>10254945</v>
      </c>
      <c r="D26" s="76">
        <v>11245852</v>
      </c>
      <c r="E26" s="76">
        <f t="shared" si="2"/>
        <v>990907</v>
      </c>
      <c r="F26" s="77">
        <f t="shared" si="3"/>
        <v>9.6627236908632855E-2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49954442</v>
      </c>
      <c r="D27" s="76">
        <v>47476290</v>
      </c>
      <c r="E27" s="76">
        <f t="shared" si="2"/>
        <v>-2478152</v>
      </c>
      <c r="F27" s="77">
        <f t="shared" si="3"/>
        <v>-4.9608241044910482E-2</v>
      </c>
    </row>
    <row r="28" spans="1:7" ht="23.1" customHeight="1" x14ac:dyDescent="0.2">
      <c r="A28" s="74">
        <v>5</v>
      </c>
      <c r="B28" s="75" t="s">
        <v>86</v>
      </c>
      <c r="C28" s="76">
        <v>19494513</v>
      </c>
      <c r="D28" s="76">
        <v>20089896</v>
      </c>
      <c r="E28" s="76">
        <f t="shared" si="2"/>
        <v>595383</v>
      </c>
      <c r="F28" s="77">
        <f t="shared" si="3"/>
        <v>3.0541055321566639E-2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1836605</v>
      </c>
      <c r="D30" s="76">
        <v>3135278</v>
      </c>
      <c r="E30" s="76">
        <f t="shared" si="2"/>
        <v>1298673</v>
      </c>
      <c r="F30" s="77">
        <f t="shared" si="3"/>
        <v>0.70710522948592647</v>
      </c>
    </row>
    <row r="31" spans="1:7" ht="23.1" customHeight="1" x14ac:dyDescent="0.2">
      <c r="A31" s="74">
        <v>8</v>
      </c>
      <c r="B31" s="75" t="s">
        <v>89</v>
      </c>
      <c r="C31" s="76">
        <v>3527444</v>
      </c>
      <c r="D31" s="76">
        <v>7527635</v>
      </c>
      <c r="E31" s="76">
        <f t="shared" si="2"/>
        <v>4000191</v>
      </c>
      <c r="F31" s="77">
        <f t="shared" si="3"/>
        <v>1.1340197037855173</v>
      </c>
    </row>
    <row r="32" spans="1:7" ht="23.1" customHeight="1" x14ac:dyDescent="0.2">
      <c r="A32" s="74">
        <v>9</v>
      </c>
      <c r="B32" s="75" t="s">
        <v>90</v>
      </c>
      <c r="C32" s="76">
        <v>82587055</v>
      </c>
      <c r="D32" s="76">
        <v>101832537</v>
      </c>
      <c r="E32" s="76">
        <f t="shared" si="2"/>
        <v>19245482</v>
      </c>
      <c r="F32" s="77">
        <f t="shared" si="3"/>
        <v>0.23303267079810511</v>
      </c>
    </row>
    <row r="33" spans="1:6" ht="23.1" customHeight="1" x14ac:dyDescent="0.25">
      <c r="A33" s="71"/>
      <c r="B33" s="78" t="s">
        <v>91</v>
      </c>
      <c r="C33" s="79">
        <f>SUM(C24:C32)</f>
        <v>355106697</v>
      </c>
      <c r="D33" s="79">
        <f>SUM(D24:D32)</f>
        <v>366685881</v>
      </c>
      <c r="E33" s="79">
        <f t="shared" si="2"/>
        <v>11579184</v>
      </c>
      <c r="F33" s="80">
        <f t="shared" si="3"/>
        <v>3.2607619337576166E-2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-3043792</v>
      </c>
      <c r="D35" s="79">
        <f>+D21-D33</f>
        <v>6280502</v>
      </c>
      <c r="E35" s="79">
        <f>D35-C35</f>
        <v>9324294</v>
      </c>
      <c r="F35" s="80">
        <f>IF(C35=0,0,E35/C35)</f>
        <v>-3.0633808092011545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913543</v>
      </c>
      <c r="D38" s="76">
        <v>772449</v>
      </c>
      <c r="E38" s="76">
        <f>D38-C38</f>
        <v>-141094</v>
      </c>
      <c r="F38" s="77">
        <f>IF(C38=0,0,E38/C38)</f>
        <v>-0.15444702657674569</v>
      </c>
    </row>
    <row r="39" spans="1:6" ht="23.1" customHeight="1" x14ac:dyDescent="0.2">
      <c r="A39" s="85">
        <v>2</v>
      </c>
      <c r="B39" s="75" t="s">
        <v>95</v>
      </c>
      <c r="C39" s="76">
        <v>34859</v>
      </c>
      <c r="D39" s="76">
        <v>56609</v>
      </c>
      <c r="E39" s="76">
        <f>D39-C39</f>
        <v>21750</v>
      </c>
      <c r="F39" s="77">
        <f>IF(C39=0,0,E39/C39)</f>
        <v>0.62394216701569183</v>
      </c>
    </row>
    <row r="40" spans="1:6" ht="23.1" customHeight="1" x14ac:dyDescent="0.2">
      <c r="A40" s="85">
        <v>3</v>
      </c>
      <c r="B40" s="75" t="s">
        <v>96</v>
      </c>
      <c r="C40" s="76">
        <v>-2091224</v>
      </c>
      <c r="D40" s="76">
        <v>12680857</v>
      </c>
      <c r="E40" s="76">
        <f>D40-C40</f>
        <v>14772081</v>
      </c>
      <c r="F40" s="77">
        <f>IF(C40=0,0,E40/C40)</f>
        <v>-7.0638444279522421</v>
      </c>
    </row>
    <row r="41" spans="1:6" ht="23.1" customHeight="1" x14ac:dyDescent="0.25">
      <c r="A41" s="83"/>
      <c r="B41" s="78" t="s">
        <v>97</v>
      </c>
      <c r="C41" s="79">
        <f>SUM(C38:C40)</f>
        <v>-1142822</v>
      </c>
      <c r="D41" s="79">
        <f>SUM(D38:D40)</f>
        <v>13509915</v>
      </c>
      <c r="E41" s="79">
        <f>D41-C41</f>
        <v>14652737</v>
      </c>
      <c r="F41" s="80">
        <f>IF(C41=0,0,E41/C41)</f>
        <v>-12.821539137328474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-4186614</v>
      </c>
      <c r="D43" s="79">
        <f>D35+D41</f>
        <v>19790417</v>
      </c>
      <c r="E43" s="79">
        <f>D43-C43</f>
        <v>23977031</v>
      </c>
      <c r="F43" s="80">
        <f>IF(C43=0,0,E43/C43)</f>
        <v>-5.7270698946690572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-4186614</v>
      </c>
      <c r="D50" s="79">
        <f>D43+D48</f>
        <v>19790417</v>
      </c>
      <c r="E50" s="79">
        <f>D50-C50</f>
        <v>23977031</v>
      </c>
      <c r="F50" s="80">
        <f>IF(C50=0,0,E50/C50)</f>
        <v>-5.7270698946690572</v>
      </c>
    </row>
    <row r="51" spans="1:6" ht="23.1" customHeight="1" x14ac:dyDescent="0.2">
      <c r="A51" s="85"/>
      <c r="B51" s="75" t="s">
        <v>104</v>
      </c>
      <c r="C51" s="76">
        <v>973133</v>
      </c>
      <c r="D51" s="76">
        <v>494632</v>
      </c>
      <c r="E51" s="76">
        <f>D51-C51</f>
        <v>-478501</v>
      </c>
      <c r="F51" s="77">
        <f>IF(C51=0,0,E51/C51)</f>
        <v>-0.49171182150846798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orientation="portrait" horizontalDpi="1200" verticalDpi="1200" r:id="rId1"/>
  <headerFooter>
    <oddHeader>&amp;LOFFICE OF HEALTH CARE ACCESS&amp;CTWELVE MONTHS ACTUAL FILING&amp;RTHE HOSPITAL OF CENTRAL CONNECTICUT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57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149469069</v>
      </c>
      <c r="D14" s="113">
        <v>147260559</v>
      </c>
      <c r="E14" s="113">
        <f t="shared" ref="E14:E25" si="0">D14-C14</f>
        <v>-2208510</v>
      </c>
      <c r="F14" s="114">
        <f t="shared" ref="F14:F25" si="1">IF(C14=0,0,E14/C14)</f>
        <v>-1.4775699178269451E-2</v>
      </c>
    </row>
    <row r="15" spans="1:6" x14ac:dyDescent="0.2">
      <c r="A15" s="115">
        <v>2</v>
      </c>
      <c r="B15" s="116" t="s">
        <v>114</v>
      </c>
      <c r="C15" s="113">
        <v>65362525</v>
      </c>
      <c r="D15" s="113">
        <v>63109784</v>
      </c>
      <c r="E15" s="113">
        <f t="shared" si="0"/>
        <v>-2252741</v>
      </c>
      <c r="F15" s="114">
        <f t="shared" si="1"/>
        <v>-3.4465330095494323E-2</v>
      </c>
    </row>
    <row r="16" spans="1:6" x14ac:dyDescent="0.2">
      <c r="A16" s="115">
        <v>3</v>
      </c>
      <c r="B16" s="116" t="s">
        <v>115</v>
      </c>
      <c r="C16" s="113">
        <v>78711810</v>
      </c>
      <c r="D16" s="113">
        <v>76705288</v>
      </c>
      <c r="E16" s="113">
        <f t="shared" si="0"/>
        <v>-2006522</v>
      </c>
      <c r="F16" s="114">
        <f t="shared" si="1"/>
        <v>-2.5492006853863481E-2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402608</v>
      </c>
      <c r="D18" s="113">
        <v>530516</v>
      </c>
      <c r="E18" s="113">
        <f t="shared" si="0"/>
        <v>127908</v>
      </c>
      <c r="F18" s="114">
        <f t="shared" si="1"/>
        <v>0.31769860509478204</v>
      </c>
    </row>
    <row r="19" spans="1:6" x14ac:dyDescent="0.2">
      <c r="A19" s="115">
        <v>6</v>
      </c>
      <c r="B19" s="116" t="s">
        <v>118</v>
      </c>
      <c r="C19" s="113">
        <v>4038901</v>
      </c>
      <c r="D19" s="113">
        <v>4140737</v>
      </c>
      <c r="E19" s="113">
        <f t="shared" si="0"/>
        <v>101836</v>
      </c>
      <c r="F19" s="114">
        <f t="shared" si="1"/>
        <v>2.5213789592762981E-2</v>
      </c>
    </row>
    <row r="20" spans="1:6" x14ac:dyDescent="0.2">
      <c r="A20" s="115">
        <v>7</v>
      </c>
      <c r="B20" s="116" t="s">
        <v>119</v>
      </c>
      <c r="C20" s="113">
        <v>76687283</v>
      </c>
      <c r="D20" s="113">
        <v>75296404</v>
      </c>
      <c r="E20" s="113">
        <f t="shared" si="0"/>
        <v>-1390879</v>
      </c>
      <c r="F20" s="114">
        <f t="shared" si="1"/>
        <v>-1.8137022796856684E-2</v>
      </c>
    </row>
    <row r="21" spans="1:6" x14ac:dyDescent="0.2">
      <c r="A21" s="115">
        <v>8</v>
      </c>
      <c r="B21" s="116" t="s">
        <v>120</v>
      </c>
      <c r="C21" s="113">
        <v>1708734</v>
      </c>
      <c r="D21" s="113">
        <v>1514699</v>
      </c>
      <c r="E21" s="113">
        <f t="shared" si="0"/>
        <v>-194035</v>
      </c>
      <c r="F21" s="114">
        <f t="shared" si="1"/>
        <v>-0.11355483065240113</v>
      </c>
    </row>
    <row r="22" spans="1:6" x14ac:dyDescent="0.2">
      <c r="A22" s="115">
        <v>9</v>
      </c>
      <c r="B22" s="116" t="s">
        <v>121</v>
      </c>
      <c r="C22" s="113">
        <v>2926166</v>
      </c>
      <c r="D22" s="113">
        <v>3650600</v>
      </c>
      <c r="E22" s="113">
        <f t="shared" si="0"/>
        <v>724434</v>
      </c>
      <c r="F22" s="114">
        <f t="shared" si="1"/>
        <v>0.24757105372695876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379307096</v>
      </c>
      <c r="D25" s="119">
        <f>SUM(D14:D24)</f>
        <v>372208587</v>
      </c>
      <c r="E25" s="119">
        <f t="shared" si="0"/>
        <v>-7098509</v>
      </c>
      <c r="F25" s="120">
        <f t="shared" si="1"/>
        <v>-1.8714411290634014E-2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112669190</v>
      </c>
      <c r="D27" s="113">
        <v>118731817</v>
      </c>
      <c r="E27" s="113">
        <f t="shared" ref="E27:E38" si="2">D27-C27</f>
        <v>6062627</v>
      </c>
      <c r="F27" s="114">
        <f t="shared" ref="F27:F38" si="3">IF(C27=0,0,E27/C27)</f>
        <v>5.3809093683907731E-2</v>
      </c>
    </row>
    <row r="28" spans="1:6" x14ac:dyDescent="0.2">
      <c r="A28" s="115">
        <v>2</v>
      </c>
      <c r="B28" s="116" t="s">
        <v>114</v>
      </c>
      <c r="C28" s="113">
        <v>55480462</v>
      </c>
      <c r="D28" s="113">
        <v>68636282</v>
      </c>
      <c r="E28" s="113">
        <f t="shared" si="2"/>
        <v>13155820</v>
      </c>
      <c r="F28" s="114">
        <f t="shared" si="3"/>
        <v>0.23712527844486947</v>
      </c>
    </row>
    <row r="29" spans="1:6" x14ac:dyDescent="0.2">
      <c r="A29" s="115">
        <v>3</v>
      </c>
      <c r="B29" s="116" t="s">
        <v>115</v>
      </c>
      <c r="C29" s="113">
        <v>137111570</v>
      </c>
      <c r="D29" s="113">
        <v>147801259</v>
      </c>
      <c r="E29" s="113">
        <f t="shared" si="2"/>
        <v>10689689</v>
      </c>
      <c r="F29" s="114">
        <f t="shared" si="3"/>
        <v>7.7963435179102689E-2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625522</v>
      </c>
      <c r="D31" s="113">
        <v>957266</v>
      </c>
      <c r="E31" s="113">
        <f t="shared" si="2"/>
        <v>331744</v>
      </c>
      <c r="F31" s="114">
        <f t="shared" si="3"/>
        <v>0.53034745380658077</v>
      </c>
    </row>
    <row r="32" spans="1:6" x14ac:dyDescent="0.2">
      <c r="A32" s="115">
        <v>6</v>
      </c>
      <c r="B32" s="116" t="s">
        <v>118</v>
      </c>
      <c r="C32" s="113">
        <v>5235451</v>
      </c>
      <c r="D32" s="113">
        <v>4673229</v>
      </c>
      <c r="E32" s="113">
        <f t="shared" si="2"/>
        <v>-562222</v>
      </c>
      <c r="F32" s="114">
        <f t="shared" si="3"/>
        <v>-0.10738750109589412</v>
      </c>
    </row>
    <row r="33" spans="1:6" x14ac:dyDescent="0.2">
      <c r="A33" s="115">
        <v>7</v>
      </c>
      <c r="B33" s="116" t="s">
        <v>119</v>
      </c>
      <c r="C33" s="113">
        <v>146875193</v>
      </c>
      <c r="D33" s="113">
        <v>163301811</v>
      </c>
      <c r="E33" s="113">
        <f t="shared" si="2"/>
        <v>16426618</v>
      </c>
      <c r="F33" s="114">
        <f t="shared" si="3"/>
        <v>0.11184065644087358</v>
      </c>
    </row>
    <row r="34" spans="1:6" x14ac:dyDescent="0.2">
      <c r="A34" s="115">
        <v>8</v>
      </c>
      <c r="B34" s="116" t="s">
        <v>120</v>
      </c>
      <c r="C34" s="113">
        <v>5496362</v>
      </c>
      <c r="D34" s="113">
        <v>5051931</v>
      </c>
      <c r="E34" s="113">
        <f t="shared" si="2"/>
        <v>-444431</v>
      </c>
      <c r="F34" s="114">
        <f t="shared" si="3"/>
        <v>-8.0859120996761125E-2</v>
      </c>
    </row>
    <row r="35" spans="1:6" x14ac:dyDescent="0.2">
      <c r="A35" s="115">
        <v>9</v>
      </c>
      <c r="B35" s="116" t="s">
        <v>121</v>
      </c>
      <c r="C35" s="113">
        <v>9644692</v>
      </c>
      <c r="D35" s="113">
        <v>10877420</v>
      </c>
      <c r="E35" s="113">
        <f t="shared" si="2"/>
        <v>1232728</v>
      </c>
      <c r="F35" s="114">
        <f t="shared" si="3"/>
        <v>0.127814138595613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473138442</v>
      </c>
      <c r="D38" s="119">
        <f>SUM(D27:D37)</f>
        <v>520031015</v>
      </c>
      <c r="E38" s="119">
        <f t="shared" si="2"/>
        <v>46892573</v>
      </c>
      <c r="F38" s="120">
        <f t="shared" si="3"/>
        <v>9.9109623817039152E-2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262138259</v>
      </c>
      <c r="D41" s="119">
        <f t="shared" si="4"/>
        <v>265992376</v>
      </c>
      <c r="E41" s="123">
        <f t="shared" ref="E41:E52" si="5">D41-C41</f>
        <v>3854117</v>
      </c>
      <c r="F41" s="124">
        <f t="shared" ref="F41:F52" si="6">IF(C41=0,0,E41/C41)</f>
        <v>1.4702611571094626E-2</v>
      </c>
    </row>
    <row r="42" spans="1:6" ht="15.75" x14ac:dyDescent="0.25">
      <c r="A42" s="121">
        <v>2</v>
      </c>
      <c r="B42" s="122" t="s">
        <v>114</v>
      </c>
      <c r="C42" s="119">
        <f t="shared" si="4"/>
        <v>120842987</v>
      </c>
      <c r="D42" s="119">
        <f t="shared" si="4"/>
        <v>131746066</v>
      </c>
      <c r="E42" s="123">
        <f t="shared" si="5"/>
        <v>10903079</v>
      </c>
      <c r="F42" s="124">
        <f t="shared" si="6"/>
        <v>9.0225169624448293E-2</v>
      </c>
    </row>
    <row r="43" spans="1:6" ht="15.75" x14ac:dyDescent="0.25">
      <c r="A43" s="121">
        <v>3</v>
      </c>
      <c r="B43" s="122" t="s">
        <v>115</v>
      </c>
      <c r="C43" s="119">
        <f t="shared" si="4"/>
        <v>215823380</v>
      </c>
      <c r="D43" s="119">
        <f t="shared" si="4"/>
        <v>224506547</v>
      </c>
      <c r="E43" s="123">
        <f t="shared" si="5"/>
        <v>8683167</v>
      </c>
      <c r="F43" s="124">
        <f t="shared" si="6"/>
        <v>4.0232744941720404E-2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1028130</v>
      </c>
      <c r="D45" s="119">
        <f t="shared" si="4"/>
        <v>1487782</v>
      </c>
      <c r="E45" s="123">
        <f t="shared" si="5"/>
        <v>459652</v>
      </c>
      <c r="F45" s="124">
        <f t="shared" si="6"/>
        <v>0.44707575890208434</v>
      </c>
    </row>
    <row r="46" spans="1:6" ht="15.75" x14ac:dyDescent="0.25">
      <c r="A46" s="121">
        <v>6</v>
      </c>
      <c r="B46" s="122" t="s">
        <v>118</v>
      </c>
      <c r="C46" s="119">
        <f t="shared" si="4"/>
        <v>9274352</v>
      </c>
      <c r="D46" s="119">
        <f t="shared" si="4"/>
        <v>8813966</v>
      </c>
      <c r="E46" s="123">
        <f t="shared" si="5"/>
        <v>-460386</v>
      </c>
      <c r="F46" s="124">
        <f t="shared" si="6"/>
        <v>-4.9640772746171374E-2</v>
      </c>
    </row>
    <row r="47" spans="1:6" ht="15.75" x14ac:dyDescent="0.25">
      <c r="A47" s="121">
        <v>7</v>
      </c>
      <c r="B47" s="122" t="s">
        <v>119</v>
      </c>
      <c r="C47" s="119">
        <f t="shared" si="4"/>
        <v>223562476</v>
      </c>
      <c r="D47" s="119">
        <f t="shared" si="4"/>
        <v>238598215</v>
      </c>
      <c r="E47" s="123">
        <f t="shared" si="5"/>
        <v>15035739</v>
      </c>
      <c r="F47" s="124">
        <f t="shared" si="6"/>
        <v>6.725519983952942E-2</v>
      </c>
    </row>
    <row r="48" spans="1:6" ht="15.75" x14ac:dyDescent="0.25">
      <c r="A48" s="121">
        <v>8</v>
      </c>
      <c r="B48" s="122" t="s">
        <v>120</v>
      </c>
      <c r="C48" s="119">
        <f t="shared" si="4"/>
        <v>7205096</v>
      </c>
      <c r="D48" s="119">
        <f t="shared" si="4"/>
        <v>6566630</v>
      </c>
      <c r="E48" s="123">
        <f t="shared" si="5"/>
        <v>-638466</v>
      </c>
      <c r="F48" s="124">
        <f t="shared" si="6"/>
        <v>-8.8613114939759305E-2</v>
      </c>
    </row>
    <row r="49" spans="1:6" ht="15.75" x14ac:dyDescent="0.25">
      <c r="A49" s="121">
        <v>9</v>
      </c>
      <c r="B49" s="122" t="s">
        <v>121</v>
      </c>
      <c r="C49" s="119">
        <f t="shared" si="4"/>
        <v>12570858</v>
      </c>
      <c r="D49" s="119">
        <f t="shared" si="4"/>
        <v>14528020</v>
      </c>
      <c r="E49" s="123">
        <f t="shared" si="5"/>
        <v>1957162</v>
      </c>
      <c r="F49" s="124">
        <f t="shared" si="6"/>
        <v>0.15569040713052362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852445538</v>
      </c>
      <c r="D52" s="128">
        <f>SUM(D41:D51)</f>
        <v>892239602</v>
      </c>
      <c r="E52" s="127">
        <f t="shared" si="5"/>
        <v>39794064</v>
      </c>
      <c r="F52" s="129">
        <f t="shared" si="6"/>
        <v>4.6682236255660946E-2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65658434</v>
      </c>
      <c r="D57" s="113">
        <v>60480323</v>
      </c>
      <c r="E57" s="113">
        <f t="shared" ref="E57:E68" si="7">D57-C57</f>
        <v>-5178111</v>
      </c>
      <c r="F57" s="114">
        <f t="shared" ref="F57:F68" si="8">IF(C57=0,0,E57/C57)</f>
        <v>-7.8864369503543141E-2</v>
      </c>
    </row>
    <row r="58" spans="1:6" x14ac:dyDescent="0.2">
      <c r="A58" s="115">
        <v>2</v>
      </c>
      <c r="B58" s="116" t="s">
        <v>114</v>
      </c>
      <c r="C58" s="113">
        <v>23606665</v>
      </c>
      <c r="D58" s="113">
        <v>24543639</v>
      </c>
      <c r="E58" s="113">
        <f t="shared" si="7"/>
        <v>936974</v>
      </c>
      <c r="F58" s="114">
        <f t="shared" si="8"/>
        <v>3.9691078769491579E-2</v>
      </c>
    </row>
    <row r="59" spans="1:6" x14ac:dyDescent="0.2">
      <c r="A59" s="115">
        <v>3</v>
      </c>
      <c r="B59" s="116" t="s">
        <v>115</v>
      </c>
      <c r="C59" s="113">
        <v>25308182</v>
      </c>
      <c r="D59" s="113">
        <v>20767567</v>
      </c>
      <c r="E59" s="113">
        <f t="shared" si="7"/>
        <v>-4540615</v>
      </c>
      <c r="F59" s="114">
        <f t="shared" si="8"/>
        <v>-0.17941292661796093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172823</v>
      </c>
      <c r="D61" s="113">
        <v>276423</v>
      </c>
      <c r="E61" s="113">
        <f t="shared" si="7"/>
        <v>103600</v>
      </c>
      <c r="F61" s="114">
        <f t="shared" si="8"/>
        <v>0.59945724816719992</v>
      </c>
    </row>
    <row r="62" spans="1:6" x14ac:dyDescent="0.2">
      <c r="A62" s="115">
        <v>6</v>
      </c>
      <c r="B62" s="116" t="s">
        <v>118</v>
      </c>
      <c r="C62" s="113">
        <v>893402</v>
      </c>
      <c r="D62" s="113">
        <v>888668</v>
      </c>
      <c r="E62" s="113">
        <f t="shared" si="7"/>
        <v>-4734</v>
      </c>
      <c r="F62" s="114">
        <f t="shared" si="8"/>
        <v>-5.2988464319533649E-3</v>
      </c>
    </row>
    <row r="63" spans="1:6" x14ac:dyDescent="0.2">
      <c r="A63" s="115">
        <v>7</v>
      </c>
      <c r="B63" s="116" t="s">
        <v>119</v>
      </c>
      <c r="C63" s="113">
        <v>52554190</v>
      </c>
      <c r="D63" s="113">
        <v>51297134</v>
      </c>
      <c r="E63" s="113">
        <f t="shared" si="7"/>
        <v>-1257056</v>
      </c>
      <c r="F63" s="114">
        <f t="shared" si="8"/>
        <v>-2.3919234603368447E-2</v>
      </c>
    </row>
    <row r="64" spans="1:6" x14ac:dyDescent="0.2">
      <c r="A64" s="115">
        <v>8</v>
      </c>
      <c r="B64" s="116" t="s">
        <v>120</v>
      </c>
      <c r="C64" s="113">
        <v>1708734</v>
      </c>
      <c r="D64" s="113">
        <v>1514699</v>
      </c>
      <c r="E64" s="113">
        <f t="shared" si="7"/>
        <v>-194035</v>
      </c>
      <c r="F64" s="114">
        <f t="shared" si="8"/>
        <v>-0.11355483065240113</v>
      </c>
    </row>
    <row r="65" spans="1:6" x14ac:dyDescent="0.2">
      <c r="A65" s="115">
        <v>9</v>
      </c>
      <c r="B65" s="116" t="s">
        <v>121</v>
      </c>
      <c r="C65" s="113">
        <v>418873</v>
      </c>
      <c r="D65" s="113">
        <v>461496</v>
      </c>
      <c r="E65" s="113">
        <f t="shared" si="7"/>
        <v>42623</v>
      </c>
      <c r="F65" s="114">
        <f t="shared" si="8"/>
        <v>0.10175637961864335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170321303</v>
      </c>
      <c r="D68" s="119">
        <f>SUM(D57:D67)</f>
        <v>160229949</v>
      </c>
      <c r="E68" s="119">
        <f t="shared" si="7"/>
        <v>-10091354</v>
      </c>
      <c r="F68" s="120">
        <f t="shared" si="8"/>
        <v>-5.9248924369724905E-2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26359823</v>
      </c>
      <c r="D70" s="113">
        <v>31865477</v>
      </c>
      <c r="E70" s="113">
        <f t="shared" ref="E70:E81" si="9">D70-C70</f>
        <v>5505654</v>
      </c>
      <c r="F70" s="114">
        <f t="shared" ref="F70:F81" si="10">IF(C70=0,0,E70/C70)</f>
        <v>0.20886536301856048</v>
      </c>
    </row>
    <row r="71" spans="1:6" x14ac:dyDescent="0.2">
      <c r="A71" s="115">
        <v>2</v>
      </c>
      <c r="B71" s="116" t="s">
        <v>114</v>
      </c>
      <c r="C71" s="113">
        <v>12487615</v>
      </c>
      <c r="D71" s="113">
        <v>19753153</v>
      </c>
      <c r="E71" s="113">
        <f t="shared" si="9"/>
        <v>7265538</v>
      </c>
      <c r="F71" s="114">
        <f t="shared" si="10"/>
        <v>0.58181950676730509</v>
      </c>
    </row>
    <row r="72" spans="1:6" x14ac:dyDescent="0.2">
      <c r="A72" s="115">
        <v>3</v>
      </c>
      <c r="B72" s="116" t="s">
        <v>115</v>
      </c>
      <c r="C72" s="113">
        <v>34562104</v>
      </c>
      <c r="D72" s="113">
        <v>36648952</v>
      </c>
      <c r="E72" s="113">
        <f t="shared" si="9"/>
        <v>2086848</v>
      </c>
      <c r="F72" s="114">
        <f t="shared" si="10"/>
        <v>6.037965744215109E-2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122935</v>
      </c>
      <c r="D74" s="113">
        <v>283224</v>
      </c>
      <c r="E74" s="113">
        <f t="shared" si="9"/>
        <v>160289</v>
      </c>
      <c r="F74" s="114">
        <f t="shared" si="10"/>
        <v>1.3038516289095863</v>
      </c>
    </row>
    <row r="75" spans="1:6" x14ac:dyDescent="0.2">
      <c r="A75" s="115">
        <v>6</v>
      </c>
      <c r="B75" s="116" t="s">
        <v>118</v>
      </c>
      <c r="C75" s="113">
        <v>2122573</v>
      </c>
      <c r="D75" s="113">
        <v>2434916</v>
      </c>
      <c r="E75" s="113">
        <f t="shared" si="9"/>
        <v>312343</v>
      </c>
      <c r="F75" s="114">
        <f t="shared" si="10"/>
        <v>0.14715300722283756</v>
      </c>
    </row>
    <row r="76" spans="1:6" x14ac:dyDescent="0.2">
      <c r="A76" s="115">
        <v>7</v>
      </c>
      <c r="B76" s="116" t="s">
        <v>119</v>
      </c>
      <c r="C76" s="113">
        <v>91076246</v>
      </c>
      <c r="D76" s="113">
        <v>108141759</v>
      </c>
      <c r="E76" s="113">
        <f t="shared" si="9"/>
        <v>17065513</v>
      </c>
      <c r="F76" s="114">
        <f t="shared" si="10"/>
        <v>0.18737611341600532</v>
      </c>
    </row>
    <row r="77" spans="1:6" x14ac:dyDescent="0.2">
      <c r="A77" s="115">
        <v>8</v>
      </c>
      <c r="B77" s="116" t="s">
        <v>120</v>
      </c>
      <c r="C77" s="113">
        <v>5496362</v>
      </c>
      <c r="D77" s="113">
        <v>5051931</v>
      </c>
      <c r="E77" s="113">
        <f t="shared" si="9"/>
        <v>-444431</v>
      </c>
      <c r="F77" s="114">
        <f t="shared" si="10"/>
        <v>-8.0859120996761125E-2</v>
      </c>
    </row>
    <row r="78" spans="1:6" x14ac:dyDescent="0.2">
      <c r="A78" s="115">
        <v>9</v>
      </c>
      <c r="B78" s="116" t="s">
        <v>121</v>
      </c>
      <c r="C78" s="113">
        <v>1188855</v>
      </c>
      <c r="D78" s="113">
        <v>184090</v>
      </c>
      <c r="E78" s="113">
        <f t="shared" si="9"/>
        <v>-1004765</v>
      </c>
      <c r="F78" s="114">
        <f t="shared" si="10"/>
        <v>-0.84515353007725924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173416513</v>
      </c>
      <c r="D81" s="119">
        <f>SUM(D70:D80)</f>
        <v>204363502</v>
      </c>
      <c r="E81" s="119">
        <f t="shared" si="9"/>
        <v>30946989</v>
      </c>
      <c r="F81" s="120">
        <f t="shared" si="10"/>
        <v>0.17845468383971025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92018257</v>
      </c>
      <c r="D84" s="119">
        <f t="shared" si="11"/>
        <v>92345800</v>
      </c>
      <c r="E84" s="119">
        <f t="shared" ref="E84:E95" si="12">D84-C84</f>
        <v>327543</v>
      </c>
      <c r="F84" s="120">
        <f t="shared" ref="F84:F95" si="13">IF(C84=0,0,E84/C84)</f>
        <v>3.5595436240440852E-3</v>
      </c>
    </row>
    <row r="85" spans="1:6" ht="15.75" x14ac:dyDescent="0.25">
      <c r="A85" s="130">
        <v>2</v>
      </c>
      <c r="B85" s="122" t="s">
        <v>114</v>
      </c>
      <c r="C85" s="119">
        <f t="shared" si="11"/>
        <v>36094280</v>
      </c>
      <c r="D85" s="119">
        <f t="shared" si="11"/>
        <v>44296792</v>
      </c>
      <c r="E85" s="119">
        <f t="shared" si="12"/>
        <v>8202512</v>
      </c>
      <c r="F85" s="120">
        <f t="shared" si="13"/>
        <v>0.22725240675253808</v>
      </c>
    </row>
    <row r="86" spans="1:6" ht="15.75" x14ac:dyDescent="0.25">
      <c r="A86" s="130">
        <v>3</v>
      </c>
      <c r="B86" s="122" t="s">
        <v>115</v>
      </c>
      <c r="C86" s="119">
        <f t="shared" si="11"/>
        <v>59870286</v>
      </c>
      <c r="D86" s="119">
        <f t="shared" si="11"/>
        <v>57416519</v>
      </c>
      <c r="E86" s="119">
        <f t="shared" si="12"/>
        <v>-2453767</v>
      </c>
      <c r="F86" s="120">
        <f t="shared" si="13"/>
        <v>-4.0984721536155684E-2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295758</v>
      </c>
      <c r="D88" s="119">
        <f t="shared" si="11"/>
        <v>559647</v>
      </c>
      <c r="E88" s="119">
        <f t="shared" si="12"/>
        <v>263889</v>
      </c>
      <c r="F88" s="120">
        <f t="shared" si="13"/>
        <v>0.89224636358103582</v>
      </c>
    </row>
    <row r="89" spans="1:6" ht="15.75" x14ac:dyDescent="0.25">
      <c r="A89" s="130">
        <v>6</v>
      </c>
      <c r="B89" s="122" t="s">
        <v>118</v>
      </c>
      <c r="C89" s="119">
        <f t="shared" si="11"/>
        <v>3015975</v>
      </c>
      <c r="D89" s="119">
        <f t="shared" si="11"/>
        <v>3323584</v>
      </c>
      <c r="E89" s="119">
        <f t="shared" si="12"/>
        <v>307609</v>
      </c>
      <c r="F89" s="120">
        <f t="shared" si="13"/>
        <v>0.10199321943981632</v>
      </c>
    </row>
    <row r="90" spans="1:6" ht="15.75" x14ac:dyDescent="0.25">
      <c r="A90" s="130">
        <v>7</v>
      </c>
      <c r="B90" s="122" t="s">
        <v>119</v>
      </c>
      <c r="C90" s="119">
        <f t="shared" si="11"/>
        <v>143630436</v>
      </c>
      <c r="D90" s="119">
        <f t="shared" si="11"/>
        <v>159438893</v>
      </c>
      <c r="E90" s="119">
        <f t="shared" si="12"/>
        <v>15808457</v>
      </c>
      <c r="F90" s="120">
        <f t="shared" si="13"/>
        <v>0.110063419984327</v>
      </c>
    </row>
    <row r="91" spans="1:6" ht="15.75" x14ac:dyDescent="0.25">
      <c r="A91" s="130">
        <v>8</v>
      </c>
      <c r="B91" s="122" t="s">
        <v>120</v>
      </c>
      <c r="C91" s="119">
        <f t="shared" si="11"/>
        <v>7205096</v>
      </c>
      <c r="D91" s="119">
        <f t="shared" si="11"/>
        <v>6566630</v>
      </c>
      <c r="E91" s="119">
        <f t="shared" si="12"/>
        <v>-638466</v>
      </c>
      <c r="F91" s="120">
        <f t="shared" si="13"/>
        <v>-8.8613114939759305E-2</v>
      </c>
    </row>
    <row r="92" spans="1:6" ht="15.75" x14ac:dyDescent="0.25">
      <c r="A92" s="130">
        <v>9</v>
      </c>
      <c r="B92" s="122" t="s">
        <v>121</v>
      </c>
      <c r="C92" s="119">
        <f t="shared" si="11"/>
        <v>1607728</v>
      </c>
      <c r="D92" s="119">
        <f t="shared" si="11"/>
        <v>645586</v>
      </c>
      <c r="E92" s="119">
        <f t="shared" si="12"/>
        <v>-962142</v>
      </c>
      <c r="F92" s="120">
        <f t="shared" si="13"/>
        <v>-0.59844824497676219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343737816</v>
      </c>
      <c r="D95" s="128">
        <f>SUM(D84:D94)</f>
        <v>364593451</v>
      </c>
      <c r="E95" s="128">
        <f t="shared" si="12"/>
        <v>20855635</v>
      </c>
      <c r="F95" s="129">
        <f t="shared" si="13"/>
        <v>6.0673088700837034E-2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4990</v>
      </c>
      <c r="D100" s="133">
        <v>4444</v>
      </c>
      <c r="E100" s="133">
        <f t="shared" ref="E100:E111" si="14">D100-C100</f>
        <v>-546</v>
      </c>
      <c r="F100" s="114">
        <f t="shared" ref="F100:F111" si="15">IF(C100=0,0,E100/C100)</f>
        <v>-0.1094188376753507</v>
      </c>
    </row>
    <row r="101" spans="1:6" x14ac:dyDescent="0.2">
      <c r="A101" s="115">
        <v>2</v>
      </c>
      <c r="B101" s="116" t="s">
        <v>114</v>
      </c>
      <c r="C101" s="133">
        <v>2039</v>
      </c>
      <c r="D101" s="133">
        <v>2014</v>
      </c>
      <c r="E101" s="133">
        <f t="shared" si="14"/>
        <v>-25</v>
      </c>
      <c r="F101" s="114">
        <f t="shared" si="15"/>
        <v>-1.2260912211868563E-2</v>
      </c>
    </row>
    <row r="102" spans="1:6" x14ac:dyDescent="0.2">
      <c r="A102" s="115">
        <v>3</v>
      </c>
      <c r="B102" s="116" t="s">
        <v>115</v>
      </c>
      <c r="C102" s="133">
        <v>4074</v>
      </c>
      <c r="D102" s="133">
        <v>3852</v>
      </c>
      <c r="E102" s="133">
        <f t="shared" si="14"/>
        <v>-222</v>
      </c>
      <c r="F102" s="114">
        <f t="shared" si="15"/>
        <v>-5.4491899852724596E-2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21</v>
      </c>
      <c r="D104" s="133">
        <v>13</v>
      </c>
      <c r="E104" s="133">
        <f t="shared" si="14"/>
        <v>-8</v>
      </c>
      <c r="F104" s="114">
        <f t="shared" si="15"/>
        <v>-0.38095238095238093</v>
      </c>
    </row>
    <row r="105" spans="1:6" x14ac:dyDescent="0.2">
      <c r="A105" s="115">
        <v>6</v>
      </c>
      <c r="B105" s="116" t="s">
        <v>118</v>
      </c>
      <c r="C105" s="133">
        <v>202</v>
      </c>
      <c r="D105" s="133">
        <v>182</v>
      </c>
      <c r="E105" s="133">
        <f t="shared" si="14"/>
        <v>-20</v>
      </c>
      <c r="F105" s="114">
        <f t="shared" si="15"/>
        <v>-9.9009900990099015E-2</v>
      </c>
    </row>
    <row r="106" spans="1:6" x14ac:dyDescent="0.2">
      <c r="A106" s="115">
        <v>7</v>
      </c>
      <c r="B106" s="116" t="s">
        <v>119</v>
      </c>
      <c r="C106" s="133">
        <v>3744</v>
      </c>
      <c r="D106" s="133">
        <v>3281</v>
      </c>
      <c r="E106" s="133">
        <f t="shared" si="14"/>
        <v>-463</v>
      </c>
      <c r="F106" s="114">
        <f t="shared" si="15"/>
        <v>-0.12366452991452992</v>
      </c>
    </row>
    <row r="107" spans="1:6" x14ac:dyDescent="0.2">
      <c r="A107" s="115">
        <v>8</v>
      </c>
      <c r="B107" s="116" t="s">
        <v>120</v>
      </c>
      <c r="C107" s="133">
        <v>38</v>
      </c>
      <c r="D107" s="133">
        <v>24</v>
      </c>
      <c r="E107" s="133">
        <f t="shared" si="14"/>
        <v>-14</v>
      </c>
      <c r="F107" s="114">
        <f t="shared" si="15"/>
        <v>-0.36842105263157893</v>
      </c>
    </row>
    <row r="108" spans="1:6" x14ac:dyDescent="0.2">
      <c r="A108" s="115">
        <v>9</v>
      </c>
      <c r="B108" s="116" t="s">
        <v>121</v>
      </c>
      <c r="C108" s="133">
        <v>122</v>
      </c>
      <c r="D108" s="133">
        <v>130</v>
      </c>
      <c r="E108" s="133">
        <f t="shared" si="14"/>
        <v>8</v>
      </c>
      <c r="F108" s="114">
        <f t="shared" si="15"/>
        <v>6.5573770491803282E-2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15230</v>
      </c>
      <c r="D111" s="134">
        <f>SUM(D100:D110)</f>
        <v>13940</v>
      </c>
      <c r="E111" s="134">
        <f t="shared" si="14"/>
        <v>-1290</v>
      </c>
      <c r="F111" s="120">
        <f t="shared" si="15"/>
        <v>-8.4701247537754432E-2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25450</v>
      </c>
      <c r="D113" s="133">
        <v>23794</v>
      </c>
      <c r="E113" s="133">
        <f t="shared" ref="E113:E124" si="16">D113-C113</f>
        <v>-1656</v>
      </c>
      <c r="F113" s="114">
        <f t="shared" ref="F113:F124" si="17">IF(C113=0,0,E113/C113)</f>
        <v>-6.5068762278978384E-2</v>
      </c>
    </row>
    <row r="114" spans="1:6" x14ac:dyDescent="0.2">
      <c r="A114" s="115">
        <v>2</v>
      </c>
      <c r="B114" s="116" t="s">
        <v>114</v>
      </c>
      <c r="C114" s="133">
        <v>10050</v>
      </c>
      <c r="D114" s="133">
        <v>9675</v>
      </c>
      <c r="E114" s="133">
        <f t="shared" si="16"/>
        <v>-375</v>
      </c>
      <c r="F114" s="114">
        <f t="shared" si="17"/>
        <v>-3.7313432835820892E-2</v>
      </c>
    </row>
    <row r="115" spans="1:6" x14ac:dyDescent="0.2">
      <c r="A115" s="115">
        <v>3</v>
      </c>
      <c r="B115" s="116" t="s">
        <v>115</v>
      </c>
      <c r="C115" s="133">
        <v>17977</v>
      </c>
      <c r="D115" s="133">
        <v>17684</v>
      </c>
      <c r="E115" s="133">
        <f t="shared" si="16"/>
        <v>-293</v>
      </c>
      <c r="F115" s="114">
        <f t="shared" si="17"/>
        <v>-1.6298603771485787E-2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70</v>
      </c>
      <c r="D117" s="133">
        <v>83</v>
      </c>
      <c r="E117" s="133">
        <f t="shared" si="16"/>
        <v>13</v>
      </c>
      <c r="F117" s="114">
        <f t="shared" si="17"/>
        <v>0.18571428571428572</v>
      </c>
    </row>
    <row r="118" spans="1:6" x14ac:dyDescent="0.2">
      <c r="A118" s="115">
        <v>6</v>
      </c>
      <c r="B118" s="116" t="s">
        <v>118</v>
      </c>
      <c r="C118" s="133">
        <v>931</v>
      </c>
      <c r="D118" s="133">
        <v>986</v>
      </c>
      <c r="E118" s="133">
        <f t="shared" si="16"/>
        <v>55</v>
      </c>
      <c r="F118" s="114">
        <f t="shared" si="17"/>
        <v>5.9076262083780882E-2</v>
      </c>
    </row>
    <row r="119" spans="1:6" x14ac:dyDescent="0.2">
      <c r="A119" s="115">
        <v>7</v>
      </c>
      <c r="B119" s="116" t="s">
        <v>119</v>
      </c>
      <c r="C119" s="133">
        <v>13981</v>
      </c>
      <c r="D119" s="133">
        <v>12387</v>
      </c>
      <c r="E119" s="133">
        <f t="shared" si="16"/>
        <v>-1594</v>
      </c>
      <c r="F119" s="114">
        <f t="shared" si="17"/>
        <v>-0.11401187325656248</v>
      </c>
    </row>
    <row r="120" spans="1:6" x14ac:dyDescent="0.2">
      <c r="A120" s="115">
        <v>8</v>
      </c>
      <c r="B120" s="116" t="s">
        <v>120</v>
      </c>
      <c r="C120" s="133">
        <v>127</v>
      </c>
      <c r="D120" s="133">
        <v>56</v>
      </c>
      <c r="E120" s="133">
        <f t="shared" si="16"/>
        <v>-71</v>
      </c>
      <c r="F120" s="114">
        <f t="shared" si="17"/>
        <v>-0.55905511811023623</v>
      </c>
    </row>
    <row r="121" spans="1:6" x14ac:dyDescent="0.2">
      <c r="A121" s="115">
        <v>9</v>
      </c>
      <c r="B121" s="116" t="s">
        <v>121</v>
      </c>
      <c r="C121" s="133">
        <v>421</v>
      </c>
      <c r="D121" s="133">
        <v>440</v>
      </c>
      <c r="E121" s="133">
        <f t="shared" si="16"/>
        <v>19</v>
      </c>
      <c r="F121" s="114">
        <f t="shared" si="17"/>
        <v>4.5130641330166268E-2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69007</v>
      </c>
      <c r="D124" s="134">
        <f>SUM(D113:D123)</f>
        <v>65105</v>
      </c>
      <c r="E124" s="134">
        <f t="shared" si="16"/>
        <v>-3902</v>
      </c>
      <c r="F124" s="120">
        <f t="shared" si="17"/>
        <v>-5.6544988189603955E-2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56645</v>
      </c>
      <c r="D126" s="133">
        <v>54965</v>
      </c>
      <c r="E126" s="133">
        <f t="shared" ref="E126:E137" si="18">D126-C126</f>
        <v>-1680</v>
      </c>
      <c r="F126" s="114">
        <f t="shared" ref="F126:F137" si="19">IF(C126=0,0,E126/C126)</f>
        <v>-2.9658398799541002E-2</v>
      </c>
    </row>
    <row r="127" spans="1:6" x14ac:dyDescent="0.2">
      <c r="A127" s="115">
        <v>2</v>
      </c>
      <c r="B127" s="116" t="s">
        <v>114</v>
      </c>
      <c r="C127" s="133">
        <v>27912</v>
      </c>
      <c r="D127" s="133">
        <v>29883</v>
      </c>
      <c r="E127" s="133">
        <f t="shared" si="18"/>
        <v>1971</v>
      </c>
      <c r="F127" s="114">
        <f t="shared" si="19"/>
        <v>7.0614789337919176E-2</v>
      </c>
    </row>
    <row r="128" spans="1:6" x14ac:dyDescent="0.2">
      <c r="A128" s="115">
        <v>3</v>
      </c>
      <c r="B128" s="116" t="s">
        <v>115</v>
      </c>
      <c r="C128" s="133">
        <v>85911</v>
      </c>
      <c r="D128" s="133">
        <v>86278</v>
      </c>
      <c r="E128" s="133">
        <f t="shared" si="18"/>
        <v>367</v>
      </c>
      <c r="F128" s="114">
        <f t="shared" si="19"/>
        <v>4.2718627416745234E-3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376</v>
      </c>
      <c r="D130" s="133">
        <v>398</v>
      </c>
      <c r="E130" s="133">
        <f t="shared" si="18"/>
        <v>22</v>
      </c>
      <c r="F130" s="114">
        <f t="shared" si="19"/>
        <v>5.8510638297872342E-2</v>
      </c>
    </row>
    <row r="131" spans="1:6" x14ac:dyDescent="0.2">
      <c r="A131" s="115">
        <v>6</v>
      </c>
      <c r="B131" s="116" t="s">
        <v>118</v>
      </c>
      <c r="C131" s="133">
        <v>2407</v>
      </c>
      <c r="D131" s="133">
        <v>1775</v>
      </c>
      <c r="E131" s="133">
        <f t="shared" si="18"/>
        <v>-632</v>
      </c>
      <c r="F131" s="114">
        <f t="shared" si="19"/>
        <v>-0.26256751142501039</v>
      </c>
    </row>
    <row r="132" spans="1:6" x14ac:dyDescent="0.2">
      <c r="A132" s="115">
        <v>7</v>
      </c>
      <c r="B132" s="116" t="s">
        <v>119</v>
      </c>
      <c r="C132" s="133">
        <v>80618</v>
      </c>
      <c r="D132" s="133">
        <v>79033</v>
      </c>
      <c r="E132" s="133">
        <f t="shared" si="18"/>
        <v>-1585</v>
      </c>
      <c r="F132" s="114">
        <f t="shared" si="19"/>
        <v>-1.9660621697387679E-2</v>
      </c>
    </row>
    <row r="133" spans="1:6" x14ac:dyDescent="0.2">
      <c r="A133" s="115">
        <v>8</v>
      </c>
      <c r="B133" s="116" t="s">
        <v>120</v>
      </c>
      <c r="C133" s="133">
        <v>2733</v>
      </c>
      <c r="D133" s="133">
        <v>2726</v>
      </c>
      <c r="E133" s="133">
        <f t="shared" si="18"/>
        <v>-7</v>
      </c>
      <c r="F133" s="114">
        <f t="shared" si="19"/>
        <v>-2.561287961946579E-3</v>
      </c>
    </row>
    <row r="134" spans="1:6" x14ac:dyDescent="0.2">
      <c r="A134" s="115">
        <v>9</v>
      </c>
      <c r="B134" s="116" t="s">
        <v>121</v>
      </c>
      <c r="C134" s="133">
        <v>5934</v>
      </c>
      <c r="D134" s="133">
        <v>6194</v>
      </c>
      <c r="E134" s="133">
        <f t="shared" si="18"/>
        <v>260</v>
      </c>
      <c r="F134" s="114">
        <f t="shared" si="19"/>
        <v>4.3815301651499834E-2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262536</v>
      </c>
      <c r="D137" s="134">
        <f>SUM(D126:D136)</f>
        <v>261252</v>
      </c>
      <c r="E137" s="134">
        <f t="shared" si="18"/>
        <v>-1284</v>
      </c>
      <c r="F137" s="120">
        <f t="shared" si="19"/>
        <v>-4.8907578389249477E-3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25800028</v>
      </c>
      <c r="D142" s="113">
        <v>27120579</v>
      </c>
      <c r="E142" s="113">
        <f t="shared" ref="E142:E153" si="20">D142-C142</f>
        <v>1320551</v>
      </c>
      <c r="F142" s="114">
        <f t="shared" ref="F142:F153" si="21">IF(C142=0,0,E142/C142)</f>
        <v>5.1184091738195013E-2</v>
      </c>
    </row>
    <row r="143" spans="1:6" x14ac:dyDescent="0.2">
      <c r="A143" s="115">
        <v>2</v>
      </c>
      <c r="B143" s="116" t="s">
        <v>114</v>
      </c>
      <c r="C143" s="113">
        <v>12058829</v>
      </c>
      <c r="D143" s="113">
        <v>13746070</v>
      </c>
      <c r="E143" s="113">
        <f t="shared" si="20"/>
        <v>1687241</v>
      </c>
      <c r="F143" s="114">
        <f t="shared" si="21"/>
        <v>0.13991748286670289</v>
      </c>
    </row>
    <row r="144" spans="1:6" x14ac:dyDescent="0.2">
      <c r="A144" s="115">
        <v>3</v>
      </c>
      <c r="B144" s="116" t="s">
        <v>115</v>
      </c>
      <c r="C144" s="113">
        <v>68647174</v>
      </c>
      <c r="D144" s="113">
        <v>73709657</v>
      </c>
      <c r="E144" s="113">
        <f t="shared" si="20"/>
        <v>5062483</v>
      </c>
      <c r="F144" s="114">
        <f t="shared" si="21"/>
        <v>7.3746415256657177E-2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339492</v>
      </c>
      <c r="D146" s="113">
        <v>368422</v>
      </c>
      <c r="E146" s="113">
        <f t="shared" si="20"/>
        <v>28930</v>
      </c>
      <c r="F146" s="114">
        <f t="shared" si="21"/>
        <v>8.5215557362176425E-2</v>
      </c>
    </row>
    <row r="147" spans="1:6" x14ac:dyDescent="0.2">
      <c r="A147" s="115">
        <v>6</v>
      </c>
      <c r="B147" s="116" t="s">
        <v>118</v>
      </c>
      <c r="C147" s="113">
        <v>3260863</v>
      </c>
      <c r="D147" s="113">
        <v>2506042</v>
      </c>
      <c r="E147" s="113">
        <f t="shared" si="20"/>
        <v>-754821</v>
      </c>
      <c r="F147" s="114">
        <f t="shared" si="21"/>
        <v>-0.23147890604419749</v>
      </c>
    </row>
    <row r="148" spans="1:6" x14ac:dyDescent="0.2">
      <c r="A148" s="115">
        <v>7</v>
      </c>
      <c r="B148" s="116" t="s">
        <v>119</v>
      </c>
      <c r="C148" s="113">
        <v>34121888</v>
      </c>
      <c r="D148" s="113">
        <v>37747229</v>
      </c>
      <c r="E148" s="113">
        <f t="shared" si="20"/>
        <v>3625341</v>
      </c>
      <c r="F148" s="114">
        <f t="shared" si="21"/>
        <v>0.10624678798547138</v>
      </c>
    </row>
    <row r="149" spans="1:6" x14ac:dyDescent="0.2">
      <c r="A149" s="115">
        <v>8</v>
      </c>
      <c r="B149" s="116" t="s">
        <v>120</v>
      </c>
      <c r="C149" s="113">
        <v>1938670</v>
      </c>
      <c r="D149" s="113">
        <v>1664347</v>
      </c>
      <c r="E149" s="113">
        <f t="shared" si="20"/>
        <v>-274323</v>
      </c>
      <c r="F149" s="114">
        <f t="shared" si="21"/>
        <v>-0.14150061640196629</v>
      </c>
    </row>
    <row r="150" spans="1:6" x14ac:dyDescent="0.2">
      <c r="A150" s="115">
        <v>9</v>
      </c>
      <c r="B150" s="116" t="s">
        <v>121</v>
      </c>
      <c r="C150" s="113">
        <v>6274568</v>
      </c>
      <c r="D150" s="113">
        <v>7400418</v>
      </c>
      <c r="E150" s="113">
        <f t="shared" si="20"/>
        <v>1125850</v>
      </c>
      <c r="F150" s="114">
        <f t="shared" si="21"/>
        <v>0.17943067953044736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152441512</v>
      </c>
      <c r="D153" s="119">
        <f>SUM(D142:D152)</f>
        <v>164262764</v>
      </c>
      <c r="E153" s="119">
        <f t="shared" si="20"/>
        <v>11821252</v>
      </c>
      <c r="F153" s="120">
        <f t="shared" si="21"/>
        <v>7.7546147666129162E-2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6022474</v>
      </c>
      <c r="D155" s="113">
        <v>6332382</v>
      </c>
      <c r="E155" s="113">
        <f t="shared" ref="E155:E166" si="22">D155-C155</f>
        <v>309908</v>
      </c>
      <c r="F155" s="114">
        <f t="shared" ref="F155:F166" si="23">IF(C155=0,0,E155/C155)</f>
        <v>5.1458586620714342E-2</v>
      </c>
    </row>
    <row r="156" spans="1:6" x14ac:dyDescent="0.2">
      <c r="A156" s="115">
        <v>2</v>
      </c>
      <c r="B156" s="116" t="s">
        <v>114</v>
      </c>
      <c r="C156" s="113">
        <v>2904635</v>
      </c>
      <c r="D156" s="113">
        <v>3340162</v>
      </c>
      <c r="E156" s="113">
        <f t="shared" si="22"/>
        <v>435527</v>
      </c>
      <c r="F156" s="114">
        <f t="shared" si="23"/>
        <v>0.14994207533820944</v>
      </c>
    </row>
    <row r="157" spans="1:6" x14ac:dyDescent="0.2">
      <c r="A157" s="115">
        <v>3</v>
      </c>
      <c r="B157" s="116" t="s">
        <v>115</v>
      </c>
      <c r="C157" s="113">
        <v>13862735</v>
      </c>
      <c r="D157" s="113">
        <v>13871681</v>
      </c>
      <c r="E157" s="113">
        <f t="shared" si="22"/>
        <v>8946</v>
      </c>
      <c r="F157" s="114">
        <f t="shared" si="23"/>
        <v>6.4532720274895251E-4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84765</v>
      </c>
      <c r="D159" s="113">
        <v>94049</v>
      </c>
      <c r="E159" s="113">
        <f t="shared" si="22"/>
        <v>9284</v>
      </c>
      <c r="F159" s="114">
        <f t="shared" si="23"/>
        <v>0.10952633752138265</v>
      </c>
    </row>
    <row r="160" spans="1:6" x14ac:dyDescent="0.2">
      <c r="A160" s="115">
        <v>6</v>
      </c>
      <c r="B160" s="116" t="s">
        <v>118</v>
      </c>
      <c r="C160" s="113">
        <v>925141</v>
      </c>
      <c r="D160" s="113">
        <v>1022433</v>
      </c>
      <c r="E160" s="113">
        <f t="shared" si="22"/>
        <v>97292</v>
      </c>
      <c r="F160" s="114">
        <f t="shared" si="23"/>
        <v>0.10516451005846676</v>
      </c>
    </row>
    <row r="161" spans="1:6" x14ac:dyDescent="0.2">
      <c r="A161" s="115">
        <v>7</v>
      </c>
      <c r="B161" s="116" t="s">
        <v>119</v>
      </c>
      <c r="C161" s="113">
        <v>24976295</v>
      </c>
      <c r="D161" s="113">
        <v>28614752</v>
      </c>
      <c r="E161" s="113">
        <f t="shared" si="22"/>
        <v>3638457</v>
      </c>
      <c r="F161" s="114">
        <f t="shared" si="23"/>
        <v>0.14567641037231502</v>
      </c>
    </row>
    <row r="162" spans="1:6" x14ac:dyDescent="0.2">
      <c r="A162" s="115">
        <v>8</v>
      </c>
      <c r="B162" s="116" t="s">
        <v>120</v>
      </c>
      <c r="C162" s="113">
        <v>1275440</v>
      </c>
      <c r="D162" s="113">
        <v>1057359</v>
      </c>
      <c r="E162" s="113">
        <f t="shared" si="22"/>
        <v>-218081</v>
      </c>
      <c r="F162" s="114">
        <f t="shared" si="23"/>
        <v>-0.17098491500972213</v>
      </c>
    </row>
    <row r="163" spans="1:6" x14ac:dyDescent="0.2">
      <c r="A163" s="115">
        <v>9</v>
      </c>
      <c r="B163" s="116" t="s">
        <v>121</v>
      </c>
      <c r="C163" s="113">
        <v>135662</v>
      </c>
      <c r="D163" s="113">
        <v>125627</v>
      </c>
      <c r="E163" s="113">
        <f t="shared" si="22"/>
        <v>-10035</v>
      </c>
      <c r="F163" s="114">
        <f t="shared" si="23"/>
        <v>-7.3970603411419561E-2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50187147</v>
      </c>
      <c r="D166" s="119">
        <f>SUM(D155:D165)</f>
        <v>54458445</v>
      </c>
      <c r="E166" s="119">
        <f t="shared" si="22"/>
        <v>4271298</v>
      </c>
      <c r="F166" s="120">
        <f t="shared" si="23"/>
        <v>8.5107408078008498E-2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11167</v>
      </c>
      <c r="D168" s="133">
        <v>11013</v>
      </c>
      <c r="E168" s="133">
        <f t="shared" ref="E168:E179" si="24">D168-C168</f>
        <v>-154</v>
      </c>
      <c r="F168" s="114">
        <f t="shared" ref="F168:F179" si="25">IF(C168=0,0,E168/C168)</f>
        <v>-1.379063311542939E-2</v>
      </c>
    </row>
    <row r="169" spans="1:6" x14ac:dyDescent="0.2">
      <c r="A169" s="115">
        <v>2</v>
      </c>
      <c r="B169" s="116" t="s">
        <v>114</v>
      </c>
      <c r="C169" s="133">
        <v>5274</v>
      </c>
      <c r="D169" s="133">
        <v>5523</v>
      </c>
      <c r="E169" s="133">
        <f t="shared" si="24"/>
        <v>249</v>
      </c>
      <c r="F169" s="114">
        <f t="shared" si="25"/>
        <v>4.7212741751990896E-2</v>
      </c>
    </row>
    <row r="170" spans="1:6" x14ac:dyDescent="0.2">
      <c r="A170" s="115">
        <v>3</v>
      </c>
      <c r="B170" s="116" t="s">
        <v>115</v>
      </c>
      <c r="C170" s="133">
        <v>49349</v>
      </c>
      <c r="D170" s="133">
        <v>49464</v>
      </c>
      <c r="E170" s="133">
        <f t="shared" si="24"/>
        <v>115</v>
      </c>
      <c r="F170" s="114">
        <f t="shared" si="25"/>
        <v>2.3303410403452958E-3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220</v>
      </c>
      <c r="D172" s="133">
        <v>216</v>
      </c>
      <c r="E172" s="133">
        <f t="shared" si="24"/>
        <v>-4</v>
      </c>
      <c r="F172" s="114">
        <f t="shared" si="25"/>
        <v>-1.8181818181818181E-2</v>
      </c>
    </row>
    <row r="173" spans="1:6" x14ac:dyDescent="0.2">
      <c r="A173" s="115">
        <v>6</v>
      </c>
      <c r="B173" s="116" t="s">
        <v>118</v>
      </c>
      <c r="C173" s="133">
        <v>1746</v>
      </c>
      <c r="D173" s="133">
        <v>1151</v>
      </c>
      <c r="E173" s="133">
        <f t="shared" si="24"/>
        <v>-595</v>
      </c>
      <c r="F173" s="114">
        <f t="shared" si="25"/>
        <v>-0.34077892325315007</v>
      </c>
    </row>
    <row r="174" spans="1:6" x14ac:dyDescent="0.2">
      <c r="A174" s="115">
        <v>7</v>
      </c>
      <c r="B174" s="116" t="s">
        <v>119</v>
      </c>
      <c r="C174" s="133">
        <v>17832</v>
      </c>
      <c r="D174" s="133">
        <v>18191</v>
      </c>
      <c r="E174" s="133">
        <f t="shared" si="24"/>
        <v>359</v>
      </c>
      <c r="F174" s="114">
        <f t="shared" si="25"/>
        <v>2.0132346343651863E-2</v>
      </c>
    </row>
    <row r="175" spans="1:6" x14ac:dyDescent="0.2">
      <c r="A175" s="115">
        <v>8</v>
      </c>
      <c r="B175" s="116" t="s">
        <v>120</v>
      </c>
      <c r="C175" s="133">
        <v>1306</v>
      </c>
      <c r="D175" s="133">
        <v>1091</v>
      </c>
      <c r="E175" s="133">
        <f t="shared" si="24"/>
        <v>-215</v>
      </c>
      <c r="F175" s="114">
        <f t="shared" si="25"/>
        <v>-0.16462480857580397</v>
      </c>
    </row>
    <row r="176" spans="1:6" x14ac:dyDescent="0.2">
      <c r="A176" s="115">
        <v>9</v>
      </c>
      <c r="B176" s="116" t="s">
        <v>121</v>
      </c>
      <c r="C176" s="133">
        <v>4212</v>
      </c>
      <c r="D176" s="133">
        <v>4704</v>
      </c>
      <c r="E176" s="133">
        <f t="shared" si="24"/>
        <v>492</v>
      </c>
      <c r="F176" s="114">
        <f t="shared" si="25"/>
        <v>0.11680911680911681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91106</v>
      </c>
      <c r="D179" s="134">
        <f>SUM(D168:D178)</f>
        <v>91353</v>
      </c>
      <c r="E179" s="134">
        <f t="shared" si="24"/>
        <v>247</v>
      </c>
      <c r="F179" s="120">
        <f t="shared" si="25"/>
        <v>2.7111276974074155E-3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61" fitToHeight="2" orientation="portrait" horizontalDpi="1200" verticalDpi="1200" r:id="rId1"/>
  <headerFooter>
    <oddHeader>&amp;LOFFICE OF HEALTH CARE ACCESS&amp;CTWELVE MONTHS ACTUAL FILING&amp;RTHE HOSPITAL OF CENTRAL CONNECTICUT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23" zoomScale="75" zoomScaleNormal="75" workbookViewId="0">
      <selection activeCell="G181" sqref="G18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54890328</v>
      </c>
      <c r="D15" s="157">
        <v>53467923</v>
      </c>
      <c r="E15" s="157">
        <f>+D15-C15</f>
        <v>-1422405</v>
      </c>
      <c r="F15" s="161">
        <f>IF(C15=0,0,E15/C15)</f>
        <v>-2.5913581715161185E-2</v>
      </c>
    </row>
    <row r="16" spans="1:6" ht="15" customHeight="1" x14ac:dyDescent="0.2">
      <c r="A16" s="147">
        <v>2</v>
      </c>
      <c r="B16" s="160" t="s">
        <v>157</v>
      </c>
      <c r="C16" s="157">
        <v>25288284</v>
      </c>
      <c r="D16" s="157">
        <v>25579872</v>
      </c>
      <c r="E16" s="157">
        <f>+D16-C16</f>
        <v>291588</v>
      </c>
      <c r="F16" s="161">
        <f>IF(C16=0,0,E16/C16)</f>
        <v>1.1530556996275429E-2</v>
      </c>
    </row>
    <row r="17" spans="1:6" ht="15" customHeight="1" x14ac:dyDescent="0.2">
      <c r="A17" s="147">
        <v>3</v>
      </c>
      <c r="B17" s="160" t="s">
        <v>158</v>
      </c>
      <c r="C17" s="157">
        <v>62467928</v>
      </c>
      <c r="D17" s="157">
        <v>56821831</v>
      </c>
      <c r="E17" s="157">
        <f>+D17-C17</f>
        <v>-5646097</v>
      </c>
      <c r="F17" s="161">
        <f>IF(C17=0,0,E17/C17)</f>
        <v>-9.0383932695830727E-2</v>
      </c>
    </row>
    <row r="18" spans="1:6" ht="15.75" customHeight="1" x14ac:dyDescent="0.25">
      <c r="A18" s="147"/>
      <c r="B18" s="162" t="s">
        <v>159</v>
      </c>
      <c r="C18" s="158">
        <f>SUM(C15:C17)</f>
        <v>142646540</v>
      </c>
      <c r="D18" s="158">
        <f>SUM(D15:D17)</f>
        <v>135869626</v>
      </c>
      <c r="E18" s="158">
        <f>+D18-C18</f>
        <v>-6776914</v>
      </c>
      <c r="F18" s="159">
        <f>IF(C18=0,0,E18/C18)</f>
        <v>-4.7508435886352375E-2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16616732</v>
      </c>
      <c r="D21" s="157">
        <v>14652480</v>
      </c>
      <c r="E21" s="157">
        <f>+D21-C21</f>
        <v>-1964252</v>
      </c>
      <c r="F21" s="161">
        <f>IF(C21=0,0,E21/C21)</f>
        <v>-0.11820928447302394</v>
      </c>
    </row>
    <row r="22" spans="1:6" ht="15" customHeight="1" x14ac:dyDescent="0.2">
      <c r="A22" s="147">
        <v>2</v>
      </c>
      <c r="B22" s="160" t="s">
        <v>162</v>
      </c>
      <c r="C22" s="157">
        <v>8220997</v>
      </c>
      <c r="D22" s="157">
        <v>7249199</v>
      </c>
      <c r="E22" s="157">
        <f>+D22-C22</f>
        <v>-971798</v>
      </c>
      <c r="F22" s="161">
        <f>IF(C22=0,0,E22/C22)</f>
        <v>-0.11820926342632165</v>
      </c>
    </row>
    <row r="23" spans="1:6" ht="15" customHeight="1" x14ac:dyDescent="0.2">
      <c r="A23" s="147">
        <v>3</v>
      </c>
      <c r="B23" s="160" t="s">
        <v>163</v>
      </c>
      <c r="C23" s="157">
        <v>19967424</v>
      </c>
      <c r="D23" s="157">
        <v>17607088</v>
      </c>
      <c r="E23" s="157">
        <f>+D23-C23</f>
        <v>-2360336</v>
      </c>
      <c r="F23" s="161">
        <f>IF(C23=0,0,E23/C23)</f>
        <v>-0.11820933937196906</v>
      </c>
    </row>
    <row r="24" spans="1:6" ht="15.75" customHeight="1" x14ac:dyDescent="0.25">
      <c r="A24" s="147"/>
      <c r="B24" s="162" t="s">
        <v>164</v>
      </c>
      <c r="C24" s="158">
        <f>SUM(C21:C23)</f>
        <v>44805153</v>
      </c>
      <c r="D24" s="158">
        <f>SUM(D21:D23)</f>
        <v>39508767</v>
      </c>
      <c r="E24" s="158">
        <f>+D24-C24</f>
        <v>-5296386</v>
      </c>
      <c r="F24" s="159">
        <f>IF(C24=0,0,E24/C24)</f>
        <v>-0.11820930507702987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119454</v>
      </c>
      <c r="D27" s="157">
        <v>0</v>
      </c>
      <c r="E27" s="157">
        <f>+D27-C27</f>
        <v>-119454</v>
      </c>
      <c r="F27" s="161">
        <f>IF(C27=0,0,E27/C27)</f>
        <v>-1</v>
      </c>
    </row>
    <row r="28" spans="1:6" ht="15" customHeight="1" x14ac:dyDescent="0.2">
      <c r="A28" s="147">
        <v>2</v>
      </c>
      <c r="B28" s="160" t="s">
        <v>167</v>
      </c>
      <c r="C28" s="157">
        <v>10254945</v>
      </c>
      <c r="D28" s="157">
        <v>11245852</v>
      </c>
      <c r="E28" s="157">
        <f>+D28-C28</f>
        <v>990907</v>
      </c>
      <c r="F28" s="161">
        <f>IF(C28=0,0,E28/C28)</f>
        <v>9.6627236908632855E-2</v>
      </c>
    </row>
    <row r="29" spans="1:6" ht="15" customHeight="1" x14ac:dyDescent="0.2">
      <c r="A29" s="147">
        <v>3</v>
      </c>
      <c r="B29" s="160" t="s">
        <v>168</v>
      </c>
      <c r="C29" s="157">
        <v>4987617</v>
      </c>
      <c r="D29" s="157">
        <v>4613027</v>
      </c>
      <c r="E29" s="157">
        <f>+D29-C29</f>
        <v>-374590</v>
      </c>
      <c r="F29" s="161">
        <f>IF(C29=0,0,E29/C29)</f>
        <v>-7.5104002572771722E-2</v>
      </c>
    </row>
    <row r="30" spans="1:6" ht="15.75" customHeight="1" x14ac:dyDescent="0.25">
      <c r="A30" s="147"/>
      <c r="B30" s="162" t="s">
        <v>169</v>
      </c>
      <c r="C30" s="158">
        <f>SUM(C27:C29)</f>
        <v>15362016</v>
      </c>
      <c r="D30" s="158">
        <f>SUM(D27:D29)</f>
        <v>15858879</v>
      </c>
      <c r="E30" s="158">
        <f>+D30-C30</f>
        <v>496863</v>
      </c>
      <c r="F30" s="159">
        <f>IF(C30=0,0,E30/C30)</f>
        <v>3.2343606464151582E-2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39313353</v>
      </c>
      <c r="D33" s="157">
        <v>37363087</v>
      </c>
      <c r="E33" s="157">
        <f>+D33-C33</f>
        <v>-1950266</v>
      </c>
      <c r="F33" s="161">
        <f>IF(C33=0,0,E33/C33)</f>
        <v>-4.9608233619757643E-2</v>
      </c>
    </row>
    <row r="34" spans="1:6" ht="15" customHeight="1" x14ac:dyDescent="0.2">
      <c r="A34" s="147">
        <v>2</v>
      </c>
      <c r="B34" s="160" t="s">
        <v>173</v>
      </c>
      <c r="C34" s="157">
        <v>10641089</v>
      </c>
      <c r="D34" s="157">
        <v>10113203</v>
      </c>
      <c r="E34" s="157">
        <f>+D34-C34</f>
        <v>-527886</v>
      </c>
      <c r="F34" s="161">
        <f>IF(C34=0,0,E34/C34)</f>
        <v>-4.9608268477032758E-2</v>
      </c>
    </row>
    <row r="35" spans="1:6" ht="15.75" customHeight="1" x14ac:dyDescent="0.25">
      <c r="A35" s="147"/>
      <c r="B35" s="162" t="s">
        <v>174</v>
      </c>
      <c r="C35" s="158">
        <f>SUM(C33:C34)</f>
        <v>49954442</v>
      </c>
      <c r="D35" s="158">
        <f>SUM(D33:D34)</f>
        <v>47476290</v>
      </c>
      <c r="E35" s="158">
        <f>+D35-C35</f>
        <v>-2478152</v>
      </c>
      <c r="F35" s="159">
        <f>IF(C35=0,0,E35/C35)</f>
        <v>-4.9608241044910482E-2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11226809</v>
      </c>
      <c r="D38" s="157">
        <v>12744035</v>
      </c>
      <c r="E38" s="157">
        <f>+D38-C38</f>
        <v>1517226</v>
      </c>
      <c r="F38" s="161">
        <f>IF(C38=0,0,E38/C38)</f>
        <v>0.13514312036483386</v>
      </c>
    </row>
    <row r="39" spans="1:6" ht="15" customHeight="1" x14ac:dyDescent="0.2">
      <c r="A39" s="147">
        <v>2</v>
      </c>
      <c r="B39" s="160" t="s">
        <v>178</v>
      </c>
      <c r="C39" s="157">
        <v>8267704</v>
      </c>
      <c r="D39" s="157">
        <v>7345861</v>
      </c>
      <c r="E39" s="157">
        <f>+D39-C39</f>
        <v>-921843</v>
      </c>
      <c r="F39" s="161">
        <f>IF(C39=0,0,E39/C39)</f>
        <v>-0.11149927476842422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19494513</v>
      </c>
      <c r="D41" s="158">
        <f>SUM(D38:D40)</f>
        <v>20089896</v>
      </c>
      <c r="E41" s="158">
        <f>+D41-C41</f>
        <v>595383</v>
      </c>
      <c r="F41" s="159">
        <f>IF(C41=0,0,E41/C41)</f>
        <v>3.0541055321566639E-2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1836605</v>
      </c>
      <c r="D47" s="157">
        <v>3135278</v>
      </c>
      <c r="E47" s="157">
        <f>+D47-C47</f>
        <v>1298673</v>
      </c>
      <c r="F47" s="161">
        <f>IF(C47=0,0,E47/C47)</f>
        <v>0.70710522948592647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3527444</v>
      </c>
      <c r="D50" s="157">
        <v>7527635</v>
      </c>
      <c r="E50" s="157">
        <f>+D50-C50</f>
        <v>4000191</v>
      </c>
      <c r="F50" s="161">
        <f>IF(C50=0,0,E50/C50)</f>
        <v>1.1340197037855173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175774</v>
      </c>
      <c r="D53" s="157">
        <v>181158</v>
      </c>
      <c r="E53" s="157">
        <f t="shared" ref="E53:E59" si="0">+D53-C53</f>
        <v>5384</v>
      </c>
      <c r="F53" s="161">
        <f t="shared" ref="F53:F59" si="1">IF(C53=0,0,E53/C53)</f>
        <v>3.0630241105055356E-2</v>
      </c>
    </row>
    <row r="54" spans="1:6" ht="15" customHeight="1" x14ac:dyDescent="0.2">
      <c r="A54" s="147">
        <v>2</v>
      </c>
      <c r="B54" s="160" t="s">
        <v>189</v>
      </c>
      <c r="C54" s="157">
        <v>1291915</v>
      </c>
      <c r="D54" s="157">
        <v>908873</v>
      </c>
      <c r="E54" s="157">
        <f t="shared" si="0"/>
        <v>-383042</v>
      </c>
      <c r="F54" s="161">
        <f t="shared" si="1"/>
        <v>-0.29649164225200575</v>
      </c>
    </row>
    <row r="55" spans="1:6" ht="15" customHeight="1" x14ac:dyDescent="0.2">
      <c r="A55" s="147">
        <v>3</v>
      </c>
      <c r="B55" s="160" t="s">
        <v>190</v>
      </c>
      <c r="C55" s="157">
        <v>30839</v>
      </c>
      <c r="D55" s="157">
        <v>12625</v>
      </c>
      <c r="E55" s="157">
        <f t="shared" si="0"/>
        <v>-18214</v>
      </c>
      <c r="F55" s="161">
        <f t="shared" si="1"/>
        <v>-0.59061577872174842</v>
      </c>
    </row>
    <row r="56" spans="1:6" ht="15" customHeight="1" x14ac:dyDescent="0.2">
      <c r="A56" s="147">
        <v>4</v>
      </c>
      <c r="B56" s="160" t="s">
        <v>191</v>
      </c>
      <c r="C56" s="157">
        <v>4040044</v>
      </c>
      <c r="D56" s="157">
        <v>4300224</v>
      </c>
      <c r="E56" s="157">
        <f t="shared" si="0"/>
        <v>260180</v>
      </c>
      <c r="F56" s="161">
        <f t="shared" si="1"/>
        <v>6.440028870972693E-2</v>
      </c>
    </row>
    <row r="57" spans="1:6" ht="15" customHeight="1" x14ac:dyDescent="0.2">
      <c r="A57" s="147">
        <v>5</v>
      </c>
      <c r="B57" s="160" t="s">
        <v>192</v>
      </c>
      <c r="C57" s="157">
        <v>640896</v>
      </c>
      <c r="D57" s="157">
        <v>558738</v>
      </c>
      <c r="E57" s="157">
        <f t="shared" si="0"/>
        <v>-82158</v>
      </c>
      <c r="F57" s="161">
        <f t="shared" si="1"/>
        <v>-0.12819240563211504</v>
      </c>
    </row>
    <row r="58" spans="1:6" ht="15" customHeight="1" x14ac:dyDescent="0.2">
      <c r="A58" s="147">
        <v>6</v>
      </c>
      <c r="B58" s="160" t="s">
        <v>193</v>
      </c>
      <c r="C58" s="157">
        <v>223729</v>
      </c>
      <c r="D58" s="157">
        <v>226902</v>
      </c>
      <c r="E58" s="157">
        <f t="shared" si="0"/>
        <v>3173</v>
      </c>
      <c r="F58" s="161">
        <f t="shared" si="1"/>
        <v>1.4182336666234596E-2</v>
      </c>
    </row>
    <row r="59" spans="1:6" ht="15.75" customHeight="1" x14ac:dyDescent="0.25">
      <c r="A59" s="147"/>
      <c r="B59" s="162" t="s">
        <v>194</v>
      </c>
      <c r="C59" s="158">
        <f>SUM(C53:C58)</f>
        <v>6403197</v>
      </c>
      <c r="D59" s="158">
        <f>SUM(D53:D58)</f>
        <v>6188520</v>
      </c>
      <c r="E59" s="158">
        <f t="shared" si="0"/>
        <v>-214677</v>
      </c>
      <c r="F59" s="159">
        <f t="shared" si="1"/>
        <v>-3.3526533698713314E-2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3077</v>
      </c>
      <c r="D62" s="157">
        <v>0</v>
      </c>
      <c r="E62" s="157">
        <f t="shared" ref="E62:E90" si="2">+D62-C62</f>
        <v>-3077</v>
      </c>
      <c r="F62" s="161">
        <f t="shared" ref="F62:F90" si="3">IF(C62=0,0,E62/C62)</f>
        <v>-1</v>
      </c>
    </row>
    <row r="63" spans="1:6" ht="15" customHeight="1" x14ac:dyDescent="0.2">
      <c r="A63" s="147">
        <v>2</v>
      </c>
      <c r="B63" s="160" t="s">
        <v>198</v>
      </c>
      <c r="C63" s="157">
        <v>208108</v>
      </c>
      <c r="D63" s="157">
        <v>426211</v>
      </c>
      <c r="E63" s="157">
        <f t="shared" si="2"/>
        <v>218103</v>
      </c>
      <c r="F63" s="161">
        <f t="shared" si="3"/>
        <v>1.0480279470275049</v>
      </c>
    </row>
    <row r="64" spans="1:6" ht="15" customHeight="1" x14ac:dyDescent="0.2">
      <c r="A64" s="147">
        <v>3</v>
      </c>
      <c r="B64" s="160" t="s">
        <v>199</v>
      </c>
      <c r="C64" s="157">
        <v>2688277</v>
      </c>
      <c r="D64" s="157">
        <v>3044899</v>
      </c>
      <c r="E64" s="157">
        <f t="shared" si="2"/>
        <v>356622</v>
      </c>
      <c r="F64" s="161">
        <f t="shared" si="3"/>
        <v>0.13265820449306379</v>
      </c>
    </row>
    <row r="65" spans="1:6" ht="15" customHeight="1" x14ac:dyDescent="0.2">
      <c r="A65" s="147">
        <v>4</v>
      </c>
      <c r="B65" s="160" t="s">
        <v>200</v>
      </c>
      <c r="C65" s="157">
        <v>843205</v>
      </c>
      <c r="D65" s="157">
        <v>977103</v>
      </c>
      <c r="E65" s="157">
        <f t="shared" si="2"/>
        <v>133898</v>
      </c>
      <c r="F65" s="161">
        <f t="shared" si="3"/>
        <v>0.15879649670009072</v>
      </c>
    </row>
    <row r="66" spans="1:6" ht="15" customHeight="1" x14ac:dyDescent="0.2">
      <c r="A66" s="147">
        <v>5</v>
      </c>
      <c r="B66" s="160" t="s">
        <v>201</v>
      </c>
      <c r="C66" s="157">
        <v>1404140</v>
      </c>
      <c r="D66" s="157">
        <v>1376579</v>
      </c>
      <c r="E66" s="157">
        <f t="shared" si="2"/>
        <v>-27561</v>
      </c>
      <c r="F66" s="161">
        <f t="shared" si="3"/>
        <v>-1.9628384634010853E-2</v>
      </c>
    </row>
    <row r="67" spans="1:6" ht="15" customHeight="1" x14ac:dyDescent="0.2">
      <c r="A67" s="147">
        <v>6</v>
      </c>
      <c r="B67" s="160" t="s">
        <v>202</v>
      </c>
      <c r="C67" s="157">
        <v>2227305</v>
      </c>
      <c r="D67" s="157">
        <v>2526155</v>
      </c>
      <c r="E67" s="157">
        <f t="shared" si="2"/>
        <v>298850</v>
      </c>
      <c r="F67" s="161">
        <f t="shared" si="3"/>
        <v>0.13417560684324778</v>
      </c>
    </row>
    <row r="68" spans="1:6" ht="15" customHeight="1" x14ac:dyDescent="0.2">
      <c r="A68" s="147">
        <v>7</v>
      </c>
      <c r="B68" s="160" t="s">
        <v>203</v>
      </c>
      <c r="C68" s="157">
        <v>5961326</v>
      </c>
      <c r="D68" s="157">
        <v>6543981</v>
      </c>
      <c r="E68" s="157">
        <f t="shared" si="2"/>
        <v>582655</v>
      </c>
      <c r="F68" s="161">
        <f t="shared" si="3"/>
        <v>9.7739160716927745E-2</v>
      </c>
    </row>
    <row r="69" spans="1:6" ht="15" customHeight="1" x14ac:dyDescent="0.2">
      <c r="A69" s="147">
        <v>8</v>
      </c>
      <c r="B69" s="160" t="s">
        <v>204</v>
      </c>
      <c r="C69" s="157">
        <v>352412</v>
      </c>
      <c r="D69" s="157">
        <v>332419</v>
      </c>
      <c r="E69" s="157">
        <f t="shared" si="2"/>
        <v>-19993</v>
      </c>
      <c r="F69" s="161">
        <f t="shared" si="3"/>
        <v>-5.6731893352099244E-2</v>
      </c>
    </row>
    <row r="70" spans="1:6" ht="15" customHeight="1" x14ac:dyDescent="0.2">
      <c r="A70" s="147">
        <v>9</v>
      </c>
      <c r="B70" s="160" t="s">
        <v>205</v>
      </c>
      <c r="C70" s="157">
        <v>332105</v>
      </c>
      <c r="D70" s="157">
        <v>321247</v>
      </c>
      <c r="E70" s="157">
        <f t="shared" si="2"/>
        <v>-10858</v>
      </c>
      <c r="F70" s="161">
        <f t="shared" si="3"/>
        <v>-3.269447915568871E-2</v>
      </c>
    </row>
    <row r="71" spans="1:6" ht="15" customHeight="1" x14ac:dyDescent="0.2">
      <c r="A71" s="147">
        <v>10</v>
      </c>
      <c r="B71" s="160" t="s">
        <v>206</v>
      </c>
      <c r="C71" s="157">
        <v>105026</v>
      </c>
      <c r="D71" s="157">
        <v>104258</v>
      </c>
      <c r="E71" s="157">
        <f t="shared" si="2"/>
        <v>-768</v>
      </c>
      <c r="F71" s="161">
        <f t="shared" si="3"/>
        <v>-7.312475006188944E-3</v>
      </c>
    </row>
    <row r="72" spans="1:6" ht="15" customHeight="1" x14ac:dyDescent="0.2">
      <c r="A72" s="147">
        <v>11</v>
      </c>
      <c r="B72" s="160" t="s">
        <v>207</v>
      </c>
      <c r="C72" s="157">
        <v>260471</v>
      </c>
      <c r="D72" s="157">
        <v>238966</v>
      </c>
      <c r="E72" s="157">
        <f t="shared" si="2"/>
        <v>-21505</v>
      </c>
      <c r="F72" s="161">
        <f t="shared" si="3"/>
        <v>-8.2561974269688379E-2</v>
      </c>
    </row>
    <row r="73" spans="1:6" ht="15" customHeight="1" x14ac:dyDescent="0.2">
      <c r="A73" s="147">
        <v>12</v>
      </c>
      <c r="B73" s="160" t="s">
        <v>208</v>
      </c>
      <c r="C73" s="157">
        <v>1919641</v>
      </c>
      <c r="D73" s="157">
        <v>2009641</v>
      </c>
      <c r="E73" s="157">
        <f t="shared" si="2"/>
        <v>90000</v>
      </c>
      <c r="F73" s="161">
        <f t="shared" si="3"/>
        <v>4.6883766287550643E-2</v>
      </c>
    </row>
    <row r="74" spans="1:6" ht="15" customHeight="1" x14ac:dyDescent="0.2">
      <c r="A74" s="147">
        <v>13</v>
      </c>
      <c r="B74" s="160" t="s">
        <v>209</v>
      </c>
      <c r="C74" s="157">
        <v>140603</v>
      </c>
      <c r="D74" s="157">
        <v>162930</v>
      </c>
      <c r="E74" s="157">
        <f t="shared" si="2"/>
        <v>22327</v>
      </c>
      <c r="F74" s="161">
        <f t="shared" si="3"/>
        <v>0.15879462031393357</v>
      </c>
    </row>
    <row r="75" spans="1:6" ht="15" customHeight="1" x14ac:dyDescent="0.2">
      <c r="A75" s="147">
        <v>14</v>
      </c>
      <c r="B75" s="160" t="s">
        <v>210</v>
      </c>
      <c r="C75" s="157">
        <v>338995</v>
      </c>
      <c r="D75" s="157">
        <v>318122</v>
      </c>
      <c r="E75" s="157">
        <f t="shared" si="2"/>
        <v>-20873</v>
      </c>
      <c r="F75" s="161">
        <f t="shared" si="3"/>
        <v>-6.1573179545421027E-2</v>
      </c>
    </row>
    <row r="76" spans="1:6" ht="15" customHeight="1" x14ac:dyDescent="0.2">
      <c r="A76" s="147">
        <v>15</v>
      </c>
      <c r="B76" s="160" t="s">
        <v>211</v>
      </c>
      <c r="C76" s="157">
        <v>428483</v>
      </c>
      <c r="D76" s="157">
        <v>154372</v>
      </c>
      <c r="E76" s="157">
        <f t="shared" si="2"/>
        <v>-274111</v>
      </c>
      <c r="F76" s="161">
        <f t="shared" si="3"/>
        <v>-0.63972432978671268</v>
      </c>
    </row>
    <row r="77" spans="1:6" ht="15" customHeight="1" x14ac:dyDescent="0.2">
      <c r="A77" s="147">
        <v>16</v>
      </c>
      <c r="B77" s="160" t="s">
        <v>212</v>
      </c>
      <c r="C77" s="157">
        <v>40753508</v>
      </c>
      <c r="D77" s="157">
        <v>59177394</v>
      </c>
      <c r="E77" s="157">
        <f t="shared" si="2"/>
        <v>18423886</v>
      </c>
      <c r="F77" s="161">
        <f t="shared" si="3"/>
        <v>0.45208098404682118</v>
      </c>
    </row>
    <row r="78" spans="1:6" ht="15" customHeight="1" x14ac:dyDescent="0.2">
      <c r="A78" s="147">
        <v>17</v>
      </c>
      <c r="B78" s="160" t="s">
        <v>213</v>
      </c>
      <c r="C78" s="157">
        <v>5467662</v>
      </c>
      <c r="D78" s="157">
        <v>5821080</v>
      </c>
      <c r="E78" s="157">
        <f t="shared" si="2"/>
        <v>353418</v>
      </c>
      <c r="F78" s="161">
        <f t="shared" si="3"/>
        <v>6.4637865325252369E-2</v>
      </c>
    </row>
    <row r="79" spans="1:6" ht="15" customHeight="1" x14ac:dyDescent="0.2">
      <c r="A79" s="147">
        <v>18</v>
      </c>
      <c r="B79" s="160" t="s">
        <v>214</v>
      </c>
      <c r="C79" s="157">
        <v>331095</v>
      </c>
      <c r="D79" s="157">
        <v>553556</v>
      </c>
      <c r="E79" s="157">
        <f t="shared" si="2"/>
        <v>222461</v>
      </c>
      <c r="F79" s="161">
        <f t="shared" si="3"/>
        <v>0.67189477340340387</v>
      </c>
    </row>
    <row r="80" spans="1:6" ht="15" customHeight="1" x14ac:dyDescent="0.2">
      <c r="A80" s="147">
        <v>19</v>
      </c>
      <c r="B80" s="160" t="s">
        <v>215</v>
      </c>
      <c r="C80" s="157">
        <v>2288106</v>
      </c>
      <c r="D80" s="157">
        <v>1234100</v>
      </c>
      <c r="E80" s="157">
        <f t="shared" si="2"/>
        <v>-1054006</v>
      </c>
      <c r="F80" s="161">
        <f t="shared" si="3"/>
        <v>-0.46064561694257172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253014</v>
      </c>
      <c r="D82" s="157">
        <v>33378</v>
      </c>
      <c r="E82" s="157">
        <f t="shared" si="2"/>
        <v>-219636</v>
      </c>
      <c r="F82" s="161">
        <f t="shared" si="3"/>
        <v>-0.86807844625198605</v>
      </c>
    </row>
    <row r="83" spans="1:6" ht="15" customHeight="1" x14ac:dyDescent="0.2">
      <c r="A83" s="147">
        <v>22</v>
      </c>
      <c r="B83" s="160" t="s">
        <v>218</v>
      </c>
      <c r="C83" s="157">
        <v>831199</v>
      </c>
      <c r="D83" s="157">
        <v>593463</v>
      </c>
      <c r="E83" s="157">
        <f t="shared" si="2"/>
        <v>-237736</v>
      </c>
      <c r="F83" s="161">
        <f t="shared" si="3"/>
        <v>-0.28601574352230935</v>
      </c>
    </row>
    <row r="84" spans="1:6" ht="15" customHeight="1" x14ac:dyDescent="0.2">
      <c r="A84" s="147">
        <v>23</v>
      </c>
      <c r="B84" s="160" t="s">
        <v>219</v>
      </c>
      <c r="C84" s="157">
        <v>49127</v>
      </c>
      <c r="D84" s="157">
        <v>47547</v>
      </c>
      <c r="E84" s="157">
        <f t="shared" si="2"/>
        <v>-1580</v>
      </c>
      <c r="F84" s="161">
        <f t="shared" si="3"/>
        <v>-3.2161540497078998E-2</v>
      </c>
    </row>
    <row r="85" spans="1:6" ht="15" customHeight="1" x14ac:dyDescent="0.2">
      <c r="A85" s="147">
        <v>24</v>
      </c>
      <c r="B85" s="160" t="s">
        <v>220</v>
      </c>
      <c r="C85" s="157">
        <v>1202919</v>
      </c>
      <c r="D85" s="157">
        <v>1086291</v>
      </c>
      <c r="E85" s="157">
        <f t="shared" si="2"/>
        <v>-116628</v>
      </c>
      <c r="F85" s="161">
        <f t="shared" si="3"/>
        <v>-9.6954159008212526E-2</v>
      </c>
    </row>
    <row r="86" spans="1:6" ht="15" customHeight="1" x14ac:dyDescent="0.2">
      <c r="A86" s="147">
        <v>25</v>
      </c>
      <c r="B86" s="160" t="s">
        <v>221</v>
      </c>
      <c r="C86" s="157">
        <v>356152</v>
      </c>
      <c r="D86" s="157">
        <v>357287</v>
      </c>
      <c r="E86" s="157">
        <f t="shared" si="2"/>
        <v>1135</v>
      </c>
      <c r="F86" s="161">
        <f t="shared" si="3"/>
        <v>3.1868415732608547E-3</v>
      </c>
    </row>
    <row r="87" spans="1:6" ht="15" customHeight="1" x14ac:dyDescent="0.2">
      <c r="A87" s="147">
        <v>26</v>
      </c>
      <c r="B87" s="160" t="s">
        <v>222</v>
      </c>
      <c r="C87" s="157">
        <v>28959</v>
      </c>
      <c r="D87" s="157">
        <v>0</v>
      </c>
      <c r="E87" s="157">
        <f t="shared" si="2"/>
        <v>-28959</v>
      </c>
      <c r="F87" s="161">
        <f t="shared" si="3"/>
        <v>-1</v>
      </c>
    </row>
    <row r="88" spans="1:6" ht="15" customHeight="1" x14ac:dyDescent="0.2">
      <c r="A88" s="147">
        <v>27</v>
      </c>
      <c r="B88" s="160" t="s">
        <v>223</v>
      </c>
      <c r="C88" s="157">
        <v>329591</v>
      </c>
      <c r="D88" s="157">
        <v>546198</v>
      </c>
      <c r="E88" s="157">
        <f t="shared" si="2"/>
        <v>216607</v>
      </c>
      <c r="F88" s="161">
        <f t="shared" si="3"/>
        <v>0.65719937741018408</v>
      </c>
    </row>
    <row r="89" spans="1:6" ht="15" customHeight="1" x14ac:dyDescent="0.2">
      <c r="A89" s="147">
        <v>28</v>
      </c>
      <c r="B89" s="160" t="s">
        <v>224</v>
      </c>
      <c r="C89" s="157">
        <v>1972281</v>
      </c>
      <c r="D89" s="157">
        <v>3043813</v>
      </c>
      <c r="E89" s="157">
        <f t="shared" si="2"/>
        <v>1071532</v>
      </c>
      <c r="F89" s="161">
        <f t="shared" si="3"/>
        <v>0.5432958082545033</v>
      </c>
    </row>
    <row r="90" spans="1:6" ht="15.75" customHeight="1" x14ac:dyDescent="0.25">
      <c r="A90" s="147"/>
      <c r="B90" s="162" t="s">
        <v>225</v>
      </c>
      <c r="C90" s="158">
        <f>SUM(C62:C89)</f>
        <v>71076787</v>
      </c>
      <c r="D90" s="158">
        <f>SUM(D62:D89)</f>
        <v>91030990</v>
      </c>
      <c r="E90" s="158">
        <f t="shared" si="2"/>
        <v>19954203</v>
      </c>
      <c r="F90" s="159">
        <f t="shared" si="3"/>
        <v>0.28074148877888921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355106697</v>
      </c>
      <c r="D95" s="158">
        <f>+D93+D90+D59+D50+D47+D44+D41+D35+D30+D24+D18</f>
        <v>366685881</v>
      </c>
      <c r="E95" s="158">
        <f>+D95-C95</f>
        <v>11579184</v>
      </c>
      <c r="F95" s="159">
        <f>IF(C95=0,0,E95/C95)</f>
        <v>3.2607619337576166E-2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37631587</v>
      </c>
      <c r="D103" s="157">
        <v>53976000</v>
      </c>
      <c r="E103" s="157">
        <f t="shared" ref="E103:E121" si="4">D103-C103</f>
        <v>16344413</v>
      </c>
      <c r="F103" s="161">
        <f t="shared" ref="F103:F121" si="5">IF(C103=0,0,E103/C103)</f>
        <v>0.43432696580136254</v>
      </c>
    </row>
    <row r="104" spans="1:6" ht="15" customHeight="1" x14ac:dyDescent="0.2">
      <c r="A104" s="147">
        <v>2</v>
      </c>
      <c r="B104" s="169" t="s">
        <v>234</v>
      </c>
      <c r="C104" s="157">
        <v>1480348</v>
      </c>
      <c r="D104" s="157">
        <v>1194818</v>
      </c>
      <c r="E104" s="157">
        <f t="shared" si="4"/>
        <v>-285530</v>
      </c>
      <c r="F104" s="161">
        <f t="shared" si="5"/>
        <v>-0.1928803227349245</v>
      </c>
    </row>
    <row r="105" spans="1:6" ht="15" customHeight="1" x14ac:dyDescent="0.2">
      <c r="A105" s="147">
        <v>3</v>
      </c>
      <c r="B105" s="169" t="s">
        <v>235</v>
      </c>
      <c r="C105" s="157">
        <v>1178575</v>
      </c>
      <c r="D105" s="157">
        <v>673632</v>
      </c>
      <c r="E105" s="157">
        <f t="shared" si="4"/>
        <v>-504943</v>
      </c>
      <c r="F105" s="161">
        <f t="shared" si="5"/>
        <v>-0.4284351865600407</v>
      </c>
    </row>
    <row r="106" spans="1:6" ht="15" customHeight="1" x14ac:dyDescent="0.2">
      <c r="A106" s="147">
        <v>4</v>
      </c>
      <c r="B106" s="169" t="s">
        <v>236</v>
      </c>
      <c r="C106" s="157">
        <v>430266</v>
      </c>
      <c r="D106" s="157">
        <v>78149</v>
      </c>
      <c r="E106" s="157">
        <f t="shared" si="4"/>
        <v>-352117</v>
      </c>
      <c r="F106" s="161">
        <f t="shared" si="5"/>
        <v>-0.81837049639060488</v>
      </c>
    </row>
    <row r="107" spans="1:6" ht="15" customHeight="1" x14ac:dyDescent="0.2">
      <c r="A107" s="147">
        <v>5</v>
      </c>
      <c r="B107" s="169" t="s">
        <v>237</v>
      </c>
      <c r="C107" s="157">
        <v>14492032</v>
      </c>
      <c r="D107" s="157">
        <v>12448253</v>
      </c>
      <c r="E107" s="157">
        <f t="shared" si="4"/>
        <v>-2043779</v>
      </c>
      <c r="F107" s="161">
        <f t="shared" si="5"/>
        <v>-0.14102777305487596</v>
      </c>
    </row>
    <row r="108" spans="1:6" ht="15" customHeight="1" x14ac:dyDescent="0.2">
      <c r="A108" s="147">
        <v>6</v>
      </c>
      <c r="B108" s="169" t="s">
        <v>238</v>
      </c>
      <c r="C108" s="157">
        <v>1164226</v>
      </c>
      <c r="D108" s="157">
        <v>1085369</v>
      </c>
      <c r="E108" s="157">
        <f t="shared" si="4"/>
        <v>-78857</v>
      </c>
      <c r="F108" s="161">
        <f t="shared" si="5"/>
        <v>-6.7733412584841779E-2</v>
      </c>
    </row>
    <row r="109" spans="1:6" ht="15" customHeight="1" x14ac:dyDescent="0.2">
      <c r="A109" s="147">
        <v>7</v>
      </c>
      <c r="B109" s="169" t="s">
        <v>239</v>
      </c>
      <c r="C109" s="157">
        <v>47809369</v>
      </c>
      <c r="D109" s="157">
        <v>41232618</v>
      </c>
      <c r="E109" s="157">
        <f t="shared" si="4"/>
        <v>-6576751</v>
      </c>
      <c r="F109" s="161">
        <f t="shared" si="5"/>
        <v>-0.13756197033263501</v>
      </c>
    </row>
    <row r="110" spans="1:6" ht="15" customHeight="1" x14ac:dyDescent="0.2">
      <c r="A110" s="147">
        <v>8</v>
      </c>
      <c r="B110" s="169" t="s">
        <v>240</v>
      </c>
      <c r="C110" s="157">
        <v>139128</v>
      </c>
      <c r="D110" s="157">
        <v>56836</v>
      </c>
      <c r="E110" s="157">
        <f t="shared" si="4"/>
        <v>-82292</v>
      </c>
      <c r="F110" s="161">
        <f t="shared" si="5"/>
        <v>-0.59148410097176696</v>
      </c>
    </row>
    <row r="111" spans="1:6" ht="15" customHeight="1" x14ac:dyDescent="0.2">
      <c r="A111" s="147">
        <v>9</v>
      </c>
      <c r="B111" s="169" t="s">
        <v>241</v>
      </c>
      <c r="C111" s="157">
        <v>1198690</v>
      </c>
      <c r="D111" s="157">
        <v>1319562</v>
      </c>
      <c r="E111" s="157">
        <f t="shared" si="4"/>
        <v>120872</v>
      </c>
      <c r="F111" s="161">
        <f t="shared" si="5"/>
        <v>0.10083674678190357</v>
      </c>
    </row>
    <row r="112" spans="1:6" ht="15" customHeight="1" x14ac:dyDescent="0.2">
      <c r="A112" s="147">
        <v>10</v>
      </c>
      <c r="B112" s="169" t="s">
        <v>242</v>
      </c>
      <c r="C112" s="157">
        <v>4812571</v>
      </c>
      <c r="D112" s="157">
        <v>4788840</v>
      </c>
      <c r="E112" s="157">
        <f t="shared" si="4"/>
        <v>-23731</v>
      </c>
      <c r="F112" s="161">
        <f t="shared" si="5"/>
        <v>-4.9310441342060203E-3</v>
      </c>
    </row>
    <row r="113" spans="1:6" ht="15" customHeight="1" x14ac:dyDescent="0.2">
      <c r="A113" s="147">
        <v>11</v>
      </c>
      <c r="B113" s="169" t="s">
        <v>243</v>
      </c>
      <c r="C113" s="157">
        <v>5488439</v>
      </c>
      <c r="D113" s="157">
        <v>5087485</v>
      </c>
      <c r="E113" s="157">
        <f t="shared" si="4"/>
        <v>-400954</v>
      </c>
      <c r="F113" s="161">
        <f t="shared" si="5"/>
        <v>-7.3054287384810138E-2</v>
      </c>
    </row>
    <row r="114" spans="1:6" ht="15" customHeight="1" x14ac:dyDescent="0.2">
      <c r="A114" s="147">
        <v>12</v>
      </c>
      <c r="B114" s="169" t="s">
        <v>244</v>
      </c>
      <c r="C114" s="157">
        <v>1213521</v>
      </c>
      <c r="D114" s="157">
        <v>1247508</v>
      </c>
      <c r="E114" s="157">
        <f t="shared" si="4"/>
        <v>33987</v>
      </c>
      <c r="F114" s="161">
        <f t="shared" si="5"/>
        <v>2.8006931894874503E-2</v>
      </c>
    </row>
    <row r="115" spans="1:6" ht="15" customHeight="1" x14ac:dyDescent="0.2">
      <c r="A115" s="147">
        <v>13</v>
      </c>
      <c r="B115" s="169" t="s">
        <v>245</v>
      </c>
      <c r="C115" s="157">
        <v>17367575</v>
      </c>
      <c r="D115" s="157">
        <v>18859835</v>
      </c>
      <c r="E115" s="157">
        <f t="shared" si="4"/>
        <v>1492260</v>
      </c>
      <c r="F115" s="161">
        <f t="shared" si="5"/>
        <v>8.5922185451912547E-2</v>
      </c>
    </row>
    <row r="116" spans="1:6" ht="15" customHeight="1" x14ac:dyDescent="0.2">
      <c r="A116" s="147">
        <v>14</v>
      </c>
      <c r="B116" s="169" t="s">
        <v>246</v>
      </c>
      <c r="C116" s="157">
        <v>1519628</v>
      </c>
      <c r="D116" s="157">
        <v>1679640</v>
      </c>
      <c r="E116" s="157">
        <f t="shared" si="4"/>
        <v>160012</v>
      </c>
      <c r="F116" s="161">
        <f t="shared" si="5"/>
        <v>0.10529682264343641</v>
      </c>
    </row>
    <row r="117" spans="1:6" ht="15" customHeight="1" x14ac:dyDescent="0.2">
      <c r="A117" s="147">
        <v>15</v>
      </c>
      <c r="B117" s="169" t="s">
        <v>203</v>
      </c>
      <c r="C117" s="157">
        <v>2102278</v>
      </c>
      <c r="D117" s="157">
        <v>2187104</v>
      </c>
      <c r="E117" s="157">
        <f t="shared" si="4"/>
        <v>84826</v>
      </c>
      <c r="F117" s="161">
        <f t="shared" si="5"/>
        <v>4.0349563663797078E-2</v>
      </c>
    </row>
    <row r="118" spans="1:6" ht="15" customHeight="1" x14ac:dyDescent="0.2">
      <c r="A118" s="147">
        <v>16</v>
      </c>
      <c r="B118" s="169" t="s">
        <v>247</v>
      </c>
      <c r="C118" s="157">
        <v>1742490</v>
      </c>
      <c r="D118" s="157">
        <v>1705893</v>
      </c>
      <c r="E118" s="157">
        <f t="shared" si="4"/>
        <v>-36597</v>
      </c>
      <c r="F118" s="161">
        <f t="shared" si="5"/>
        <v>-2.100270302842484E-2</v>
      </c>
    </row>
    <row r="119" spans="1:6" ht="15" customHeight="1" x14ac:dyDescent="0.2">
      <c r="A119" s="147">
        <v>17</v>
      </c>
      <c r="B119" s="169" t="s">
        <v>248</v>
      </c>
      <c r="C119" s="157">
        <v>16445886</v>
      </c>
      <c r="D119" s="157">
        <v>17670405</v>
      </c>
      <c r="E119" s="157">
        <f t="shared" si="4"/>
        <v>1224519</v>
      </c>
      <c r="F119" s="161">
        <f t="shared" si="5"/>
        <v>7.4457466140772227E-2</v>
      </c>
    </row>
    <row r="120" spans="1:6" ht="15" customHeight="1" x14ac:dyDescent="0.2">
      <c r="A120" s="147">
        <v>18</v>
      </c>
      <c r="B120" s="169" t="s">
        <v>249</v>
      </c>
      <c r="C120" s="157">
        <v>6477663</v>
      </c>
      <c r="D120" s="157">
        <v>6376245</v>
      </c>
      <c r="E120" s="157">
        <f t="shared" si="4"/>
        <v>-101418</v>
      </c>
      <c r="F120" s="161">
        <f t="shared" si="5"/>
        <v>-1.565657243978268E-2</v>
      </c>
    </row>
    <row r="121" spans="1:6" ht="15.75" customHeight="1" x14ac:dyDescent="0.25">
      <c r="A121" s="147"/>
      <c r="B121" s="165" t="s">
        <v>250</v>
      </c>
      <c r="C121" s="158">
        <f>SUM(C103:C120)</f>
        <v>162694272</v>
      </c>
      <c r="D121" s="158">
        <f>SUM(D103:D120)</f>
        <v>171668192</v>
      </c>
      <c r="E121" s="158">
        <f t="shared" si="4"/>
        <v>8973920</v>
      </c>
      <c r="F121" s="159">
        <f t="shared" si="5"/>
        <v>5.5158180369128174E-2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18587447</v>
      </c>
      <c r="D124" s="157">
        <v>18788408</v>
      </c>
      <c r="E124" s="157">
        <f t="shared" ref="E124:E130" si="6">D124-C124</f>
        <v>200961</v>
      </c>
      <c r="F124" s="161">
        <f t="shared" ref="F124:F130" si="7">IF(C124=0,0,E124/C124)</f>
        <v>1.0811651540956646E-2</v>
      </c>
    </row>
    <row r="125" spans="1:6" ht="15" customHeight="1" x14ac:dyDescent="0.2">
      <c r="A125" s="147">
        <v>2</v>
      </c>
      <c r="B125" s="169" t="s">
        <v>253</v>
      </c>
      <c r="C125" s="157">
        <v>6347891</v>
      </c>
      <c r="D125" s="157">
        <v>6715349</v>
      </c>
      <c r="E125" s="157">
        <f t="shared" si="6"/>
        <v>367458</v>
      </c>
      <c r="F125" s="161">
        <f t="shared" si="7"/>
        <v>5.7886627227846224E-2</v>
      </c>
    </row>
    <row r="126" spans="1:6" ht="15" customHeight="1" x14ac:dyDescent="0.2">
      <c r="A126" s="147">
        <v>3</v>
      </c>
      <c r="B126" s="169" t="s">
        <v>254</v>
      </c>
      <c r="C126" s="157">
        <v>2309522</v>
      </c>
      <c r="D126" s="157">
        <v>1808332</v>
      </c>
      <c r="E126" s="157">
        <f t="shared" si="6"/>
        <v>-501190</v>
      </c>
      <c r="F126" s="161">
        <f t="shared" si="7"/>
        <v>-0.2170102731214511</v>
      </c>
    </row>
    <row r="127" spans="1:6" ht="15" customHeight="1" x14ac:dyDescent="0.2">
      <c r="A127" s="147">
        <v>4</v>
      </c>
      <c r="B127" s="169" t="s">
        <v>255</v>
      </c>
      <c r="C127" s="157">
        <v>1029475</v>
      </c>
      <c r="D127" s="157">
        <v>1292541</v>
      </c>
      <c r="E127" s="157">
        <f t="shared" si="6"/>
        <v>263066</v>
      </c>
      <c r="F127" s="161">
        <f t="shared" si="7"/>
        <v>0.25553413147478082</v>
      </c>
    </row>
    <row r="128" spans="1:6" ht="15" customHeight="1" x14ac:dyDescent="0.2">
      <c r="A128" s="147">
        <v>5</v>
      </c>
      <c r="B128" s="169" t="s">
        <v>256</v>
      </c>
      <c r="C128" s="157">
        <v>3492757</v>
      </c>
      <c r="D128" s="157">
        <v>3348542</v>
      </c>
      <c r="E128" s="157">
        <f t="shared" si="6"/>
        <v>-144215</v>
      </c>
      <c r="F128" s="161">
        <f t="shared" si="7"/>
        <v>-4.1289731865114004E-2</v>
      </c>
    </row>
    <row r="129" spans="1:6" ht="15" customHeight="1" x14ac:dyDescent="0.2">
      <c r="A129" s="147">
        <v>6</v>
      </c>
      <c r="B129" s="169" t="s">
        <v>257</v>
      </c>
      <c r="C129" s="157">
        <v>7191571</v>
      </c>
      <c r="D129" s="157">
        <v>5039696</v>
      </c>
      <c r="E129" s="157">
        <f t="shared" si="6"/>
        <v>-2151875</v>
      </c>
      <c r="F129" s="161">
        <f t="shared" si="7"/>
        <v>-0.29922182510608603</v>
      </c>
    </row>
    <row r="130" spans="1:6" ht="15.75" customHeight="1" x14ac:dyDescent="0.25">
      <c r="A130" s="147"/>
      <c r="B130" s="165" t="s">
        <v>258</v>
      </c>
      <c r="C130" s="158">
        <f>SUM(C124:C129)</f>
        <v>38958663</v>
      </c>
      <c r="D130" s="158">
        <f>SUM(D124:D129)</f>
        <v>36992868</v>
      </c>
      <c r="E130" s="158">
        <f t="shared" si="6"/>
        <v>-1965795</v>
      </c>
      <c r="F130" s="159">
        <f t="shared" si="7"/>
        <v>-5.045848210961449E-2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18953597</v>
      </c>
      <c r="D133" s="157">
        <v>17688098</v>
      </c>
      <c r="E133" s="157">
        <f t="shared" ref="E133:E167" si="8">D133-C133</f>
        <v>-1265499</v>
      </c>
      <c r="F133" s="161">
        <f t="shared" ref="F133:F167" si="9">IF(C133=0,0,E133/C133)</f>
        <v>-6.6768276227462259E-2</v>
      </c>
    </row>
    <row r="134" spans="1:6" ht="15" customHeight="1" x14ac:dyDescent="0.2">
      <c r="A134" s="147">
        <v>2</v>
      </c>
      <c r="B134" s="169" t="s">
        <v>261</v>
      </c>
      <c r="C134" s="157">
        <v>1685313</v>
      </c>
      <c r="D134" s="157">
        <v>1713990</v>
      </c>
      <c r="E134" s="157">
        <f t="shared" si="8"/>
        <v>28677</v>
      </c>
      <c r="F134" s="161">
        <f t="shared" si="9"/>
        <v>1.7015830293838591E-2</v>
      </c>
    </row>
    <row r="135" spans="1:6" ht="15" customHeight="1" x14ac:dyDescent="0.2">
      <c r="A135" s="147">
        <v>3</v>
      </c>
      <c r="B135" s="169" t="s">
        <v>262</v>
      </c>
      <c r="C135" s="157">
        <v>860718</v>
      </c>
      <c r="D135" s="157">
        <v>947288</v>
      </c>
      <c r="E135" s="157">
        <f t="shared" si="8"/>
        <v>86570</v>
      </c>
      <c r="F135" s="161">
        <f t="shared" si="9"/>
        <v>0.10057881907895501</v>
      </c>
    </row>
    <row r="136" spans="1:6" ht="15" customHeight="1" x14ac:dyDescent="0.2">
      <c r="A136" s="147">
        <v>4</v>
      </c>
      <c r="B136" s="169" t="s">
        <v>263</v>
      </c>
      <c r="C136" s="157">
        <v>4016640</v>
      </c>
      <c r="D136" s="157">
        <v>4079557</v>
      </c>
      <c r="E136" s="157">
        <f t="shared" si="8"/>
        <v>62917</v>
      </c>
      <c r="F136" s="161">
        <f t="shared" si="9"/>
        <v>1.5664087396430847E-2</v>
      </c>
    </row>
    <row r="137" spans="1:6" ht="15" customHeight="1" x14ac:dyDescent="0.2">
      <c r="A137" s="147">
        <v>5</v>
      </c>
      <c r="B137" s="169" t="s">
        <v>264</v>
      </c>
      <c r="C137" s="157">
        <v>9059934</v>
      </c>
      <c r="D137" s="157">
        <v>9164789</v>
      </c>
      <c r="E137" s="157">
        <f t="shared" si="8"/>
        <v>104855</v>
      </c>
      <c r="F137" s="161">
        <f t="shared" si="9"/>
        <v>1.1573483868646284E-2</v>
      </c>
    </row>
    <row r="138" spans="1:6" ht="15" customHeight="1" x14ac:dyDescent="0.2">
      <c r="A138" s="147">
        <v>6</v>
      </c>
      <c r="B138" s="169" t="s">
        <v>265</v>
      </c>
      <c r="C138" s="157">
        <v>1313613</v>
      </c>
      <c r="D138" s="157">
        <v>1240983</v>
      </c>
      <c r="E138" s="157">
        <f t="shared" si="8"/>
        <v>-72630</v>
      </c>
      <c r="F138" s="161">
        <f t="shared" si="9"/>
        <v>-5.5290256719444771E-2</v>
      </c>
    </row>
    <row r="139" spans="1:6" ht="15" customHeight="1" x14ac:dyDescent="0.2">
      <c r="A139" s="147">
        <v>7</v>
      </c>
      <c r="B139" s="169" t="s">
        <v>266</v>
      </c>
      <c r="C139" s="157">
        <v>2538157</v>
      </c>
      <c r="D139" s="157">
        <v>3163661</v>
      </c>
      <c r="E139" s="157">
        <f t="shared" si="8"/>
        <v>625504</v>
      </c>
      <c r="F139" s="161">
        <f t="shared" si="9"/>
        <v>0.24644023202662405</v>
      </c>
    </row>
    <row r="140" spans="1:6" ht="15" customHeight="1" x14ac:dyDescent="0.2">
      <c r="A140" s="147">
        <v>8</v>
      </c>
      <c r="B140" s="169" t="s">
        <v>267</v>
      </c>
      <c r="C140" s="157">
        <v>1060682</v>
      </c>
      <c r="D140" s="157">
        <v>846652</v>
      </c>
      <c r="E140" s="157">
        <f t="shared" si="8"/>
        <v>-214030</v>
      </c>
      <c r="F140" s="161">
        <f t="shared" si="9"/>
        <v>-0.20178526646063571</v>
      </c>
    </row>
    <row r="141" spans="1:6" ht="15" customHeight="1" x14ac:dyDescent="0.2">
      <c r="A141" s="147">
        <v>9</v>
      </c>
      <c r="B141" s="169" t="s">
        <v>268</v>
      </c>
      <c r="C141" s="157">
        <v>2787530</v>
      </c>
      <c r="D141" s="157">
        <v>2459872</v>
      </c>
      <c r="E141" s="157">
        <f t="shared" si="8"/>
        <v>-327658</v>
      </c>
      <c r="F141" s="161">
        <f t="shared" si="9"/>
        <v>-0.11754420580226939</v>
      </c>
    </row>
    <row r="142" spans="1:6" ht="15" customHeight="1" x14ac:dyDescent="0.2">
      <c r="A142" s="147">
        <v>10</v>
      </c>
      <c r="B142" s="169" t="s">
        <v>269</v>
      </c>
      <c r="C142" s="157">
        <v>13109121</v>
      </c>
      <c r="D142" s="157">
        <v>12687056</v>
      </c>
      <c r="E142" s="157">
        <f t="shared" si="8"/>
        <v>-422065</v>
      </c>
      <c r="F142" s="161">
        <f t="shared" si="9"/>
        <v>-3.2196285319206375E-2</v>
      </c>
    </row>
    <row r="143" spans="1:6" ht="15" customHeight="1" x14ac:dyDescent="0.2">
      <c r="A143" s="147">
        <v>11</v>
      </c>
      <c r="B143" s="169" t="s">
        <v>270</v>
      </c>
      <c r="C143" s="157">
        <v>1864436</v>
      </c>
      <c r="D143" s="157">
        <v>1924033</v>
      </c>
      <c r="E143" s="157">
        <f t="shared" si="8"/>
        <v>59597</v>
      </c>
      <c r="F143" s="161">
        <f t="shared" si="9"/>
        <v>3.1965162655087115E-2</v>
      </c>
    </row>
    <row r="144" spans="1:6" ht="15" customHeight="1" x14ac:dyDescent="0.2">
      <c r="A144" s="147">
        <v>12</v>
      </c>
      <c r="B144" s="169" t="s">
        <v>271</v>
      </c>
      <c r="C144" s="157">
        <v>2093624</v>
      </c>
      <c r="D144" s="157">
        <v>2040079</v>
      </c>
      <c r="E144" s="157">
        <f t="shared" si="8"/>
        <v>-53545</v>
      </c>
      <c r="F144" s="161">
        <f t="shared" si="9"/>
        <v>-2.5575270440155444E-2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1699212</v>
      </c>
      <c r="D146" s="157">
        <v>1775099</v>
      </c>
      <c r="E146" s="157">
        <f t="shared" si="8"/>
        <v>75887</v>
      </c>
      <c r="F146" s="161">
        <f t="shared" si="9"/>
        <v>4.466011304063295E-2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2669020</v>
      </c>
      <c r="D150" s="157">
        <v>2722876</v>
      </c>
      <c r="E150" s="157">
        <f t="shared" si="8"/>
        <v>53856</v>
      </c>
      <c r="F150" s="161">
        <f t="shared" si="9"/>
        <v>2.0178192744902623E-2</v>
      </c>
    </row>
    <row r="151" spans="1:6" ht="15" customHeight="1" x14ac:dyDescent="0.2">
      <c r="A151" s="147">
        <v>19</v>
      </c>
      <c r="B151" s="169" t="s">
        <v>278</v>
      </c>
      <c r="C151" s="157">
        <v>274204</v>
      </c>
      <c r="D151" s="157">
        <v>314885</v>
      </c>
      <c r="E151" s="157">
        <f t="shared" si="8"/>
        <v>40681</v>
      </c>
      <c r="F151" s="161">
        <f t="shared" si="9"/>
        <v>0.14836034485273739</v>
      </c>
    </row>
    <row r="152" spans="1:6" ht="15" customHeight="1" x14ac:dyDescent="0.2">
      <c r="A152" s="147">
        <v>20</v>
      </c>
      <c r="B152" s="169" t="s">
        <v>279</v>
      </c>
      <c r="C152" s="157">
        <v>382425</v>
      </c>
      <c r="D152" s="157">
        <v>121712</v>
      </c>
      <c r="E152" s="157">
        <f t="shared" si="8"/>
        <v>-260713</v>
      </c>
      <c r="F152" s="161">
        <f t="shared" si="9"/>
        <v>-0.68173628816107734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4112153</v>
      </c>
      <c r="D154" s="157">
        <v>4117237</v>
      </c>
      <c r="E154" s="157">
        <f t="shared" si="8"/>
        <v>5084</v>
      </c>
      <c r="F154" s="161">
        <f t="shared" si="9"/>
        <v>1.2363353211808997E-3</v>
      </c>
    </row>
    <row r="155" spans="1:6" ht="15" customHeight="1" x14ac:dyDescent="0.2">
      <c r="A155" s="147">
        <v>23</v>
      </c>
      <c r="B155" s="169" t="s">
        <v>282</v>
      </c>
      <c r="C155" s="157">
        <v>2667592</v>
      </c>
      <c r="D155" s="157">
        <v>2673184</v>
      </c>
      <c r="E155" s="157">
        <f t="shared" si="8"/>
        <v>5592</v>
      </c>
      <c r="F155" s="161">
        <f t="shared" si="9"/>
        <v>2.0962725934100868E-3</v>
      </c>
    </row>
    <row r="156" spans="1:6" ht="15" customHeight="1" x14ac:dyDescent="0.2">
      <c r="A156" s="147">
        <v>24</v>
      </c>
      <c r="B156" s="169" t="s">
        <v>283</v>
      </c>
      <c r="C156" s="157">
        <v>19793397</v>
      </c>
      <c r="D156" s="157">
        <v>20636520</v>
      </c>
      <c r="E156" s="157">
        <f t="shared" si="8"/>
        <v>843123</v>
      </c>
      <c r="F156" s="161">
        <f t="shared" si="9"/>
        <v>4.2596174875894219E-2</v>
      </c>
    </row>
    <row r="157" spans="1:6" ht="15" customHeight="1" x14ac:dyDescent="0.2">
      <c r="A157" s="147">
        <v>25</v>
      </c>
      <c r="B157" s="169" t="s">
        <v>284</v>
      </c>
      <c r="C157" s="157">
        <v>767597</v>
      </c>
      <c r="D157" s="157">
        <v>4813790</v>
      </c>
      <c r="E157" s="157">
        <f t="shared" si="8"/>
        <v>4046193</v>
      </c>
      <c r="F157" s="161">
        <f t="shared" si="9"/>
        <v>5.271246500442289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3328651</v>
      </c>
      <c r="D160" s="157">
        <v>3282425</v>
      </c>
      <c r="E160" s="157">
        <f t="shared" si="8"/>
        <v>-46226</v>
      </c>
      <c r="F160" s="161">
        <f t="shared" si="9"/>
        <v>-1.3887307500846439E-2</v>
      </c>
    </row>
    <row r="161" spans="1:6" ht="15" customHeight="1" x14ac:dyDescent="0.2">
      <c r="A161" s="147">
        <v>29</v>
      </c>
      <c r="B161" s="169" t="s">
        <v>288</v>
      </c>
      <c r="C161" s="157">
        <v>343032</v>
      </c>
      <c r="D161" s="157">
        <v>365196</v>
      </c>
      <c r="E161" s="157">
        <f t="shared" si="8"/>
        <v>22164</v>
      </c>
      <c r="F161" s="161">
        <f t="shared" si="9"/>
        <v>6.4612047855593643E-2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4865508</v>
      </c>
      <c r="D163" s="157">
        <v>5435574</v>
      </c>
      <c r="E163" s="157">
        <f t="shared" si="8"/>
        <v>570066</v>
      </c>
      <c r="F163" s="161">
        <f t="shared" si="9"/>
        <v>0.11716474415415615</v>
      </c>
    </row>
    <row r="164" spans="1:6" ht="15" customHeight="1" x14ac:dyDescent="0.2">
      <c r="A164" s="147">
        <v>32</v>
      </c>
      <c r="B164" s="169" t="s">
        <v>291</v>
      </c>
      <c r="C164" s="157">
        <v>3667207</v>
      </c>
      <c r="D164" s="157">
        <v>3808862</v>
      </c>
      <c r="E164" s="157">
        <f t="shared" si="8"/>
        <v>141655</v>
      </c>
      <c r="F164" s="161">
        <f t="shared" si="9"/>
        <v>3.8627489530860953E-2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2258588</v>
      </c>
      <c r="D166" s="157">
        <v>1861527</v>
      </c>
      <c r="E166" s="157">
        <f t="shared" si="8"/>
        <v>-397061</v>
      </c>
      <c r="F166" s="161">
        <f t="shared" si="9"/>
        <v>-0.17580054441093285</v>
      </c>
    </row>
    <row r="167" spans="1:6" ht="15.75" customHeight="1" x14ac:dyDescent="0.25">
      <c r="A167" s="147"/>
      <c r="B167" s="165" t="s">
        <v>294</v>
      </c>
      <c r="C167" s="158">
        <f>SUM(C133:C166)</f>
        <v>106171951</v>
      </c>
      <c r="D167" s="158">
        <f>SUM(D133:D166)</f>
        <v>109884945</v>
      </c>
      <c r="E167" s="158">
        <f t="shared" si="8"/>
        <v>3712994</v>
      </c>
      <c r="F167" s="159">
        <f t="shared" si="9"/>
        <v>3.4971515216857985E-2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18957259</v>
      </c>
      <c r="D170" s="157">
        <v>18048237</v>
      </c>
      <c r="E170" s="157">
        <f t="shared" ref="E170:E183" si="10">D170-C170</f>
        <v>-909022</v>
      </c>
      <c r="F170" s="161">
        <f t="shared" ref="F170:F183" si="11">IF(C170=0,0,E170/C170)</f>
        <v>-4.7951130487798893E-2</v>
      </c>
    </row>
    <row r="171" spans="1:6" ht="15" customHeight="1" x14ac:dyDescent="0.2">
      <c r="A171" s="147">
        <v>2</v>
      </c>
      <c r="B171" s="169" t="s">
        <v>297</v>
      </c>
      <c r="C171" s="157">
        <v>6946682</v>
      </c>
      <c r="D171" s="157">
        <v>7248558</v>
      </c>
      <c r="E171" s="157">
        <f t="shared" si="10"/>
        <v>301876</v>
      </c>
      <c r="F171" s="161">
        <f t="shared" si="11"/>
        <v>4.3456142083371604E-2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2939290</v>
      </c>
      <c r="D173" s="157">
        <v>3647267</v>
      </c>
      <c r="E173" s="157">
        <f t="shared" si="10"/>
        <v>707977</v>
      </c>
      <c r="F173" s="161">
        <f t="shared" si="11"/>
        <v>0.24086667188334598</v>
      </c>
    </row>
    <row r="174" spans="1:6" ht="15" customHeight="1" x14ac:dyDescent="0.2">
      <c r="A174" s="147">
        <v>5</v>
      </c>
      <c r="B174" s="169" t="s">
        <v>300</v>
      </c>
      <c r="C174" s="157">
        <v>253081</v>
      </c>
      <c r="D174" s="157">
        <v>106477</v>
      </c>
      <c r="E174" s="157">
        <f t="shared" si="10"/>
        <v>-146604</v>
      </c>
      <c r="F174" s="161">
        <f t="shared" si="11"/>
        <v>-0.57927699037067182</v>
      </c>
    </row>
    <row r="175" spans="1:6" ht="15" customHeight="1" x14ac:dyDescent="0.2">
      <c r="A175" s="147">
        <v>6</v>
      </c>
      <c r="B175" s="169" t="s">
        <v>301</v>
      </c>
      <c r="C175" s="157">
        <v>2524642</v>
      </c>
      <c r="D175" s="157">
        <v>2445562</v>
      </c>
      <c r="E175" s="157">
        <f t="shared" si="10"/>
        <v>-79080</v>
      </c>
      <c r="F175" s="161">
        <f t="shared" si="11"/>
        <v>-3.132325296022169E-2</v>
      </c>
    </row>
    <row r="176" spans="1:6" ht="15" customHeight="1" x14ac:dyDescent="0.2">
      <c r="A176" s="147">
        <v>7</v>
      </c>
      <c r="B176" s="169" t="s">
        <v>302</v>
      </c>
      <c r="C176" s="157">
        <v>508779</v>
      </c>
      <c r="D176" s="157">
        <v>499576</v>
      </c>
      <c r="E176" s="157">
        <f t="shared" si="10"/>
        <v>-9203</v>
      </c>
      <c r="F176" s="161">
        <f t="shared" si="11"/>
        <v>-1.8088403805974696E-2</v>
      </c>
    </row>
    <row r="177" spans="1:6" ht="15" customHeight="1" x14ac:dyDescent="0.2">
      <c r="A177" s="147">
        <v>8</v>
      </c>
      <c r="B177" s="169" t="s">
        <v>303</v>
      </c>
      <c r="C177" s="157">
        <v>1718461</v>
      </c>
      <c r="D177" s="157">
        <v>1569082</v>
      </c>
      <c r="E177" s="157">
        <f t="shared" si="10"/>
        <v>-149379</v>
      </c>
      <c r="F177" s="161">
        <f t="shared" si="11"/>
        <v>-8.6926034399384094E-2</v>
      </c>
    </row>
    <row r="178" spans="1:6" ht="15" customHeight="1" x14ac:dyDescent="0.2">
      <c r="A178" s="147">
        <v>9</v>
      </c>
      <c r="B178" s="169" t="s">
        <v>304</v>
      </c>
      <c r="C178" s="157">
        <v>1564717</v>
      </c>
      <c r="D178" s="157">
        <v>1465582</v>
      </c>
      <c r="E178" s="157">
        <f t="shared" si="10"/>
        <v>-99135</v>
      </c>
      <c r="F178" s="161">
        <f t="shared" si="11"/>
        <v>-6.3356504722579227E-2</v>
      </c>
    </row>
    <row r="179" spans="1:6" ht="15" customHeight="1" x14ac:dyDescent="0.2">
      <c r="A179" s="147">
        <v>10</v>
      </c>
      <c r="B179" s="169" t="s">
        <v>305</v>
      </c>
      <c r="C179" s="157">
        <v>5235889</v>
      </c>
      <c r="D179" s="157">
        <v>5449213</v>
      </c>
      <c r="E179" s="157">
        <f t="shared" si="10"/>
        <v>213324</v>
      </c>
      <c r="F179" s="161">
        <f t="shared" si="11"/>
        <v>4.0742651343449031E-2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3499755</v>
      </c>
      <c r="D181" s="157">
        <v>3188562</v>
      </c>
      <c r="E181" s="157">
        <f t="shared" si="10"/>
        <v>-311193</v>
      </c>
      <c r="F181" s="161">
        <f t="shared" si="11"/>
        <v>-8.8918510009986407E-2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44148555</v>
      </c>
      <c r="D183" s="158">
        <f>SUM(D170:D182)</f>
        <v>43668116</v>
      </c>
      <c r="E183" s="158">
        <f t="shared" si="10"/>
        <v>-480439</v>
      </c>
      <c r="F183" s="159">
        <f t="shared" si="11"/>
        <v>-1.088232672620882E-2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3133256</v>
      </c>
      <c r="D186" s="157">
        <v>4471760</v>
      </c>
      <c r="E186" s="157">
        <f>D186-C186</f>
        <v>1338504</v>
      </c>
      <c r="F186" s="161">
        <f>IF(C186=0,0,E186/C186)</f>
        <v>0.42719267113826637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355106697</v>
      </c>
      <c r="D188" s="158">
        <f>+D186+D183+D167+D130+D121</f>
        <v>366685881</v>
      </c>
      <c r="E188" s="158">
        <f>D188-C188</f>
        <v>11579184</v>
      </c>
      <c r="F188" s="159">
        <f>IF(C188=0,0,E188/C188)</f>
        <v>3.2607619337576166E-2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FILING&amp;RTHE HOSPITAL OF CENTRAL CONNECTICUT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G30" sqref="G30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361711967</v>
      </c>
      <c r="D11" s="183">
        <v>339151859</v>
      </c>
      <c r="E11" s="76">
        <v>358393744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12375913</v>
      </c>
      <c r="D12" s="185">
        <v>12911046</v>
      </c>
      <c r="E12" s="185">
        <v>14572639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374087880</v>
      </c>
      <c r="D13" s="76">
        <f>+D11+D12</f>
        <v>352062905</v>
      </c>
      <c r="E13" s="76">
        <f>+E11+E12</f>
        <v>372966383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359304084</v>
      </c>
      <c r="D14" s="185">
        <v>355106697</v>
      </c>
      <c r="E14" s="185">
        <v>366685881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14783796</v>
      </c>
      <c r="D15" s="76">
        <f>+D13-D14</f>
        <v>-3043792</v>
      </c>
      <c r="E15" s="76">
        <f>+E13-E14</f>
        <v>6280502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9562104</v>
      </c>
      <c r="D16" s="185">
        <v>-1142822</v>
      </c>
      <c r="E16" s="185">
        <v>13509915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24345900</v>
      </c>
      <c r="D17" s="76">
        <f>D15+D16</f>
        <v>-4186614</v>
      </c>
      <c r="E17" s="76">
        <f>E15+E16</f>
        <v>19790417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3.8534593031548256E-2</v>
      </c>
      <c r="D20" s="189">
        <f>IF(+D27=0,0,+D24/+D27)</f>
        <v>-8.6737469510971242E-3</v>
      </c>
      <c r="E20" s="189">
        <f>IF(+E27=0,0,+E24/+E27)</f>
        <v>1.6250678327497332E-2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2.4924030754032302E-2</v>
      </c>
      <c r="D21" s="189">
        <f>IF(D27=0,0,+D26/D27)</f>
        <v>-3.2566446189971976E-3</v>
      </c>
      <c r="E21" s="189">
        <f>IF(E27=0,0,+E26/E27)</f>
        <v>3.4956645646610905E-2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6.3458623785580551E-2</v>
      </c>
      <c r="D22" s="189">
        <f>IF(D27=0,0,+D28/D27)</f>
        <v>-1.1930391570094323E-2</v>
      </c>
      <c r="E22" s="189">
        <f>IF(E27=0,0,+E28/E27)</f>
        <v>5.1207323974108238E-2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14783796</v>
      </c>
      <c r="D24" s="76">
        <f>+D15</f>
        <v>-3043792</v>
      </c>
      <c r="E24" s="76">
        <f>+E15</f>
        <v>6280502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374087880</v>
      </c>
      <c r="D25" s="76">
        <f>+D13</f>
        <v>352062905</v>
      </c>
      <c r="E25" s="76">
        <f>+E13</f>
        <v>372966383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9562104</v>
      </c>
      <c r="D26" s="76">
        <f>+D16</f>
        <v>-1142822</v>
      </c>
      <c r="E26" s="76">
        <f>+E16</f>
        <v>13509915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383649984</v>
      </c>
      <c r="D27" s="76">
        <f>+D25+D26</f>
        <v>350920083</v>
      </c>
      <c r="E27" s="76">
        <f>+E25+E26</f>
        <v>386476298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24345900</v>
      </c>
      <c r="D28" s="76">
        <f>+D17</f>
        <v>-4186614</v>
      </c>
      <c r="E28" s="76">
        <f>+E17</f>
        <v>19790417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178222407</v>
      </c>
      <c r="D31" s="76">
        <v>185794465</v>
      </c>
      <c r="E31" s="76">
        <v>159112883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228115282</v>
      </c>
      <c r="D32" s="76">
        <v>231308161</v>
      </c>
      <c r="E32" s="76">
        <v>208568282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-13596281</v>
      </c>
      <c r="D33" s="76">
        <f>+D32-C32</f>
        <v>3192879</v>
      </c>
      <c r="E33" s="76">
        <f>+E32-D32</f>
        <v>-22739879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0.94369999999999998</v>
      </c>
      <c r="D34" s="193">
        <f>IF(C32=0,0,+D33/C32)</f>
        <v>1.3996778172888916E-2</v>
      </c>
      <c r="E34" s="193">
        <f>IF(D32=0,0,+E33/D32)</f>
        <v>-9.8309886264670104E-2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0.40965101230461021</v>
      </c>
      <c r="D38" s="195">
        <f>IF((D40+D41)=0,0,+D39/(D40+D41))</f>
        <v>0.41094989305262558</v>
      </c>
      <c r="E38" s="195">
        <f>IF((E40+E41)=0,0,+E39/(E40+E41))</f>
        <v>0.40576588344207387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359304084</v>
      </c>
      <c r="D39" s="76">
        <v>355106697</v>
      </c>
      <c r="E39" s="196">
        <v>366685881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854431479</v>
      </c>
      <c r="D40" s="76">
        <v>852445538</v>
      </c>
      <c r="E40" s="196">
        <v>892239602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22666522</v>
      </c>
      <c r="D41" s="76">
        <v>11666372</v>
      </c>
      <c r="E41" s="196">
        <v>11448697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1.501160289521152</v>
      </c>
      <c r="D43" s="197">
        <f>IF(D38=0,0,IF((D46-D47)=0,0,((+D44-D45)/(D46-D47)/D38)))</f>
        <v>1.5596450950212151</v>
      </c>
      <c r="E43" s="197">
        <f>IF(E38=0,0,IF((E46-E47)=0,0,((+E44-E45)/(E46-E47)/E38)))</f>
        <v>1.6430795988275368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154898850</v>
      </c>
      <c r="D44" s="76">
        <v>155459235</v>
      </c>
      <c r="E44" s="196">
        <v>169974693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670153</v>
      </c>
      <c r="D45" s="76">
        <v>1607728</v>
      </c>
      <c r="E45" s="196">
        <v>645586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267608153</v>
      </c>
      <c r="D46" s="76">
        <v>252612782</v>
      </c>
      <c r="E46" s="196">
        <v>268506831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16810141</v>
      </c>
      <c r="D47" s="76">
        <v>12570858</v>
      </c>
      <c r="E47" s="76">
        <v>14528020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0.87769839534592131</v>
      </c>
      <c r="D49" s="198">
        <f>IF(D38=0,0,IF(D51=0,0,(D50/D51)/D38))</f>
        <v>0.81400158783348464</v>
      </c>
      <c r="E49" s="198">
        <f>IF(E38=0,0,IF(E51=0,0,(E50/E51)/E38))</f>
        <v>0.84666770483443587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135788572</v>
      </c>
      <c r="D50" s="199">
        <v>128112537</v>
      </c>
      <c r="E50" s="199">
        <v>136642592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377662518</v>
      </c>
      <c r="D51" s="199">
        <v>382981246</v>
      </c>
      <c r="E51" s="199">
        <v>397738442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0.73559500778812437</v>
      </c>
      <c r="D53" s="198">
        <f>IF(D38=0,0,IF(D55=0,0,(D54/D55)/D38))</f>
        <v>0.67503139408373725</v>
      </c>
      <c r="E53" s="198">
        <f>IF(E38=0,0,IF(E55=0,0,(E54/E55)/E38))</f>
        <v>0.63027824870471438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62741144</v>
      </c>
      <c r="D54" s="199">
        <v>59870286</v>
      </c>
      <c r="E54" s="199">
        <v>57416519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208209062</v>
      </c>
      <c r="D55" s="199">
        <v>215823380</v>
      </c>
      <c r="E55" s="199">
        <v>224506547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9305275.1798287965</v>
      </c>
      <c r="D57" s="88">
        <f>+D60*D38</f>
        <v>6081535.2779650027</v>
      </c>
      <c r="E57" s="88">
        <f>+E60*E38</f>
        <v>7049564.2433655513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17256889</v>
      </c>
      <c r="D58" s="199">
        <v>9706868</v>
      </c>
      <c r="E58" s="199">
        <v>10644417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5458239</v>
      </c>
      <c r="D59" s="199">
        <v>5091859</v>
      </c>
      <c r="E59" s="199">
        <v>6729060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22715128</v>
      </c>
      <c r="D60" s="76">
        <v>14798727</v>
      </c>
      <c r="E60" s="201">
        <v>17373477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2.5898050131344448E-2</v>
      </c>
      <c r="D62" s="202">
        <f>IF(D63=0,0,+D57/D63)</f>
        <v>1.7125938004951234E-2</v>
      </c>
      <c r="E62" s="202">
        <f>IF(E63=0,0,+E57/E63)</f>
        <v>1.922507685362871E-2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359304084</v>
      </c>
      <c r="D63" s="199">
        <v>355106697</v>
      </c>
      <c r="E63" s="199">
        <v>366685881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2.2767905874472731</v>
      </c>
      <c r="D67" s="203">
        <f>IF(D69=0,0,D68/D69)</f>
        <v>1.7684803041962496</v>
      </c>
      <c r="E67" s="203">
        <f>IF(E69=0,0,E68/E69)</f>
        <v>2.3128642030079303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122041968</v>
      </c>
      <c r="D68" s="204">
        <v>76149073</v>
      </c>
      <c r="E68" s="204">
        <v>84216504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53602632</v>
      </c>
      <c r="D69" s="204">
        <v>43059045</v>
      </c>
      <c r="E69" s="204">
        <v>36412213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53.983193966153543</v>
      </c>
      <c r="D71" s="203">
        <f>IF((D77/365)=0,0,+D74/(D77/365))</f>
        <v>13.702322529506258</v>
      </c>
      <c r="E71" s="203">
        <f>IF((E77/365)=0,0,+E74/(E77/365))</f>
        <v>21.286316790426756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50445261</v>
      </c>
      <c r="D72" s="183">
        <v>12599086</v>
      </c>
      <c r="E72" s="183">
        <v>20213019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50445261</v>
      </c>
      <c r="D74" s="204">
        <f>+D72+D73</f>
        <v>12599086</v>
      </c>
      <c r="E74" s="204">
        <f>+E72+E73</f>
        <v>20213019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359304084</v>
      </c>
      <c r="D75" s="204">
        <f>+D14</f>
        <v>355106697</v>
      </c>
      <c r="E75" s="204">
        <f>+E14</f>
        <v>366685881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18225335</v>
      </c>
      <c r="D76" s="204">
        <v>19494513</v>
      </c>
      <c r="E76" s="204">
        <v>20089896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341078749</v>
      </c>
      <c r="D77" s="204">
        <f>+D75-D76</f>
        <v>335612184</v>
      </c>
      <c r="E77" s="204">
        <f>+E75-E76</f>
        <v>346595985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21.292734544776618</v>
      </c>
      <c r="D79" s="203">
        <f>IF((D84/365)=0,0,+D83/(D84/365))</f>
        <v>32.956800997514215</v>
      </c>
      <c r="E79" s="203">
        <f>IF((E84/365)=0,0,+E83/(E84/365))</f>
        <v>39.909427967023888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40490596</v>
      </c>
      <c r="D80" s="212">
        <v>41580130</v>
      </c>
      <c r="E80" s="212">
        <v>43814445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19389673</v>
      </c>
      <c r="D82" s="212">
        <v>10957225</v>
      </c>
      <c r="E82" s="212">
        <v>4627351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21100923</v>
      </c>
      <c r="D83" s="212">
        <f>+D80+D81-D82</f>
        <v>30622905</v>
      </c>
      <c r="E83" s="212">
        <f>+E80+E81-E82</f>
        <v>39187094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361711967</v>
      </c>
      <c r="D84" s="204">
        <f>+D11</f>
        <v>339151859</v>
      </c>
      <c r="E84" s="204">
        <f>+E11</f>
        <v>358393744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57.362004338769282</v>
      </c>
      <c r="D86" s="203">
        <f>IF((D90/365)=0,0,+D87/(D90/365))</f>
        <v>46.829501949786184</v>
      </c>
      <c r="E86" s="203">
        <f>IF((E90/365)=0,0,+E87/(E90/365))</f>
        <v>38.345677157800885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53602632</v>
      </c>
      <c r="D87" s="76">
        <f>+D69</f>
        <v>43059045</v>
      </c>
      <c r="E87" s="76">
        <f>+E69</f>
        <v>36412213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359304084</v>
      </c>
      <c r="D88" s="76">
        <f t="shared" si="0"/>
        <v>355106697</v>
      </c>
      <c r="E88" s="76">
        <f t="shared" si="0"/>
        <v>366685881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18225335</v>
      </c>
      <c r="D89" s="201">
        <f t="shared" si="0"/>
        <v>19494513</v>
      </c>
      <c r="E89" s="201">
        <f t="shared" si="0"/>
        <v>20089896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341078749</v>
      </c>
      <c r="D90" s="76">
        <f>+D88-D89</f>
        <v>335612184</v>
      </c>
      <c r="E90" s="76">
        <f>+E88-E89</f>
        <v>346595985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45.508775400337527</v>
      </c>
      <c r="D94" s="214">
        <f>IF(D96=0,0,(D95/D96)*100)</f>
        <v>48.271612824420565</v>
      </c>
      <c r="E94" s="214">
        <f>IF(E96=0,0,(E95/E96)*100)</f>
        <v>42.136187299374178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228115282</v>
      </c>
      <c r="D95" s="76">
        <f>+D32</f>
        <v>231308161</v>
      </c>
      <c r="E95" s="76">
        <f>+E32</f>
        <v>208568282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501255593</v>
      </c>
      <c r="D96" s="76">
        <v>479180511</v>
      </c>
      <c r="E96" s="76">
        <v>494986128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79.264145828391491</v>
      </c>
      <c r="D98" s="214">
        <f>IF(D104=0,0,(D101/D104)*100)</f>
        <v>14.498924682827063</v>
      </c>
      <c r="E98" s="214">
        <f>IF(E104=0,0,(E101/E104)*100)</f>
        <v>40.544721376431653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24345900</v>
      </c>
      <c r="D99" s="76">
        <f>+D28</f>
        <v>-4186614</v>
      </c>
      <c r="E99" s="76">
        <f>+E28</f>
        <v>19790417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18225335</v>
      </c>
      <c r="D100" s="201">
        <f>+D76</f>
        <v>19494513</v>
      </c>
      <c r="E100" s="201">
        <f>+E76</f>
        <v>20089896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42571235</v>
      </c>
      <c r="D101" s="76">
        <f>+D99+D100</f>
        <v>15307899</v>
      </c>
      <c r="E101" s="76">
        <f>+E99+E100</f>
        <v>39880313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53602632</v>
      </c>
      <c r="D102" s="204">
        <f>+D69</f>
        <v>43059045</v>
      </c>
      <c r="E102" s="204">
        <f>+E69</f>
        <v>36412213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105428</v>
      </c>
      <c r="D103" s="216">
        <v>62520502</v>
      </c>
      <c r="E103" s="216">
        <v>61949082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53708060</v>
      </c>
      <c r="D104" s="204">
        <f>+D102+D103</f>
        <v>105579547</v>
      </c>
      <c r="E104" s="204">
        <f>+E102+E103</f>
        <v>98361295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4.6195632289462246E-2</v>
      </c>
      <c r="D106" s="214">
        <f>IF(D109=0,0,(D107/D109)*100)</f>
        <v>21.277877168845162</v>
      </c>
      <c r="E106" s="214">
        <f>IF(E109=0,0,(E107/E109)*100)</f>
        <v>22.900223883595139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105428</v>
      </c>
      <c r="D107" s="204">
        <f>+D103</f>
        <v>62520502</v>
      </c>
      <c r="E107" s="204">
        <f>+E103</f>
        <v>61949082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228115282</v>
      </c>
      <c r="D108" s="204">
        <f>+D32</f>
        <v>231308161</v>
      </c>
      <c r="E108" s="204">
        <f>+E32</f>
        <v>208568282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228220710</v>
      </c>
      <c r="D109" s="204">
        <f>+D107+D108</f>
        <v>293828663</v>
      </c>
      <c r="E109" s="204">
        <f>+E107+E108</f>
        <v>270517364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11.738522971136044</v>
      </c>
      <c r="D111" s="214">
        <f>IF((+D113+D115)=0,0,((+D112+D113+D114)/(+D113+D115)))</f>
        <v>6.1018158988489315</v>
      </c>
      <c r="E111" s="214">
        <f>IF((+E113+E115)=0,0,((+E112+E113+E114)/(+E113+E115)))</f>
        <v>11.850318878429492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24345900</v>
      </c>
      <c r="D112" s="76">
        <f>+D17</f>
        <v>-4186614</v>
      </c>
      <c r="E112" s="76">
        <f>+E17</f>
        <v>19790417</v>
      </c>
    </row>
    <row r="113" spans="1:8" ht="24" customHeight="1" x14ac:dyDescent="0.2">
      <c r="A113" s="85">
        <v>17</v>
      </c>
      <c r="B113" s="75" t="s">
        <v>88</v>
      </c>
      <c r="C113" s="218">
        <v>1418199</v>
      </c>
      <c r="D113" s="76">
        <v>1836605</v>
      </c>
      <c r="E113" s="76">
        <v>3135278</v>
      </c>
    </row>
    <row r="114" spans="1:8" ht="24" customHeight="1" x14ac:dyDescent="0.2">
      <c r="A114" s="85">
        <v>18</v>
      </c>
      <c r="B114" s="75" t="s">
        <v>374</v>
      </c>
      <c r="C114" s="218">
        <v>18225335</v>
      </c>
      <c r="D114" s="76">
        <v>19494513</v>
      </c>
      <c r="E114" s="76">
        <v>20089896</v>
      </c>
    </row>
    <row r="115" spans="1:8" ht="24" customHeight="1" x14ac:dyDescent="0.2">
      <c r="A115" s="85">
        <v>19</v>
      </c>
      <c r="B115" s="75" t="s">
        <v>104</v>
      </c>
      <c r="C115" s="218">
        <v>2329243</v>
      </c>
      <c r="D115" s="76">
        <v>973133</v>
      </c>
      <c r="E115" s="76">
        <v>494632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13.609695404775824</v>
      </c>
      <c r="D119" s="214">
        <f>IF(+D121=0,0,(+D120)/(+D121))</f>
        <v>13.65339262386293</v>
      </c>
      <c r="E119" s="214">
        <f>IF(+E121=0,0,(+E120)/(+E121))</f>
        <v>14.167685736153139</v>
      </c>
    </row>
    <row r="120" spans="1:8" ht="24" customHeight="1" x14ac:dyDescent="0.2">
      <c r="A120" s="85">
        <v>21</v>
      </c>
      <c r="B120" s="75" t="s">
        <v>378</v>
      </c>
      <c r="C120" s="218">
        <v>248041258</v>
      </c>
      <c r="D120" s="218">
        <v>266166240</v>
      </c>
      <c r="E120" s="218">
        <v>284627333</v>
      </c>
    </row>
    <row r="121" spans="1:8" ht="24" customHeight="1" x14ac:dyDescent="0.2">
      <c r="A121" s="85">
        <v>22</v>
      </c>
      <c r="B121" s="75" t="s">
        <v>374</v>
      </c>
      <c r="C121" s="218">
        <v>18225335</v>
      </c>
      <c r="D121" s="218">
        <v>19494513</v>
      </c>
      <c r="E121" s="218">
        <v>20089896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69265</v>
      </c>
      <c r="D124" s="218">
        <v>69007</v>
      </c>
      <c r="E124" s="218">
        <v>65105</v>
      </c>
    </row>
    <row r="125" spans="1:8" ht="24" customHeight="1" x14ac:dyDescent="0.2">
      <c r="A125" s="85">
        <v>2</v>
      </c>
      <c r="B125" s="75" t="s">
        <v>381</v>
      </c>
      <c r="C125" s="218">
        <v>15640</v>
      </c>
      <c r="D125" s="218">
        <v>15230</v>
      </c>
      <c r="E125" s="218">
        <v>13940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4.4287084398976981</v>
      </c>
      <c r="D126" s="219">
        <f>IF(D125=0,0,D124/D125)</f>
        <v>4.5309914642153641</v>
      </c>
      <c r="E126" s="219">
        <f>IF(E125=0,0,E124/E125)</f>
        <v>4.670373027259684</v>
      </c>
    </row>
    <row r="127" spans="1:8" ht="24" customHeight="1" x14ac:dyDescent="0.2">
      <c r="A127" s="85">
        <v>4</v>
      </c>
      <c r="B127" s="75" t="s">
        <v>383</v>
      </c>
      <c r="C127" s="218">
        <v>305</v>
      </c>
      <c r="D127" s="218">
        <v>302</v>
      </c>
      <c r="E127" s="218">
        <v>282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344</v>
      </c>
      <c r="E128" s="218">
        <v>298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319</v>
      </c>
      <c r="D129" s="218">
        <v>446</v>
      </c>
      <c r="E129" s="218">
        <v>446</v>
      </c>
    </row>
    <row r="130" spans="1:7" ht="24" customHeight="1" x14ac:dyDescent="0.2">
      <c r="A130" s="85">
        <v>7</v>
      </c>
      <c r="B130" s="75" t="s">
        <v>386</v>
      </c>
      <c r="C130" s="193">
        <v>0.62209999999999999</v>
      </c>
      <c r="D130" s="193">
        <v>0.626</v>
      </c>
      <c r="E130" s="193">
        <v>0.63249999999999995</v>
      </c>
    </row>
    <row r="131" spans="1:7" ht="24" customHeight="1" x14ac:dyDescent="0.2">
      <c r="A131" s="85">
        <v>8</v>
      </c>
      <c r="B131" s="75" t="s">
        <v>387</v>
      </c>
      <c r="C131" s="193">
        <v>0.5948</v>
      </c>
      <c r="D131" s="193">
        <v>0.54949999999999999</v>
      </c>
      <c r="E131" s="193">
        <v>0.59850000000000003</v>
      </c>
    </row>
    <row r="132" spans="1:7" ht="24" customHeight="1" x14ac:dyDescent="0.2">
      <c r="A132" s="85">
        <v>9</v>
      </c>
      <c r="B132" s="75" t="s">
        <v>388</v>
      </c>
      <c r="C132" s="219">
        <v>2001.7</v>
      </c>
      <c r="D132" s="219">
        <v>1838.3</v>
      </c>
      <c r="E132" s="219">
        <v>1739.4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0.29352618456137197</v>
      </c>
      <c r="D135" s="227">
        <f>IF(D149=0,0,D143/D149)</f>
        <v>0.28159209392213397</v>
      </c>
      <c r="E135" s="227">
        <f>IF(E149=0,0,E143/E149)</f>
        <v>0.28465314746251308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0.44200445241320513</v>
      </c>
      <c r="D136" s="227">
        <f>IF(D149=0,0,D144/D149)</f>
        <v>0.44927356520458439</v>
      </c>
      <c r="E136" s="227">
        <f>IF(E149=0,0,E144/E149)</f>
        <v>0.44577537368712311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0.24368140350315909</v>
      </c>
      <c r="D137" s="227">
        <f>IF(D149=0,0,D145/D149)</f>
        <v>0.2531814296387343</v>
      </c>
      <c r="E137" s="227">
        <f>IF(E149=0,0,E145/E149)</f>
        <v>0.25162136549056696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1.9674065636806903E-2</v>
      </c>
      <c r="D139" s="227">
        <f>IF(D149=0,0,D147/D149)</f>
        <v>1.474681658782992E-2</v>
      </c>
      <c r="E139" s="227">
        <f>IF(E149=0,0,E147/E149)</f>
        <v>1.6282644221837624E-2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1.113893885456905E-3</v>
      </c>
      <c r="D140" s="227">
        <f>IF(D149=0,0,D148/D149)</f>
        <v>1.2060946467174775E-3</v>
      </c>
      <c r="E140" s="227">
        <f>IF(E149=0,0,E148/E149)</f>
        <v>1.6674691379592003E-3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250798012</v>
      </c>
      <c r="D143" s="229">
        <f>+D46-D147</f>
        <v>240041924</v>
      </c>
      <c r="E143" s="229">
        <f>+E46-E147</f>
        <v>253978811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377662518</v>
      </c>
      <c r="D144" s="229">
        <f>+D51</f>
        <v>382981246</v>
      </c>
      <c r="E144" s="229">
        <f>+E51</f>
        <v>397738442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208209062</v>
      </c>
      <c r="D145" s="229">
        <f>+D55</f>
        <v>215823380</v>
      </c>
      <c r="E145" s="229">
        <f>+E55</f>
        <v>224506547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16810141</v>
      </c>
      <c r="D147" s="229">
        <f>+D47</f>
        <v>12570858</v>
      </c>
      <c r="E147" s="229">
        <f>+E47</f>
        <v>14528020</v>
      </c>
    </row>
    <row r="148" spans="1:7" ht="20.100000000000001" customHeight="1" x14ac:dyDescent="0.2">
      <c r="A148" s="226">
        <v>13</v>
      </c>
      <c r="B148" s="224" t="s">
        <v>402</v>
      </c>
      <c r="C148" s="230">
        <v>951746</v>
      </c>
      <c r="D148" s="229">
        <v>1028130</v>
      </c>
      <c r="E148" s="229">
        <v>1487782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854431479</v>
      </c>
      <c r="D149" s="229">
        <f>SUM(D143:D148)</f>
        <v>852445538</v>
      </c>
      <c r="E149" s="229">
        <f>SUM(E143:E148)</f>
        <v>892239602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0.43618932016312334</v>
      </c>
      <c r="D152" s="227">
        <f>IF(D166=0,0,D160/D166)</f>
        <v>0.44758388468960308</v>
      </c>
      <c r="E152" s="227">
        <f>IF(E166=0,0,E160/E166)</f>
        <v>0.46443266201180339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0.38403699219867832</v>
      </c>
      <c r="D153" s="227">
        <f>IF(D166=0,0,D161/D166)</f>
        <v>0.37270422699142303</v>
      </c>
      <c r="E153" s="227">
        <f>IF(E166=0,0,E161/E166)</f>
        <v>0.37478070882847536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0.17744438927352557</v>
      </c>
      <c r="D154" s="227">
        <f>IF(D166=0,0,D162/D166)</f>
        <v>0.17417427822372619</v>
      </c>
      <c r="E154" s="227">
        <f>IF(E166=0,0,E162/E166)</f>
        <v>0.15748093895411194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1.8953254949387118E-3</v>
      </c>
      <c r="D156" s="227">
        <f>IF(D166=0,0,D164/D166)</f>
        <v>4.6771926892093824E-3</v>
      </c>
      <c r="E156" s="227">
        <f>IF(E166=0,0,E164/E166)</f>
        <v>1.7707010321477222E-3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4.3397286973403178E-4</v>
      </c>
      <c r="D157" s="227">
        <f>IF(D166=0,0,D165/D166)</f>
        <v>8.6041740603832778E-4</v>
      </c>
      <c r="E157" s="227">
        <f>IF(E166=0,0,E165/E166)</f>
        <v>1.5349891734615935E-3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154228697</v>
      </c>
      <c r="D160" s="229">
        <f>+D44-D164</f>
        <v>153851507</v>
      </c>
      <c r="E160" s="229">
        <f>+E44-E164</f>
        <v>169329107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135788572</v>
      </c>
      <c r="D161" s="229">
        <f>+D50</f>
        <v>128112537</v>
      </c>
      <c r="E161" s="229">
        <f>+E50</f>
        <v>136642592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62741144</v>
      </c>
      <c r="D162" s="229">
        <f>+D54</f>
        <v>59870286</v>
      </c>
      <c r="E162" s="229">
        <f>+E54</f>
        <v>57416519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670153</v>
      </c>
      <c r="D164" s="229">
        <f>+D45</f>
        <v>1607728</v>
      </c>
      <c r="E164" s="229">
        <f>+E45</f>
        <v>645586</v>
      </c>
    </row>
    <row r="165" spans="1:6" ht="20.100000000000001" customHeight="1" x14ac:dyDescent="0.2">
      <c r="A165" s="226">
        <v>13</v>
      </c>
      <c r="B165" s="224" t="s">
        <v>417</v>
      </c>
      <c r="C165" s="230">
        <v>153445</v>
      </c>
      <c r="D165" s="229">
        <v>295758</v>
      </c>
      <c r="E165" s="229">
        <v>559647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353582011</v>
      </c>
      <c r="D166" s="229">
        <f>SUM(D160:D165)</f>
        <v>343737816</v>
      </c>
      <c r="E166" s="229">
        <f>SUM(E160:E165)</f>
        <v>364593451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4371</v>
      </c>
      <c r="D169" s="218">
        <v>4106</v>
      </c>
      <c r="E169" s="218">
        <v>3617</v>
      </c>
    </row>
    <row r="170" spans="1:6" ht="20.100000000000001" customHeight="1" x14ac:dyDescent="0.2">
      <c r="A170" s="226">
        <v>2</v>
      </c>
      <c r="B170" s="224" t="s">
        <v>420</v>
      </c>
      <c r="C170" s="218">
        <v>7089</v>
      </c>
      <c r="D170" s="218">
        <v>7029</v>
      </c>
      <c r="E170" s="218">
        <v>6458</v>
      </c>
    </row>
    <row r="171" spans="1:6" ht="20.100000000000001" customHeight="1" x14ac:dyDescent="0.2">
      <c r="A171" s="226">
        <v>3</v>
      </c>
      <c r="B171" s="224" t="s">
        <v>421</v>
      </c>
      <c r="C171" s="218">
        <v>4161</v>
      </c>
      <c r="D171" s="218">
        <v>4074</v>
      </c>
      <c r="E171" s="218">
        <v>3852</v>
      </c>
    </row>
    <row r="172" spans="1:6" ht="20.100000000000001" customHeight="1" x14ac:dyDescent="0.2">
      <c r="A172" s="226">
        <v>4</v>
      </c>
      <c r="B172" s="224" t="s">
        <v>422</v>
      </c>
      <c r="C172" s="218">
        <v>4161</v>
      </c>
      <c r="D172" s="218">
        <v>4074</v>
      </c>
      <c r="E172" s="218">
        <v>3852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19</v>
      </c>
      <c r="D174" s="218">
        <v>21</v>
      </c>
      <c r="E174" s="218">
        <v>13</v>
      </c>
    </row>
    <row r="175" spans="1:6" ht="20.100000000000001" customHeight="1" x14ac:dyDescent="0.2">
      <c r="A175" s="226">
        <v>7</v>
      </c>
      <c r="B175" s="224" t="s">
        <v>425</v>
      </c>
      <c r="C175" s="218">
        <v>224</v>
      </c>
      <c r="D175" s="218">
        <v>122</v>
      </c>
      <c r="E175" s="218">
        <v>130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15640</v>
      </c>
      <c r="D176" s="218">
        <f>+D169+D170+D171+D174</f>
        <v>15230</v>
      </c>
      <c r="E176" s="218">
        <f>+E169+E170+E171+E174</f>
        <v>13940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1.1756</v>
      </c>
      <c r="D179" s="231">
        <v>1.17228</v>
      </c>
      <c r="E179" s="231">
        <v>1.2376</v>
      </c>
    </row>
    <row r="180" spans="1:6" ht="20.100000000000001" customHeight="1" x14ac:dyDescent="0.2">
      <c r="A180" s="226">
        <v>2</v>
      </c>
      <c r="B180" s="224" t="s">
        <v>420</v>
      </c>
      <c r="C180" s="231">
        <v>1.5435000000000001</v>
      </c>
      <c r="D180" s="231">
        <v>1.5341</v>
      </c>
      <c r="E180" s="231">
        <v>1.6580999999999999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1.0504</v>
      </c>
      <c r="D181" s="231">
        <v>1.0530200000000001</v>
      </c>
      <c r="E181" s="231">
        <v>1.1048</v>
      </c>
    </row>
    <row r="182" spans="1:6" ht="20.100000000000001" customHeight="1" x14ac:dyDescent="0.2">
      <c r="A182" s="226">
        <v>4</v>
      </c>
      <c r="B182" s="224" t="s">
        <v>422</v>
      </c>
      <c r="C182" s="231">
        <v>1.0504</v>
      </c>
      <c r="D182" s="231">
        <v>1.0530200000000001</v>
      </c>
      <c r="E182" s="231">
        <v>1.1048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1.0747</v>
      </c>
      <c r="D184" s="231">
        <v>1.2721</v>
      </c>
      <c r="E184" s="231">
        <v>1.4839</v>
      </c>
    </row>
    <row r="185" spans="1:6" ht="20.100000000000001" customHeight="1" x14ac:dyDescent="0.2">
      <c r="A185" s="226">
        <v>7</v>
      </c>
      <c r="B185" s="224" t="s">
        <v>425</v>
      </c>
      <c r="C185" s="231">
        <v>1.1022000000000001</v>
      </c>
      <c r="D185" s="231">
        <v>1.1993100000000001</v>
      </c>
      <c r="E185" s="231">
        <v>1.1455</v>
      </c>
    </row>
    <row r="186" spans="1:6" ht="20.100000000000001" customHeight="1" x14ac:dyDescent="0.2">
      <c r="A186" s="226">
        <v>8</v>
      </c>
      <c r="B186" s="224" t="s">
        <v>429</v>
      </c>
      <c r="C186" s="231">
        <v>1.3089219999999999</v>
      </c>
      <c r="D186" s="231">
        <v>1.307504</v>
      </c>
      <c r="E186" s="231">
        <v>1.3959379999999999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14007</v>
      </c>
      <c r="D189" s="218">
        <v>12702</v>
      </c>
      <c r="E189" s="218">
        <v>11783</v>
      </c>
    </row>
    <row r="190" spans="1:6" ht="20.100000000000001" customHeight="1" x14ac:dyDescent="0.2">
      <c r="A190" s="226">
        <v>2</v>
      </c>
      <c r="B190" s="224" t="s">
        <v>433</v>
      </c>
      <c r="C190" s="218">
        <v>91297</v>
      </c>
      <c r="D190" s="218">
        <v>91106</v>
      </c>
      <c r="E190" s="218">
        <v>91353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105304</v>
      </c>
      <c r="D191" s="218">
        <f>+D190+D189</f>
        <v>103808</v>
      </c>
      <c r="E191" s="218">
        <f>+E190+E189</f>
        <v>103136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5" orientation="portrait" horizontalDpi="1200" verticalDpi="1200" r:id="rId1"/>
  <headerFooter>
    <oddHeader>&amp;LOFFICE OF HEALTH CARE ACCESS&amp;CTWELVE MONTHS ACTUAL FILING&amp;RTHE HOSPITAL OF CENTRAL CONNECTICUT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opLeftCell="A9"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2286783</v>
      </c>
      <c r="D14" s="258">
        <v>7712395</v>
      </c>
      <c r="E14" s="258">
        <f t="shared" ref="E14:E24" si="0">D14-C14</f>
        <v>5425612</v>
      </c>
      <c r="F14" s="259">
        <f t="shared" ref="F14:F24" si="1">IF(C14=0,0,E14/C14)</f>
        <v>2.3725959131233703</v>
      </c>
    </row>
    <row r="15" spans="1:7" ht="20.25" customHeight="1" x14ac:dyDescent="0.3">
      <c r="A15" s="256">
        <v>2</v>
      </c>
      <c r="B15" s="257" t="s">
        <v>442</v>
      </c>
      <c r="C15" s="258">
        <v>853471</v>
      </c>
      <c r="D15" s="258">
        <v>2936806</v>
      </c>
      <c r="E15" s="258">
        <f t="shared" si="0"/>
        <v>2083335</v>
      </c>
      <c r="F15" s="259">
        <f t="shared" si="1"/>
        <v>2.4410143988489357</v>
      </c>
    </row>
    <row r="16" spans="1:7" ht="20.25" customHeight="1" x14ac:dyDescent="0.3">
      <c r="A16" s="256">
        <v>3</v>
      </c>
      <c r="B16" s="257" t="s">
        <v>443</v>
      </c>
      <c r="C16" s="258">
        <v>3361025</v>
      </c>
      <c r="D16" s="258">
        <v>11397052</v>
      </c>
      <c r="E16" s="258">
        <f t="shared" si="0"/>
        <v>8036027</v>
      </c>
      <c r="F16" s="259">
        <f t="shared" si="1"/>
        <v>2.3909453217396477</v>
      </c>
    </row>
    <row r="17" spans="1:6" ht="20.25" customHeight="1" x14ac:dyDescent="0.3">
      <c r="A17" s="256">
        <v>4</v>
      </c>
      <c r="B17" s="257" t="s">
        <v>444</v>
      </c>
      <c r="C17" s="258">
        <v>654394</v>
      </c>
      <c r="D17" s="258">
        <v>3132858</v>
      </c>
      <c r="E17" s="258">
        <f t="shared" si="0"/>
        <v>2478464</v>
      </c>
      <c r="F17" s="259">
        <f t="shared" si="1"/>
        <v>3.7874185888012422</v>
      </c>
    </row>
    <row r="18" spans="1:6" ht="20.25" customHeight="1" x14ac:dyDescent="0.3">
      <c r="A18" s="256">
        <v>5</v>
      </c>
      <c r="B18" s="257" t="s">
        <v>381</v>
      </c>
      <c r="C18" s="260">
        <v>88</v>
      </c>
      <c r="D18" s="260">
        <v>252</v>
      </c>
      <c r="E18" s="260">
        <f t="shared" si="0"/>
        <v>164</v>
      </c>
      <c r="F18" s="259">
        <f t="shared" si="1"/>
        <v>1.8636363636363635</v>
      </c>
    </row>
    <row r="19" spans="1:6" ht="20.25" customHeight="1" x14ac:dyDescent="0.3">
      <c r="A19" s="256">
        <v>6</v>
      </c>
      <c r="B19" s="257" t="s">
        <v>380</v>
      </c>
      <c r="C19" s="260">
        <v>366</v>
      </c>
      <c r="D19" s="260">
        <v>1306</v>
      </c>
      <c r="E19" s="260">
        <f t="shared" si="0"/>
        <v>940</v>
      </c>
      <c r="F19" s="259">
        <f t="shared" si="1"/>
        <v>2.5683060109289619</v>
      </c>
    </row>
    <row r="20" spans="1:6" ht="20.25" customHeight="1" x14ac:dyDescent="0.3">
      <c r="A20" s="256">
        <v>7</v>
      </c>
      <c r="B20" s="257" t="s">
        <v>445</v>
      </c>
      <c r="C20" s="260">
        <v>1298</v>
      </c>
      <c r="D20" s="260">
        <v>4175</v>
      </c>
      <c r="E20" s="260">
        <f t="shared" si="0"/>
        <v>2877</v>
      </c>
      <c r="F20" s="259">
        <f t="shared" si="1"/>
        <v>2.2164869029275809</v>
      </c>
    </row>
    <row r="21" spans="1:6" ht="20.25" customHeight="1" x14ac:dyDescent="0.3">
      <c r="A21" s="256">
        <v>8</v>
      </c>
      <c r="B21" s="257" t="s">
        <v>446</v>
      </c>
      <c r="C21" s="260">
        <v>303</v>
      </c>
      <c r="D21" s="260">
        <v>947</v>
      </c>
      <c r="E21" s="260">
        <f t="shared" si="0"/>
        <v>644</v>
      </c>
      <c r="F21" s="259">
        <f t="shared" si="1"/>
        <v>2.1254125412541254</v>
      </c>
    </row>
    <row r="22" spans="1:6" ht="20.25" customHeight="1" x14ac:dyDescent="0.3">
      <c r="A22" s="256">
        <v>9</v>
      </c>
      <c r="B22" s="257" t="s">
        <v>447</v>
      </c>
      <c r="C22" s="260">
        <v>78</v>
      </c>
      <c r="D22" s="260">
        <v>231</v>
      </c>
      <c r="E22" s="260">
        <f t="shared" si="0"/>
        <v>153</v>
      </c>
      <c r="F22" s="259">
        <f t="shared" si="1"/>
        <v>1.9615384615384615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5647808</v>
      </c>
      <c r="D23" s="263">
        <f>+D14+D16</f>
        <v>19109447</v>
      </c>
      <c r="E23" s="263">
        <f t="shared" si="0"/>
        <v>13461639</v>
      </c>
      <c r="F23" s="264">
        <f t="shared" si="1"/>
        <v>2.3835156931680399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1507865</v>
      </c>
      <c r="D24" s="263">
        <f>+D15+D17</f>
        <v>6069664</v>
      </c>
      <c r="E24" s="263">
        <f t="shared" si="0"/>
        <v>4561799</v>
      </c>
      <c r="F24" s="264">
        <f t="shared" si="1"/>
        <v>3.025336485693348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77</v>
      </c>
      <c r="D29" s="258">
        <v>13646</v>
      </c>
      <c r="E29" s="258">
        <f t="shared" si="2"/>
        <v>13569</v>
      </c>
      <c r="F29" s="259">
        <f t="shared" si="3"/>
        <v>176.22077922077921</v>
      </c>
    </row>
    <row r="30" spans="1:6" ht="20.25" customHeight="1" x14ac:dyDescent="0.3">
      <c r="A30" s="256">
        <v>4</v>
      </c>
      <c r="B30" s="257" t="s">
        <v>444</v>
      </c>
      <c r="C30" s="258">
        <v>51</v>
      </c>
      <c r="D30" s="258">
        <v>4376</v>
      </c>
      <c r="E30" s="258">
        <f t="shared" si="2"/>
        <v>4325</v>
      </c>
      <c r="F30" s="259">
        <f t="shared" si="3"/>
        <v>84.803921568627445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3</v>
      </c>
      <c r="E33" s="260">
        <f t="shared" si="2"/>
        <v>2</v>
      </c>
      <c r="F33" s="259">
        <f t="shared" si="3"/>
        <v>2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1</v>
      </c>
      <c r="E34" s="260">
        <f t="shared" si="2"/>
        <v>1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77</v>
      </c>
      <c r="D36" s="263">
        <f>+D27+D29</f>
        <v>13646</v>
      </c>
      <c r="E36" s="263">
        <f t="shared" si="2"/>
        <v>13569</v>
      </c>
      <c r="F36" s="264">
        <f t="shared" si="3"/>
        <v>176.22077922077921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51</v>
      </c>
      <c r="D37" s="263">
        <f>+D28+D30</f>
        <v>4376</v>
      </c>
      <c r="E37" s="263">
        <f t="shared" si="2"/>
        <v>4325</v>
      </c>
      <c r="F37" s="264">
        <f t="shared" si="3"/>
        <v>84.803921568627445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16143641</v>
      </c>
      <c r="D40" s="258">
        <v>16227328</v>
      </c>
      <c r="E40" s="258">
        <f t="shared" ref="E40:E50" si="4">D40-C40</f>
        <v>83687</v>
      </c>
      <c r="F40" s="259">
        <f t="shared" ref="F40:F50" si="5">IF(C40=0,0,E40/C40)</f>
        <v>5.1838987252008388E-3</v>
      </c>
    </row>
    <row r="41" spans="1:6" ht="20.25" customHeight="1" x14ac:dyDescent="0.3">
      <c r="A41" s="256">
        <v>2</v>
      </c>
      <c r="B41" s="257" t="s">
        <v>442</v>
      </c>
      <c r="C41" s="258">
        <v>6261327</v>
      </c>
      <c r="D41" s="258">
        <v>6958200</v>
      </c>
      <c r="E41" s="258">
        <f t="shared" si="4"/>
        <v>696873</v>
      </c>
      <c r="F41" s="259">
        <f t="shared" si="5"/>
        <v>0.11129797245855391</v>
      </c>
    </row>
    <row r="42" spans="1:6" ht="20.25" customHeight="1" x14ac:dyDescent="0.3">
      <c r="A42" s="256">
        <v>3</v>
      </c>
      <c r="B42" s="257" t="s">
        <v>443</v>
      </c>
      <c r="C42" s="258">
        <v>14745385</v>
      </c>
      <c r="D42" s="258">
        <v>16881798</v>
      </c>
      <c r="E42" s="258">
        <f t="shared" si="4"/>
        <v>2136413</v>
      </c>
      <c r="F42" s="259">
        <f t="shared" si="5"/>
        <v>0.14488689172917493</v>
      </c>
    </row>
    <row r="43" spans="1:6" ht="20.25" customHeight="1" x14ac:dyDescent="0.3">
      <c r="A43" s="256">
        <v>4</v>
      </c>
      <c r="B43" s="257" t="s">
        <v>444</v>
      </c>
      <c r="C43" s="258">
        <v>3371191</v>
      </c>
      <c r="D43" s="258">
        <v>5014242</v>
      </c>
      <c r="E43" s="258">
        <f t="shared" si="4"/>
        <v>1643051</v>
      </c>
      <c r="F43" s="259">
        <f t="shared" si="5"/>
        <v>0.48737997936041</v>
      </c>
    </row>
    <row r="44" spans="1:6" ht="20.25" customHeight="1" x14ac:dyDescent="0.3">
      <c r="A44" s="256">
        <v>5</v>
      </c>
      <c r="B44" s="257" t="s">
        <v>381</v>
      </c>
      <c r="C44" s="260">
        <v>531</v>
      </c>
      <c r="D44" s="260">
        <v>493</v>
      </c>
      <c r="E44" s="260">
        <f t="shared" si="4"/>
        <v>-38</v>
      </c>
      <c r="F44" s="259">
        <f t="shared" si="5"/>
        <v>-7.1563088512241052E-2</v>
      </c>
    </row>
    <row r="45" spans="1:6" ht="20.25" customHeight="1" x14ac:dyDescent="0.3">
      <c r="A45" s="256">
        <v>6</v>
      </c>
      <c r="B45" s="257" t="s">
        <v>380</v>
      </c>
      <c r="C45" s="260">
        <v>2425</v>
      </c>
      <c r="D45" s="260">
        <v>2446</v>
      </c>
      <c r="E45" s="260">
        <f t="shared" si="4"/>
        <v>21</v>
      </c>
      <c r="F45" s="259">
        <f t="shared" si="5"/>
        <v>8.6597938144329905E-3</v>
      </c>
    </row>
    <row r="46" spans="1:6" ht="20.25" customHeight="1" x14ac:dyDescent="0.3">
      <c r="A46" s="256">
        <v>7</v>
      </c>
      <c r="B46" s="257" t="s">
        <v>445</v>
      </c>
      <c r="C46" s="260">
        <v>6023</v>
      </c>
      <c r="D46" s="260">
        <v>5799</v>
      </c>
      <c r="E46" s="260">
        <f t="shared" si="4"/>
        <v>-224</v>
      </c>
      <c r="F46" s="259">
        <f t="shared" si="5"/>
        <v>-3.7190768719907022E-2</v>
      </c>
    </row>
    <row r="47" spans="1:6" ht="20.25" customHeight="1" x14ac:dyDescent="0.3">
      <c r="A47" s="256">
        <v>8</v>
      </c>
      <c r="B47" s="257" t="s">
        <v>446</v>
      </c>
      <c r="C47" s="260">
        <v>1403</v>
      </c>
      <c r="D47" s="260">
        <v>1315</v>
      </c>
      <c r="E47" s="260">
        <f t="shared" si="4"/>
        <v>-88</v>
      </c>
      <c r="F47" s="259">
        <f t="shared" si="5"/>
        <v>-6.2722736992159661E-2</v>
      </c>
    </row>
    <row r="48" spans="1:6" ht="20.25" customHeight="1" x14ac:dyDescent="0.3">
      <c r="A48" s="256">
        <v>9</v>
      </c>
      <c r="B48" s="257" t="s">
        <v>447</v>
      </c>
      <c r="C48" s="260">
        <v>359</v>
      </c>
      <c r="D48" s="260">
        <v>321</v>
      </c>
      <c r="E48" s="260">
        <f t="shared" si="4"/>
        <v>-38</v>
      </c>
      <c r="F48" s="259">
        <f t="shared" si="5"/>
        <v>-0.10584958217270195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30889026</v>
      </c>
      <c r="D49" s="263">
        <f>+D40+D42</f>
        <v>33109126</v>
      </c>
      <c r="E49" s="263">
        <f t="shared" si="4"/>
        <v>2220100</v>
      </c>
      <c r="F49" s="264">
        <f t="shared" si="5"/>
        <v>7.187342197193268E-2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9632518</v>
      </c>
      <c r="D50" s="263">
        <f>+D41+D43</f>
        <v>11972442</v>
      </c>
      <c r="E50" s="263">
        <f t="shared" si="4"/>
        <v>2339924</v>
      </c>
      <c r="F50" s="264">
        <f t="shared" si="5"/>
        <v>0.242919244999075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1138837</v>
      </c>
      <c r="D66" s="258">
        <v>1770735</v>
      </c>
      <c r="E66" s="258">
        <f t="shared" ref="E66:E76" si="8">D66-C66</f>
        <v>631898</v>
      </c>
      <c r="F66" s="259">
        <f t="shared" ref="F66:F76" si="9">IF(C66=0,0,E66/C66)</f>
        <v>0.554862548371716</v>
      </c>
    </row>
    <row r="67" spans="1:6" ht="20.25" customHeight="1" x14ac:dyDescent="0.3">
      <c r="A67" s="256">
        <v>2</v>
      </c>
      <c r="B67" s="257" t="s">
        <v>442</v>
      </c>
      <c r="C67" s="258">
        <v>410268</v>
      </c>
      <c r="D67" s="258">
        <v>702658</v>
      </c>
      <c r="E67" s="258">
        <f t="shared" si="8"/>
        <v>292390</v>
      </c>
      <c r="F67" s="259">
        <f t="shared" si="9"/>
        <v>0.71268049177610737</v>
      </c>
    </row>
    <row r="68" spans="1:6" ht="20.25" customHeight="1" x14ac:dyDescent="0.3">
      <c r="A68" s="256">
        <v>3</v>
      </c>
      <c r="B68" s="257" t="s">
        <v>443</v>
      </c>
      <c r="C68" s="258">
        <v>786580</v>
      </c>
      <c r="D68" s="258">
        <v>741793</v>
      </c>
      <c r="E68" s="258">
        <f t="shared" si="8"/>
        <v>-44787</v>
      </c>
      <c r="F68" s="259">
        <f t="shared" si="9"/>
        <v>-5.6938900048310405E-2</v>
      </c>
    </row>
    <row r="69" spans="1:6" ht="20.25" customHeight="1" x14ac:dyDescent="0.3">
      <c r="A69" s="256">
        <v>4</v>
      </c>
      <c r="B69" s="257" t="s">
        <v>444</v>
      </c>
      <c r="C69" s="258">
        <v>172264</v>
      </c>
      <c r="D69" s="258">
        <v>216755</v>
      </c>
      <c r="E69" s="258">
        <f t="shared" si="8"/>
        <v>44491</v>
      </c>
      <c r="F69" s="259">
        <f t="shared" si="9"/>
        <v>0.25827218687595782</v>
      </c>
    </row>
    <row r="70" spans="1:6" ht="20.25" customHeight="1" x14ac:dyDescent="0.3">
      <c r="A70" s="256">
        <v>5</v>
      </c>
      <c r="B70" s="257" t="s">
        <v>381</v>
      </c>
      <c r="C70" s="260">
        <v>39</v>
      </c>
      <c r="D70" s="260">
        <v>47</v>
      </c>
      <c r="E70" s="260">
        <f t="shared" si="8"/>
        <v>8</v>
      </c>
      <c r="F70" s="259">
        <f t="shared" si="9"/>
        <v>0.20512820512820512</v>
      </c>
    </row>
    <row r="71" spans="1:6" ht="20.25" customHeight="1" x14ac:dyDescent="0.3">
      <c r="A71" s="256">
        <v>6</v>
      </c>
      <c r="B71" s="257" t="s">
        <v>380</v>
      </c>
      <c r="C71" s="260">
        <v>191</v>
      </c>
      <c r="D71" s="260">
        <v>358</v>
      </c>
      <c r="E71" s="260">
        <f t="shared" si="8"/>
        <v>167</v>
      </c>
      <c r="F71" s="259">
        <f t="shared" si="9"/>
        <v>0.87434554973821987</v>
      </c>
    </row>
    <row r="72" spans="1:6" ht="20.25" customHeight="1" x14ac:dyDescent="0.3">
      <c r="A72" s="256">
        <v>7</v>
      </c>
      <c r="B72" s="257" t="s">
        <v>445</v>
      </c>
      <c r="C72" s="260">
        <v>330</v>
      </c>
      <c r="D72" s="260">
        <v>312</v>
      </c>
      <c r="E72" s="260">
        <f t="shared" si="8"/>
        <v>-18</v>
      </c>
      <c r="F72" s="259">
        <f t="shared" si="9"/>
        <v>-5.4545454545454543E-2</v>
      </c>
    </row>
    <row r="73" spans="1:6" ht="20.25" customHeight="1" x14ac:dyDescent="0.3">
      <c r="A73" s="256">
        <v>8</v>
      </c>
      <c r="B73" s="257" t="s">
        <v>446</v>
      </c>
      <c r="C73" s="260">
        <v>77</v>
      </c>
      <c r="D73" s="260">
        <v>70</v>
      </c>
      <c r="E73" s="260">
        <f t="shared" si="8"/>
        <v>-7</v>
      </c>
      <c r="F73" s="259">
        <f t="shared" si="9"/>
        <v>-9.0909090909090912E-2</v>
      </c>
    </row>
    <row r="74" spans="1:6" ht="20.25" customHeight="1" x14ac:dyDescent="0.3">
      <c r="A74" s="256">
        <v>9</v>
      </c>
      <c r="B74" s="257" t="s">
        <v>447</v>
      </c>
      <c r="C74" s="260">
        <v>20</v>
      </c>
      <c r="D74" s="260">
        <v>17</v>
      </c>
      <c r="E74" s="260">
        <f t="shared" si="8"/>
        <v>-3</v>
      </c>
      <c r="F74" s="259">
        <f t="shared" si="9"/>
        <v>-0.15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1925417</v>
      </c>
      <c r="D75" s="263">
        <f>+D66+D68</f>
        <v>2512528</v>
      </c>
      <c r="E75" s="263">
        <f t="shared" si="8"/>
        <v>587111</v>
      </c>
      <c r="F75" s="264">
        <f t="shared" si="9"/>
        <v>0.30492667302719356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582532</v>
      </c>
      <c r="D76" s="263">
        <f>+D67+D69</f>
        <v>919413</v>
      </c>
      <c r="E76" s="263">
        <f t="shared" si="8"/>
        <v>336881</v>
      </c>
      <c r="F76" s="264">
        <f t="shared" si="9"/>
        <v>0.5783047111574986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7290338</v>
      </c>
      <c r="D105" s="258">
        <v>5816444</v>
      </c>
      <c r="E105" s="258">
        <f t="shared" ref="E105:E115" si="14">D105-C105</f>
        <v>-1473894</v>
      </c>
      <c r="F105" s="259">
        <f t="shared" ref="F105:F115" si="15">IF(C105=0,0,E105/C105)</f>
        <v>-0.20217087328461314</v>
      </c>
    </row>
    <row r="106" spans="1:6" ht="20.25" customHeight="1" x14ac:dyDescent="0.3">
      <c r="A106" s="256">
        <v>2</v>
      </c>
      <c r="B106" s="257" t="s">
        <v>442</v>
      </c>
      <c r="C106" s="258">
        <v>2770101</v>
      </c>
      <c r="D106" s="258">
        <v>2205536</v>
      </c>
      <c r="E106" s="258">
        <f t="shared" si="14"/>
        <v>-564565</v>
      </c>
      <c r="F106" s="259">
        <f t="shared" si="15"/>
        <v>-0.20380664820524594</v>
      </c>
    </row>
    <row r="107" spans="1:6" ht="20.25" customHeight="1" x14ac:dyDescent="0.3">
      <c r="A107" s="256">
        <v>3</v>
      </c>
      <c r="B107" s="257" t="s">
        <v>443</v>
      </c>
      <c r="C107" s="258">
        <v>8662695</v>
      </c>
      <c r="D107" s="258">
        <v>6476787</v>
      </c>
      <c r="E107" s="258">
        <f t="shared" si="14"/>
        <v>-2185908</v>
      </c>
      <c r="F107" s="259">
        <f t="shared" si="15"/>
        <v>-0.2523357915752546</v>
      </c>
    </row>
    <row r="108" spans="1:6" ht="20.25" customHeight="1" x14ac:dyDescent="0.3">
      <c r="A108" s="256">
        <v>4</v>
      </c>
      <c r="B108" s="257" t="s">
        <v>444</v>
      </c>
      <c r="C108" s="258">
        <v>1937999</v>
      </c>
      <c r="D108" s="258">
        <v>1843260</v>
      </c>
      <c r="E108" s="258">
        <f t="shared" si="14"/>
        <v>-94739</v>
      </c>
      <c r="F108" s="259">
        <f t="shared" si="15"/>
        <v>-4.8884958144973241E-2</v>
      </c>
    </row>
    <row r="109" spans="1:6" ht="20.25" customHeight="1" x14ac:dyDescent="0.3">
      <c r="A109" s="256">
        <v>5</v>
      </c>
      <c r="B109" s="257" t="s">
        <v>381</v>
      </c>
      <c r="C109" s="260">
        <v>250</v>
      </c>
      <c r="D109" s="260">
        <v>184</v>
      </c>
      <c r="E109" s="260">
        <f t="shared" si="14"/>
        <v>-66</v>
      </c>
      <c r="F109" s="259">
        <f t="shared" si="15"/>
        <v>-0.26400000000000001</v>
      </c>
    </row>
    <row r="110" spans="1:6" ht="20.25" customHeight="1" x14ac:dyDescent="0.3">
      <c r="A110" s="256">
        <v>6</v>
      </c>
      <c r="B110" s="257" t="s">
        <v>380</v>
      </c>
      <c r="C110" s="260">
        <v>1211</v>
      </c>
      <c r="D110" s="260">
        <v>911</v>
      </c>
      <c r="E110" s="260">
        <f t="shared" si="14"/>
        <v>-300</v>
      </c>
      <c r="F110" s="259">
        <f t="shared" si="15"/>
        <v>-0.2477291494632535</v>
      </c>
    </row>
    <row r="111" spans="1:6" ht="20.25" customHeight="1" x14ac:dyDescent="0.3">
      <c r="A111" s="256">
        <v>7</v>
      </c>
      <c r="B111" s="257" t="s">
        <v>445</v>
      </c>
      <c r="C111" s="260">
        <v>3878</v>
      </c>
      <c r="D111" s="260">
        <v>2538</v>
      </c>
      <c r="E111" s="260">
        <f t="shared" si="14"/>
        <v>-1340</v>
      </c>
      <c r="F111" s="259">
        <f t="shared" si="15"/>
        <v>-0.34553893759669935</v>
      </c>
    </row>
    <row r="112" spans="1:6" ht="20.25" customHeight="1" x14ac:dyDescent="0.3">
      <c r="A112" s="256">
        <v>8</v>
      </c>
      <c r="B112" s="257" t="s">
        <v>446</v>
      </c>
      <c r="C112" s="260">
        <v>903</v>
      </c>
      <c r="D112" s="260">
        <v>575</v>
      </c>
      <c r="E112" s="260">
        <f t="shared" si="14"/>
        <v>-328</v>
      </c>
      <c r="F112" s="259">
        <f t="shared" si="15"/>
        <v>-0.36323366555924697</v>
      </c>
    </row>
    <row r="113" spans="1:6" ht="20.25" customHeight="1" x14ac:dyDescent="0.3">
      <c r="A113" s="256">
        <v>9</v>
      </c>
      <c r="B113" s="257" t="s">
        <v>447</v>
      </c>
      <c r="C113" s="260">
        <v>231</v>
      </c>
      <c r="D113" s="260">
        <v>140</v>
      </c>
      <c r="E113" s="260">
        <f t="shared" si="14"/>
        <v>-91</v>
      </c>
      <c r="F113" s="259">
        <f t="shared" si="15"/>
        <v>-0.39393939393939392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15953033</v>
      </c>
      <c r="D114" s="263">
        <f>+D105+D107</f>
        <v>12293231</v>
      </c>
      <c r="E114" s="263">
        <f t="shared" si="14"/>
        <v>-3659802</v>
      </c>
      <c r="F114" s="264">
        <f t="shared" si="15"/>
        <v>-0.22941104678966062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4708100</v>
      </c>
      <c r="D115" s="263">
        <f>+D106+D108</f>
        <v>4048796</v>
      </c>
      <c r="E115" s="263">
        <f t="shared" si="14"/>
        <v>-659304</v>
      </c>
      <c r="F115" s="264">
        <f t="shared" si="15"/>
        <v>-0.14003610798411248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13456727</v>
      </c>
      <c r="D118" s="258">
        <v>9966767</v>
      </c>
      <c r="E118" s="258">
        <f t="shared" ref="E118:E128" si="16">D118-C118</f>
        <v>-3489960</v>
      </c>
      <c r="F118" s="259">
        <f t="shared" ref="F118:F128" si="17">IF(C118=0,0,E118/C118)</f>
        <v>-0.25934686792709699</v>
      </c>
    </row>
    <row r="119" spans="1:6" ht="20.25" customHeight="1" x14ac:dyDescent="0.3">
      <c r="A119" s="256">
        <v>2</v>
      </c>
      <c r="B119" s="257" t="s">
        <v>442</v>
      </c>
      <c r="C119" s="258">
        <v>4638997</v>
      </c>
      <c r="D119" s="258">
        <v>3558754</v>
      </c>
      <c r="E119" s="258">
        <f t="shared" si="16"/>
        <v>-1080243</v>
      </c>
      <c r="F119" s="259">
        <f t="shared" si="17"/>
        <v>-0.23286132756714437</v>
      </c>
    </row>
    <row r="120" spans="1:6" ht="20.25" customHeight="1" x14ac:dyDescent="0.3">
      <c r="A120" s="256">
        <v>3</v>
      </c>
      <c r="B120" s="257" t="s">
        <v>443</v>
      </c>
      <c r="C120" s="258">
        <v>10294687</v>
      </c>
      <c r="D120" s="258">
        <v>11553105</v>
      </c>
      <c r="E120" s="258">
        <f t="shared" si="16"/>
        <v>1258418</v>
      </c>
      <c r="F120" s="259">
        <f t="shared" si="17"/>
        <v>0.12223955910461387</v>
      </c>
    </row>
    <row r="121" spans="1:6" ht="20.25" customHeight="1" x14ac:dyDescent="0.3">
      <c r="A121" s="256">
        <v>4</v>
      </c>
      <c r="B121" s="257" t="s">
        <v>444</v>
      </c>
      <c r="C121" s="258">
        <v>2366782</v>
      </c>
      <c r="D121" s="258">
        <v>3410055</v>
      </c>
      <c r="E121" s="258">
        <f t="shared" si="16"/>
        <v>1043273</v>
      </c>
      <c r="F121" s="259">
        <f t="shared" si="17"/>
        <v>0.44079809631812311</v>
      </c>
    </row>
    <row r="122" spans="1:6" ht="20.25" customHeight="1" x14ac:dyDescent="0.3">
      <c r="A122" s="256">
        <v>5</v>
      </c>
      <c r="B122" s="257" t="s">
        <v>381</v>
      </c>
      <c r="C122" s="260">
        <v>373</v>
      </c>
      <c r="D122" s="260">
        <v>310</v>
      </c>
      <c r="E122" s="260">
        <f t="shared" si="16"/>
        <v>-63</v>
      </c>
      <c r="F122" s="259">
        <f t="shared" si="17"/>
        <v>-0.16890080428954424</v>
      </c>
    </row>
    <row r="123" spans="1:6" ht="20.25" customHeight="1" x14ac:dyDescent="0.3">
      <c r="A123" s="256">
        <v>6</v>
      </c>
      <c r="B123" s="257" t="s">
        <v>380</v>
      </c>
      <c r="C123" s="260">
        <v>2004</v>
      </c>
      <c r="D123" s="260">
        <v>1383</v>
      </c>
      <c r="E123" s="260">
        <f t="shared" si="16"/>
        <v>-621</v>
      </c>
      <c r="F123" s="259">
        <f t="shared" si="17"/>
        <v>-0.30988023952095806</v>
      </c>
    </row>
    <row r="124" spans="1:6" ht="20.25" customHeight="1" x14ac:dyDescent="0.3">
      <c r="A124" s="256">
        <v>7</v>
      </c>
      <c r="B124" s="257" t="s">
        <v>445</v>
      </c>
      <c r="C124" s="260">
        <v>3961</v>
      </c>
      <c r="D124" s="260">
        <v>3952</v>
      </c>
      <c r="E124" s="260">
        <f t="shared" si="16"/>
        <v>-9</v>
      </c>
      <c r="F124" s="259">
        <f t="shared" si="17"/>
        <v>-2.2721534965917697E-3</v>
      </c>
    </row>
    <row r="125" spans="1:6" ht="20.25" customHeight="1" x14ac:dyDescent="0.3">
      <c r="A125" s="256">
        <v>8</v>
      </c>
      <c r="B125" s="257" t="s">
        <v>446</v>
      </c>
      <c r="C125" s="260">
        <v>923</v>
      </c>
      <c r="D125" s="260">
        <v>896</v>
      </c>
      <c r="E125" s="260">
        <f t="shared" si="16"/>
        <v>-27</v>
      </c>
      <c r="F125" s="259">
        <f t="shared" si="17"/>
        <v>-2.9252437703141929E-2</v>
      </c>
    </row>
    <row r="126" spans="1:6" ht="20.25" customHeight="1" x14ac:dyDescent="0.3">
      <c r="A126" s="256">
        <v>9</v>
      </c>
      <c r="B126" s="257" t="s">
        <v>447</v>
      </c>
      <c r="C126" s="260">
        <v>236</v>
      </c>
      <c r="D126" s="260">
        <v>219</v>
      </c>
      <c r="E126" s="260">
        <f t="shared" si="16"/>
        <v>-17</v>
      </c>
      <c r="F126" s="259">
        <f t="shared" si="17"/>
        <v>-7.2033898305084748E-2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23751414</v>
      </c>
      <c r="D127" s="263">
        <f>+D118+D120</f>
        <v>21519872</v>
      </c>
      <c r="E127" s="263">
        <f t="shared" si="16"/>
        <v>-2231542</v>
      </c>
      <c r="F127" s="264">
        <f t="shared" si="17"/>
        <v>-9.3954069429297973E-2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7005779</v>
      </c>
      <c r="D128" s="263">
        <f>+D119+D121</f>
        <v>6968809</v>
      </c>
      <c r="E128" s="263">
        <f t="shared" si="16"/>
        <v>-36970</v>
      </c>
      <c r="F128" s="264">
        <f t="shared" si="17"/>
        <v>-5.2770719715823176E-3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25046199</v>
      </c>
      <c r="D144" s="258">
        <v>21616115</v>
      </c>
      <c r="E144" s="258">
        <f t="shared" ref="E144:E154" si="20">D144-C144</f>
        <v>-3430084</v>
      </c>
      <c r="F144" s="259">
        <f t="shared" ref="F144:F154" si="21">IF(C144=0,0,E144/C144)</f>
        <v>-0.13695028135806156</v>
      </c>
    </row>
    <row r="145" spans="1:6" ht="20.25" customHeight="1" x14ac:dyDescent="0.3">
      <c r="A145" s="256">
        <v>2</v>
      </c>
      <c r="B145" s="257" t="s">
        <v>442</v>
      </c>
      <c r="C145" s="258">
        <v>8672501</v>
      </c>
      <c r="D145" s="258">
        <v>8181685</v>
      </c>
      <c r="E145" s="258">
        <f t="shared" si="20"/>
        <v>-490816</v>
      </c>
      <c r="F145" s="259">
        <f t="shared" si="21"/>
        <v>-5.6594516391523048E-2</v>
      </c>
    </row>
    <row r="146" spans="1:6" ht="20.25" customHeight="1" x14ac:dyDescent="0.3">
      <c r="A146" s="256">
        <v>3</v>
      </c>
      <c r="B146" s="257" t="s">
        <v>443</v>
      </c>
      <c r="C146" s="258">
        <v>17630013</v>
      </c>
      <c r="D146" s="258">
        <v>21572101</v>
      </c>
      <c r="E146" s="258">
        <f t="shared" si="20"/>
        <v>3942088</v>
      </c>
      <c r="F146" s="259">
        <f t="shared" si="21"/>
        <v>0.22360096955118525</v>
      </c>
    </row>
    <row r="147" spans="1:6" ht="20.25" customHeight="1" x14ac:dyDescent="0.3">
      <c r="A147" s="256">
        <v>4</v>
      </c>
      <c r="B147" s="257" t="s">
        <v>444</v>
      </c>
      <c r="C147" s="258">
        <v>3984934</v>
      </c>
      <c r="D147" s="258">
        <v>6131607</v>
      </c>
      <c r="E147" s="258">
        <f t="shared" si="20"/>
        <v>2146673</v>
      </c>
      <c r="F147" s="259">
        <f t="shared" si="21"/>
        <v>0.53869725320419359</v>
      </c>
    </row>
    <row r="148" spans="1:6" ht="20.25" customHeight="1" x14ac:dyDescent="0.3">
      <c r="A148" s="256">
        <v>5</v>
      </c>
      <c r="B148" s="257" t="s">
        <v>381</v>
      </c>
      <c r="C148" s="260">
        <v>758</v>
      </c>
      <c r="D148" s="260">
        <v>728</v>
      </c>
      <c r="E148" s="260">
        <f t="shared" si="20"/>
        <v>-30</v>
      </c>
      <c r="F148" s="259">
        <f t="shared" si="21"/>
        <v>-3.9577836411609502E-2</v>
      </c>
    </row>
    <row r="149" spans="1:6" ht="20.25" customHeight="1" x14ac:dyDescent="0.3">
      <c r="A149" s="256">
        <v>6</v>
      </c>
      <c r="B149" s="257" t="s">
        <v>380</v>
      </c>
      <c r="C149" s="260">
        <v>3853</v>
      </c>
      <c r="D149" s="260">
        <v>3271</v>
      </c>
      <c r="E149" s="260">
        <f t="shared" si="20"/>
        <v>-582</v>
      </c>
      <c r="F149" s="259">
        <f t="shared" si="21"/>
        <v>-0.1510511289903971</v>
      </c>
    </row>
    <row r="150" spans="1:6" ht="20.25" customHeight="1" x14ac:dyDescent="0.3">
      <c r="A150" s="256">
        <v>7</v>
      </c>
      <c r="B150" s="257" t="s">
        <v>445</v>
      </c>
      <c r="C150" s="260">
        <v>7147</v>
      </c>
      <c r="D150" s="260">
        <v>7581</v>
      </c>
      <c r="E150" s="260">
        <f t="shared" si="20"/>
        <v>434</v>
      </c>
      <c r="F150" s="259">
        <f t="shared" si="21"/>
        <v>6.0724779627815868E-2</v>
      </c>
    </row>
    <row r="151" spans="1:6" ht="20.25" customHeight="1" x14ac:dyDescent="0.3">
      <c r="A151" s="256">
        <v>8</v>
      </c>
      <c r="B151" s="257" t="s">
        <v>446</v>
      </c>
      <c r="C151" s="260">
        <v>1665</v>
      </c>
      <c r="D151" s="260">
        <v>1719</v>
      </c>
      <c r="E151" s="260">
        <f t="shared" si="20"/>
        <v>54</v>
      </c>
      <c r="F151" s="259">
        <f t="shared" si="21"/>
        <v>3.2432432432432434E-2</v>
      </c>
    </row>
    <row r="152" spans="1:6" ht="20.25" customHeight="1" x14ac:dyDescent="0.3">
      <c r="A152" s="256">
        <v>9</v>
      </c>
      <c r="B152" s="257" t="s">
        <v>447</v>
      </c>
      <c r="C152" s="260">
        <v>426</v>
      </c>
      <c r="D152" s="260">
        <v>420</v>
      </c>
      <c r="E152" s="260">
        <f t="shared" si="20"/>
        <v>-6</v>
      </c>
      <c r="F152" s="259">
        <f t="shared" si="21"/>
        <v>-1.4084507042253521E-2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42676212</v>
      </c>
      <c r="D153" s="263">
        <f>+D144+D146</f>
        <v>43188216</v>
      </c>
      <c r="E153" s="263">
        <f t="shared" si="20"/>
        <v>512004</v>
      </c>
      <c r="F153" s="264">
        <f t="shared" si="21"/>
        <v>1.1997409704497673E-2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12657435</v>
      </c>
      <c r="D154" s="263">
        <f>+D145+D147</f>
        <v>14313292</v>
      </c>
      <c r="E154" s="263">
        <f t="shared" si="20"/>
        <v>1655857</v>
      </c>
      <c r="F154" s="264">
        <f t="shared" si="21"/>
        <v>0.13082089696688151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65362525</v>
      </c>
      <c r="D198" s="263">
        <f t="shared" si="28"/>
        <v>63109784</v>
      </c>
      <c r="E198" s="263">
        <f t="shared" ref="E198:E208" si="29">D198-C198</f>
        <v>-2252741</v>
      </c>
      <c r="F198" s="273">
        <f t="shared" ref="F198:F208" si="30">IF(C198=0,0,E198/C198)</f>
        <v>-3.4465330095494323E-2</v>
      </c>
    </row>
    <row r="199" spans="1:9" ht="20.25" customHeight="1" x14ac:dyDescent="0.3">
      <c r="A199" s="271"/>
      <c r="B199" s="272" t="s">
        <v>466</v>
      </c>
      <c r="C199" s="263">
        <f t="shared" si="28"/>
        <v>23606665</v>
      </c>
      <c r="D199" s="263">
        <f t="shared" si="28"/>
        <v>24543639</v>
      </c>
      <c r="E199" s="263">
        <f t="shared" si="29"/>
        <v>936974</v>
      </c>
      <c r="F199" s="273">
        <f t="shared" si="30"/>
        <v>3.9691078769491579E-2</v>
      </c>
    </row>
    <row r="200" spans="1:9" ht="20.25" customHeight="1" x14ac:dyDescent="0.3">
      <c r="A200" s="271"/>
      <c r="B200" s="272" t="s">
        <v>467</v>
      </c>
      <c r="C200" s="263">
        <f t="shared" si="28"/>
        <v>55480462</v>
      </c>
      <c r="D200" s="263">
        <f t="shared" si="28"/>
        <v>68636282</v>
      </c>
      <c r="E200" s="263">
        <f t="shared" si="29"/>
        <v>13155820</v>
      </c>
      <c r="F200" s="273">
        <f t="shared" si="30"/>
        <v>0.23712527844486947</v>
      </c>
    </row>
    <row r="201" spans="1:9" ht="20.25" customHeight="1" x14ac:dyDescent="0.3">
      <c r="A201" s="271"/>
      <c r="B201" s="272" t="s">
        <v>468</v>
      </c>
      <c r="C201" s="263">
        <f t="shared" si="28"/>
        <v>12487615</v>
      </c>
      <c r="D201" s="263">
        <f t="shared" si="28"/>
        <v>19753153</v>
      </c>
      <c r="E201" s="263">
        <f t="shared" si="29"/>
        <v>7265538</v>
      </c>
      <c r="F201" s="273">
        <f t="shared" si="30"/>
        <v>0.58181950676730509</v>
      </c>
    </row>
    <row r="202" spans="1:9" ht="20.25" customHeight="1" x14ac:dyDescent="0.3">
      <c r="A202" s="271"/>
      <c r="B202" s="272" t="s">
        <v>138</v>
      </c>
      <c r="C202" s="274">
        <f t="shared" si="28"/>
        <v>2039</v>
      </c>
      <c r="D202" s="274">
        <f t="shared" si="28"/>
        <v>2014</v>
      </c>
      <c r="E202" s="274">
        <f t="shared" si="29"/>
        <v>-25</v>
      </c>
      <c r="F202" s="273">
        <f t="shared" si="30"/>
        <v>-1.2260912211868563E-2</v>
      </c>
    </row>
    <row r="203" spans="1:9" ht="20.25" customHeight="1" x14ac:dyDescent="0.3">
      <c r="A203" s="271"/>
      <c r="B203" s="272" t="s">
        <v>140</v>
      </c>
      <c r="C203" s="274">
        <f t="shared" si="28"/>
        <v>10050</v>
      </c>
      <c r="D203" s="274">
        <f t="shared" si="28"/>
        <v>9675</v>
      </c>
      <c r="E203" s="274">
        <f t="shared" si="29"/>
        <v>-375</v>
      </c>
      <c r="F203" s="273">
        <f t="shared" si="30"/>
        <v>-3.7313432835820892E-2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22638</v>
      </c>
      <c r="D204" s="274">
        <f t="shared" si="28"/>
        <v>24360</v>
      </c>
      <c r="E204" s="274">
        <f t="shared" si="29"/>
        <v>1722</v>
      </c>
      <c r="F204" s="273">
        <f t="shared" si="30"/>
        <v>7.6066790352504632E-2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5274</v>
      </c>
      <c r="D205" s="274">
        <f t="shared" si="28"/>
        <v>5523</v>
      </c>
      <c r="E205" s="274">
        <f t="shared" si="29"/>
        <v>249</v>
      </c>
      <c r="F205" s="273">
        <f t="shared" si="30"/>
        <v>4.7212741751990896E-2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1350</v>
      </c>
      <c r="D206" s="274">
        <f t="shared" si="28"/>
        <v>1348</v>
      </c>
      <c r="E206" s="274">
        <f t="shared" si="29"/>
        <v>-2</v>
      </c>
      <c r="F206" s="273">
        <f t="shared" si="30"/>
        <v>-1.4814814814814814E-3</v>
      </c>
    </row>
    <row r="207" spans="1:9" ht="20.25" customHeight="1" x14ac:dyDescent="0.3">
      <c r="A207" s="271"/>
      <c r="B207" s="262" t="s">
        <v>471</v>
      </c>
      <c r="C207" s="263">
        <f>+C198+C200</f>
        <v>120842987</v>
      </c>
      <c r="D207" s="263">
        <f>+D198+D200</f>
        <v>131746066</v>
      </c>
      <c r="E207" s="263">
        <f t="shared" si="29"/>
        <v>10903079</v>
      </c>
      <c r="F207" s="273">
        <f t="shared" si="30"/>
        <v>9.0225169624448293E-2</v>
      </c>
    </row>
    <row r="208" spans="1:9" ht="20.25" customHeight="1" x14ac:dyDescent="0.3">
      <c r="A208" s="271"/>
      <c r="B208" s="262" t="s">
        <v>472</v>
      </c>
      <c r="C208" s="263">
        <f>+C199+C201</f>
        <v>36094280</v>
      </c>
      <c r="D208" s="263">
        <f>+D199+D201</f>
        <v>44296792</v>
      </c>
      <c r="E208" s="263">
        <f t="shared" si="29"/>
        <v>8202512</v>
      </c>
      <c r="F208" s="273">
        <f t="shared" si="30"/>
        <v>0.22725240675253808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FILING&amp;RTHE HOSPITAL OF CENTRAL CONNECTICUT</oddHeader>
    <oddFooter>&amp;LREPORT 200&amp;C&amp;P of &amp;N&amp;R&amp;D,&amp;T</oddFooter>
  </headerFooter>
  <rowBreaks count="4" manualBreakCount="4">
    <brk id="51" max="5" man="1"/>
    <brk id="90" max="5" man="1"/>
    <brk id="129" max="5" man="1"/>
    <brk id="16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FILING&amp;RTHE HOSPITAL OF CENTRAL CONNECTICUT</oddHeader>
    <oddFooter>&amp;LREPORT 250&amp;C&amp;P of &amp;N&amp;R&amp;D,&amp;T</oddFooter>
  </headerFooter>
  <rowBreaks count="2" manualBreakCount="2">
    <brk id="48" max="5" man="1"/>
    <brk id="8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15228166</v>
      </c>
      <c r="D13" s="22">
        <v>24231507</v>
      </c>
      <c r="E13" s="22">
        <f t="shared" ref="E13:E22" si="0">D13-C13</f>
        <v>9003341</v>
      </c>
      <c r="F13" s="306">
        <f t="shared" ref="F13:F22" si="1">IF(C13=0,0,E13/C13)</f>
        <v>0.59122950196366386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41580130</v>
      </c>
      <c r="D15" s="22">
        <v>43814445</v>
      </c>
      <c r="E15" s="22">
        <f t="shared" si="0"/>
        <v>2234315</v>
      </c>
      <c r="F15" s="306">
        <f t="shared" si="1"/>
        <v>5.3735161482179106E-2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6193421</v>
      </c>
      <c r="D19" s="22">
        <v>6048763</v>
      </c>
      <c r="E19" s="22">
        <f t="shared" si="0"/>
        <v>-144658</v>
      </c>
      <c r="F19" s="306">
        <f t="shared" si="1"/>
        <v>-2.3356719977537455E-2</v>
      </c>
    </row>
    <row r="20" spans="1:11" ht="24" customHeight="1" x14ac:dyDescent="0.2">
      <c r="A20" s="304">
        <v>8</v>
      </c>
      <c r="B20" s="305" t="s">
        <v>23</v>
      </c>
      <c r="C20" s="22">
        <v>2692032</v>
      </c>
      <c r="D20" s="22">
        <v>2636141</v>
      </c>
      <c r="E20" s="22">
        <f t="shared" si="0"/>
        <v>-55891</v>
      </c>
      <c r="F20" s="306">
        <f t="shared" si="1"/>
        <v>-2.0761640277678722E-2</v>
      </c>
    </row>
    <row r="21" spans="1:11" ht="24" customHeight="1" x14ac:dyDescent="0.2">
      <c r="A21" s="304">
        <v>9</v>
      </c>
      <c r="B21" s="305" t="s">
        <v>24</v>
      </c>
      <c r="C21" s="22">
        <v>19518000</v>
      </c>
      <c r="D21" s="22">
        <v>13109000</v>
      </c>
      <c r="E21" s="22">
        <f t="shared" si="0"/>
        <v>-6409000</v>
      </c>
      <c r="F21" s="306">
        <f t="shared" si="1"/>
        <v>-0.32836356184035248</v>
      </c>
    </row>
    <row r="22" spans="1:11" ht="24" customHeight="1" x14ac:dyDescent="0.25">
      <c r="A22" s="307"/>
      <c r="B22" s="308" t="s">
        <v>25</v>
      </c>
      <c r="C22" s="309">
        <f>SUM(C13:C21)</f>
        <v>85211749</v>
      </c>
      <c r="D22" s="309">
        <f>SUM(D13:D21)</f>
        <v>89839856</v>
      </c>
      <c r="E22" s="309">
        <f t="shared" si="0"/>
        <v>4628107</v>
      </c>
      <c r="F22" s="310">
        <f t="shared" si="1"/>
        <v>5.4313014981067928E-2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14823024</v>
      </c>
      <c r="D25" s="22">
        <v>15418922</v>
      </c>
      <c r="E25" s="22">
        <f>D25-C25</f>
        <v>595898</v>
      </c>
      <c r="F25" s="306">
        <f>IF(C25=0,0,E25/C25)</f>
        <v>4.020083891114256E-2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1235000</v>
      </c>
      <c r="E27" s="22">
        <f>D27-C27</f>
        <v>1235000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4764000</v>
      </c>
      <c r="D28" s="22">
        <v>3593915</v>
      </c>
      <c r="E28" s="22">
        <f>D28-C28</f>
        <v>-1170085</v>
      </c>
      <c r="F28" s="306">
        <f>IF(C28=0,0,E28/C28)</f>
        <v>-0.24560978169605374</v>
      </c>
    </row>
    <row r="29" spans="1:11" ht="35.1" customHeight="1" x14ac:dyDescent="0.25">
      <c r="A29" s="307"/>
      <c r="B29" s="308" t="s">
        <v>32</v>
      </c>
      <c r="C29" s="309">
        <f>SUM(C25:C28)</f>
        <v>19587024</v>
      </c>
      <c r="D29" s="309">
        <f>SUM(D25:D28)</f>
        <v>20247837</v>
      </c>
      <c r="E29" s="309">
        <f>D29-C29</f>
        <v>660813</v>
      </c>
      <c r="F29" s="310">
        <f>IF(C29=0,0,E29/C29)</f>
        <v>3.3737284438922419E-2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164740362</v>
      </c>
      <c r="D32" s="22">
        <v>188475000</v>
      </c>
      <c r="E32" s="22">
        <f>D32-C32</f>
        <v>23734638</v>
      </c>
      <c r="F32" s="306">
        <f>IF(C32=0,0,E32/C32)</f>
        <v>0.14407299894120665</v>
      </c>
    </row>
    <row r="33" spans="1:8" ht="24" customHeight="1" x14ac:dyDescent="0.2">
      <c r="A33" s="304">
        <v>7</v>
      </c>
      <c r="B33" s="305" t="s">
        <v>35</v>
      </c>
      <c r="C33" s="22">
        <v>26568581</v>
      </c>
      <c r="D33" s="22">
        <v>22739439</v>
      </c>
      <c r="E33" s="22">
        <f>D33-C33</f>
        <v>-3829142</v>
      </c>
      <c r="F33" s="306">
        <f>IF(C33=0,0,E33/C33)</f>
        <v>-0.14412293979870433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468424247</v>
      </c>
      <c r="D36" s="22">
        <v>468503620</v>
      </c>
      <c r="E36" s="22">
        <f>D36-C36</f>
        <v>79373</v>
      </c>
      <c r="F36" s="306">
        <f>IF(C36=0,0,E36/C36)</f>
        <v>1.6944682199595873E-4</v>
      </c>
    </row>
    <row r="37" spans="1:8" ht="24" customHeight="1" x14ac:dyDescent="0.2">
      <c r="A37" s="304">
        <v>2</v>
      </c>
      <c r="B37" s="305" t="s">
        <v>39</v>
      </c>
      <c r="C37" s="22">
        <v>273768426</v>
      </c>
      <c r="D37" s="22">
        <v>290086838</v>
      </c>
      <c r="E37" s="22">
        <f>D37-C37</f>
        <v>16318412</v>
      </c>
      <c r="F37" s="22">
        <f>IF(C37=0,0,E37/C37)</f>
        <v>5.9606625345466242E-2</v>
      </c>
    </row>
    <row r="38" spans="1:8" ht="24" customHeight="1" x14ac:dyDescent="0.25">
      <c r="A38" s="307"/>
      <c r="B38" s="308" t="s">
        <v>40</v>
      </c>
      <c r="C38" s="309">
        <f>C36-C37</f>
        <v>194655821</v>
      </c>
      <c r="D38" s="309">
        <f>D36-D37</f>
        <v>178416782</v>
      </c>
      <c r="E38" s="309">
        <f>D38-C38</f>
        <v>-16239039</v>
      </c>
      <c r="F38" s="310">
        <f>IF(C38=0,0,E38/C38)</f>
        <v>-8.3424368799122628E-2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278463</v>
      </c>
      <c r="D40" s="22">
        <v>1317660</v>
      </c>
      <c r="E40" s="22">
        <f>D40-C40</f>
        <v>1039197</v>
      </c>
      <c r="F40" s="306">
        <f>IF(C40=0,0,E40/C40)</f>
        <v>3.7319033408388189</v>
      </c>
    </row>
    <row r="41" spans="1:8" ht="24" customHeight="1" x14ac:dyDescent="0.25">
      <c r="A41" s="307"/>
      <c r="B41" s="308" t="s">
        <v>42</v>
      </c>
      <c r="C41" s="309">
        <f>+C38+C40</f>
        <v>194934284</v>
      </c>
      <c r="D41" s="309">
        <f>+D38+D40</f>
        <v>179734442</v>
      </c>
      <c r="E41" s="309">
        <f>D41-C41</f>
        <v>-15199842</v>
      </c>
      <c r="F41" s="310">
        <f>IF(C41=0,0,E41/C41)</f>
        <v>-7.7974185392652634E-2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491042000</v>
      </c>
      <c r="D43" s="309">
        <f>D22+D29+D31+D32+D33+D41</f>
        <v>501036574</v>
      </c>
      <c r="E43" s="309">
        <f>D43-C43</f>
        <v>9994574</v>
      </c>
      <c r="F43" s="310">
        <f>IF(C43=0,0,E43/C43)</f>
        <v>2.0353806802676757E-2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19346117</v>
      </c>
      <c r="D49" s="22">
        <v>18713537</v>
      </c>
      <c r="E49" s="22">
        <f t="shared" ref="E49:E56" si="2">D49-C49</f>
        <v>-632580</v>
      </c>
      <c r="F49" s="306">
        <f t="shared" ref="F49:F56" si="3">IF(C49=0,0,E49/C49)</f>
        <v>-3.269803444277733E-2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8494248</v>
      </c>
      <c r="D50" s="22">
        <v>8403215</v>
      </c>
      <c r="E50" s="22">
        <f t="shared" si="2"/>
        <v>-91033</v>
      </c>
      <c r="F50" s="306">
        <f t="shared" si="3"/>
        <v>-1.0717016974310146E-2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10957225</v>
      </c>
      <c r="D51" s="22">
        <v>4627351</v>
      </c>
      <c r="E51" s="22">
        <f t="shared" si="2"/>
        <v>-6329874</v>
      </c>
      <c r="F51" s="306">
        <f t="shared" si="3"/>
        <v>-0.57768951536543245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4142000</v>
      </c>
      <c r="D52" s="22">
        <v>694786</v>
      </c>
      <c r="E52" s="22">
        <f t="shared" si="2"/>
        <v>-3447214</v>
      </c>
      <c r="F52" s="306">
        <f t="shared" si="3"/>
        <v>-0.83225832930951227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548722</v>
      </c>
      <c r="D53" s="22">
        <v>450047</v>
      </c>
      <c r="E53" s="22">
        <f t="shared" si="2"/>
        <v>-98675</v>
      </c>
      <c r="F53" s="306">
        <f t="shared" si="3"/>
        <v>-0.17982694333378285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4549911</v>
      </c>
      <c r="D55" s="22">
        <v>5702683</v>
      </c>
      <c r="E55" s="22">
        <f t="shared" si="2"/>
        <v>1152772</v>
      </c>
      <c r="F55" s="306">
        <f t="shared" si="3"/>
        <v>0.25336143937760541</v>
      </c>
    </row>
    <row r="56" spans="1:6" ht="24" customHeight="1" x14ac:dyDescent="0.25">
      <c r="A56" s="307"/>
      <c r="B56" s="308" t="s">
        <v>54</v>
      </c>
      <c r="C56" s="309">
        <f>SUM(C49:C55)</f>
        <v>48038223</v>
      </c>
      <c r="D56" s="309">
        <f>SUM(D49:D55)</f>
        <v>38591619</v>
      </c>
      <c r="E56" s="309">
        <f t="shared" si="2"/>
        <v>-9446604</v>
      </c>
      <c r="F56" s="310">
        <f t="shared" si="3"/>
        <v>-0.19664765701262513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62560721</v>
      </c>
      <c r="D60" s="22">
        <v>61949082</v>
      </c>
      <c r="E60" s="22">
        <f>D60-C60</f>
        <v>-611639</v>
      </c>
      <c r="F60" s="306">
        <f>IF(C60=0,0,E60/C60)</f>
        <v>-9.7767255591571581E-3</v>
      </c>
    </row>
    <row r="61" spans="1:6" ht="24" customHeight="1" x14ac:dyDescent="0.25">
      <c r="A61" s="307"/>
      <c r="B61" s="308" t="s">
        <v>58</v>
      </c>
      <c r="C61" s="309">
        <f>SUM(C59:C60)</f>
        <v>62560721</v>
      </c>
      <c r="D61" s="309">
        <f>SUM(D59:D60)</f>
        <v>61949082</v>
      </c>
      <c r="E61" s="309">
        <f>D61-C61</f>
        <v>-611639</v>
      </c>
      <c r="F61" s="310">
        <f>IF(C61=0,0,E61/C61)</f>
        <v>-9.7767255591571581E-3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118489088</v>
      </c>
      <c r="D63" s="22">
        <v>163854813</v>
      </c>
      <c r="E63" s="22">
        <f>D63-C63</f>
        <v>45365725</v>
      </c>
      <c r="F63" s="306">
        <f>IF(C63=0,0,E63/C63)</f>
        <v>0.38286837856326483</v>
      </c>
    </row>
    <row r="64" spans="1:6" ht="24" customHeight="1" x14ac:dyDescent="0.2">
      <c r="A64" s="304">
        <v>4</v>
      </c>
      <c r="B64" s="305" t="s">
        <v>60</v>
      </c>
      <c r="C64" s="22">
        <v>29070884</v>
      </c>
      <c r="D64" s="22">
        <v>27052294</v>
      </c>
      <c r="E64" s="22">
        <f>D64-C64</f>
        <v>-2018590</v>
      </c>
      <c r="F64" s="306">
        <f>IF(C64=0,0,E64/C64)</f>
        <v>-6.9436828959174413E-2</v>
      </c>
    </row>
    <row r="65" spans="1:6" ht="24" customHeight="1" x14ac:dyDescent="0.25">
      <c r="A65" s="307"/>
      <c r="B65" s="308" t="s">
        <v>61</v>
      </c>
      <c r="C65" s="309">
        <f>SUM(C61:C64)</f>
        <v>210120693</v>
      </c>
      <c r="D65" s="309">
        <f>SUM(D61:D64)</f>
        <v>252856189</v>
      </c>
      <c r="E65" s="309">
        <f>D65-C65</f>
        <v>42735496</v>
      </c>
      <c r="F65" s="310">
        <f>IF(C65=0,0,E65/C65)</f>
        <v>0.20338547046387287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187369388</v>
      </c>
      <c r="D70" s="22">
        <v>160133367</v>
      </c>
      <c r="E70" s="22">
        <f>D70-C70</f>
        <v>-27236021</v>
      </c>
      <c r="F70" s="306">
        <f>IF(C70=0,0,E70/C70)</f>
        <v>-0.14536003608017337</v>
      </c>
    </row>
    <row r="71" spans="1:6" ht="24" customHeight="1" x14ac:dyDescent="0.2">
      <c r="A71" s="304">
        <v>2</v>
      </c>
      <c r="B71" s="305" t="s">
        <v>65</v>
      </c>
      <c r="C71" s="22">
        <v>23882792</v>
      </c>
      <c r="D71" s="22">
        <v>27228927</v>
      </c>
      <c r="E71" s="22">
        <f>D71-C71</f>
        <v>3346135</v>
      </c>
      <c r="F71" s="306">
        <f>IF(C71=0,0,E71/C71)</f>
        <v>0.14010652523373315</v>
      </c>
    </row>
    <row r="72" spans="1:6" ht="24" customHeight="1" x14ac:dyDescent="0.2">
      <c r="A72" s="304">
        <v>3</v>
      </c>
      <c r="B72" s="305" t="s">
        <v>66</v>
      </c>
      <c r="C72" s="22">
        <v>21630904</v>
      </c>
      <c r="D72" s="22">
        <v>22226472</v>
      </c>
      <c r="E72" s="22">
        <f>D72-C72</f>
        <v>595568</v>
      </c>
      <c r="F72" s="306">
        <f>IF(C72=0,0,E72/C72)</f>
        <v>2.7533199722027335E-2</v>
      </c>
    </row>
    <row r="73" spans="1:6" ht="24" customHeight="1" x14ac:dyDescent="0.25">
      <c r="A73" s="304"/>
      <c r="B73" s="308" t="s">
        <v>67</v>
      </c>
      <c r="C73" s="309">
        <f>SUM(C70:C72)</f>
        <v>232883084</v>
      </c>
      <c r="D73" s="309">
        <f>SUM(D70:D72)</f>
        <v>209588766</v>
      </c>
      <c r="E73" s="309">
        <f>D73-C73</f>
        <v>-23294318</v>
      </c>
      <c r="F73" s="310">
        <f>IF(C73=0,0,E73/C73)</f>
        <v>-0.10002580522336264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491042000</v>
      </c>
      <c r="D75" s="309">
        <f>D56+D65+D67+D73</f>
        <v>501036574</v>
      </c>
      <c r="E75" s="309">
        <f>D75-C75</f>
        <v>9994574</v>
      </c>
      <c r="F75" s="310">
        <f>IF(C75=0,0,E75/C75)</f>
        <v>2.0353806802676757E-2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1" fitToHeight="2" orientation="portrait" horizontalDpi="1200" verticalDpi="1200" r:id="rId1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862643115</v>
      </c>
      <c r="D11" s="76">
        <v>902315375</v>
      </c>
      <c r="E11" s="76">
        <f t="shared" ref="E11:E20" si="0">D11-C11</f>
        <v>39672260</v>
      </c>
      <c r="F11" s="77">
        <f t="shared" ref="F11:F20" si="1">IF(C11=0,0,E11/C11)</f>
        <v>4.5989192181751778E-2</v>
      </c>
    </row>
    <row r="12" spans="1:7" ht="23.1" customHeight="1" x14ac:dyDescent="0.2">
      <c r="A12" s="74">
        <v>2</v>
      </c>
      <c r="B12" s="75" t="s">
        <v>72</v>
      </c>
      <c r="C12" s="76">
        <v>508692529</v>
      </c>
      <c r="D12" s="76">
        <v>526548154</v>
      </c>
      <c r="E12" s="76">
        <f t="shared" si="0"/>
        <v>17855625</v>
      </c>
      <c r="F12" s="77">
        <f t="shared" si="1"/>
        <v>3.5101016787293923E-2</v>
      </c>
    </row>
    <row r="13" spans="1:7" ht="23.1" customHeight="1" x14ac:dyDescent="0.2">
      <c r="A13" s="74">
        <v>3</v>
      </c>
      <c r="B13" s="75" t="s">
        <v>73</v>
      </c>
      <c r="C13" s="76">
        <v>9706868</v>
      </c>
      <c r="D13" s="76">
        <v>10644417</v>
      </c>
      <c r="E13" s="76">
        <f t="shared" si="0"/>
        <v>937549</v>
      </c>
      <c r="F13" s="77">
        <f t="shared" si="1"/>
        <v>9.6586149105973212E-2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344243718</v>
      </c>
      <c r="D15" s="79">
        <f>D11-D12-D13-D14</f>
        <v>365122804</v>
      </c>
      <c r="E15" s="79">
        <f t="shared" si="0"/>
        <v>20879086</v>
      </c>
      <c r="F15" s="80">
        <f t="shared" si="1"/>
        <v>6.0652046524782191E-2</v>
      </c>
    </row>
    <row r="16" spans="1:7" ht="23.1" customHeight="1" x14ac:dyDescent="0.2">
      <c r="A16" s="74">
        <v>5</v>
      </c>
      <c r="B16" s="75" t="s">
        <v>76</v>
      </c>
      <c r="C16" s="76">
        <v>5091859</v>
      </c>
      <c r="D16" s="76">
        <v>6729060</v>
      </c>
      <c r="E16" s="76">
        <f t="shared" si="0"/>
        <v>1637201</v>
      </c>
      <c r="F16" s="77">
        <f t="shared" si="1"/>
        <v>0.32153305894762602</v>
      </c>
      <c r="G16" s="65"/>
    </row>
    <row r="17" spans="1:7" ht="31.5" customHeight="1" x14ac:dyDescent="0.25">
      <c r="A17" s="71"/>
      <c r="B17" s="81" t="s">
        <v>77</v>
      </c>
      <c r="C17" s="79">
        <f>C15-C16</f>
        <v>339151859</v>
      </c>
      <c r="D17" s="79">
        <f>D15-D16</f>
        <v>358393744</v>
      </c>
      <c r="E17" s="79">
        <f t="shared" si="0"/>
        <v>19241885</v>
      </c>
      <c r="F17" s="80">
        <f t="shared" si="1"/>
        <v>5.6735307471807196E-2</v>
      </c>
    </row>
    <row r="18" spans="1:7" ht="23.1" customHeight="1" x14ac:dyDescent="0.2">
      <c r="A18" s="74">
        <v>6</v>
      </c>
      <c r="B18" s="75" t="s">
        <v>78</v>
      </c>
      <c r="C18" s="76">
        <v>12859961</v>
      </c>
      <c r="D18" s="76">
        <v>14044938</v>
      </c>
      <c r="E18" s="76">
        <f t="shared" si="0"/>
        <v>1184977</v>
      </c>
      <c r="F18" s="77">
        <f t="shared" si="1"/>
        <v>9.2144680687600844E-2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1128658</v>
      </c>
      <c r="D19" s="76">
        <v>978222</v>
      </c>
      <c r="E19" s="76">
        <f t="shared" si="0"/>
        <v>-150436</v>
      </c>
      <c r="F19" s="77">
        <f t="shared" si="1"/>
        <v>-0.13328749718692465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353140478</v>
      </c>
      <c r="D20" s="79">
        <f>SUM(D17:D19)</f>
        <v>373416904</v>
      </c>
      <c r="E20" s="79">
        <f t="shared" si="0"/>
        <v>20276426</v>
      </c>
      <c r="F20" s="80">
        <f t="shared" si="1"/>
        <v>5.7417450740382132E-2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143128082</v>
      </c>
      <c r="D23" s="76">
        <v>137133609</v>
      </c>
      <c r="E23" s="76">
        <f t="shared" ref="E23:E32" si="2">D23-C23</f>
        <v>-5994473</v>
      </c>
      <c r="F23" s="77">
        <f t="shared" ref="F23:F32" si="3">IF(C23=0,0,E23/C23)</f>
        <v>-4.188187891737416E-2</v>
      </c>
    </row>
    <row r="24" spans="1:7" ht="23.1" customHeight="1" x14ac:dyDescent="0.2">
      <c r="A24" s="74">
        <v>2</v>
      </c>
      <c r="B24" s="75" t="s">
        <v>83</v>
      </c>
      <c r="C24" s="76">
        <v>44904382</v>
      </c>
      <c r="D24" s="76">
        <v>39773316</v>
      </c>
      <c r="E24" s="76">
        <f t="shared" si="2"/>
        <v>-5131066</v>
      </c>
      <c r="F24" s="77">
        <f t="shared" si="3"/>
        <v>-0.11426648739982659</v>
      </c>
    </row>
    <row r="25" spans="1:7" ht="23.1" customHeight="1" x14ac:dyDescent="0.2">
      <c r="A25" s="74">
        <v>3</v>
      </c>
      <c r="B25" s="75" t="s">
        <v>84</v>
      </c>
      <c r="C25" s="76">
        <v>10255000</v>
      </c>
      <c r="D25" s="76">
        <v>11245852</v>
      </c>
      <c r="E25" s="76">
        <f t="shared" si="2"/>
        <v>990852</v>
      </c>
      <c r="F25" s="77">
        <f t="shared" si="3"/>
        <v>9.66213554363725E-2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50092663</v>
      </c>
      <c r="D26" s="76">
        <v>51673689</v>
      </c>
      <c r="E26" s="76">
        <f t="shared" si="2"/>
        <v>1581026</v>
      </c>
      <c r="F26" s="77">
        <f t="shared" si="3"/>
        <v>3.1562027357180035E-2</v>
      </c>
    </row>
    <row r="27" spans="1:7" ht="23.1" customHeight="1" x14ac:dyDescent="0.2">
      <c r="A27" s="74">
        <v>5</v>
      </c>
      <c r="B27" s="75" t="s">
        <v>86</v>
      </c>
      <c r="C27" s="76">
        <v>19771100</v>
      </c>
      <c r="D27" s="76">
        <v>20729792</v>
      </c>
      <c r="E27" s="76">
        <f t="shared" si="2"/>
        <v>958692</v>
      </c>
      <c r="F27" s="77">
        <f t="shared" si="3"/>
        <v>4.8489563049096913E-2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1838883</v>
      </c>
      <c r="D29" s="76">
        <v>3138704</v>
      </c>
      <c r="E29" s="76">
        <f t="shared" si="2"/>
        <v>1299821</v>
      </c>
      <c r="F29" s="77">
        <f t="shared" si="3"/>
        <v>0.70685356273346378</v>
      </c>
    </row>
    <row r="30" spans="1:7" ht="23.1" customHeight="1" x14ac:dyDescent="0.2">
      <c r="A30" s="74">
        <v>8</v>
      </c>
      <c r="B30" s="75" t="s">
        <v>89</v>
      </c>
      <c r="C30" s="76">
        <v>3527444</v>
      </c>
      <c r="D30" s="76">
        <v>7527635</v>
      </c>
      <c r="E30" s="76">
        <f t="shared" si="2"/>
        <v>4000191</v>
      </c>
      <c r="F30" s="77">
        <f t="shared" si="3"/>
        <v>1.1340197037855173</v>
      </c>
    </row>
    <row r="31" spans="1:7" ht="23.1" customHeight="1" x14ac:dyDescent="0.2">
      <c r="A31" s="74">
        <v>9</v>
      </c>
      <c r="B31" s="75" t="s">
        <v>90</v>
      </c>
      <c r="C31" s="76">
        <v>82643143</v>
      </c>
      <c r="D31" s="76">
        <v>94841168</v>
      </c>
      <c r="E31" s="76">
        <f t="shared" si="2"/>
        <v>12198025</v>
      </c>
      <c r="F31" s="77">
        <f t="shared" si="3"/>
        <v>0.14759875480534423</v>
      </c>
    </row>
    <row r="32" spans="1:7" ht="23.1" customHeight="1" x14ac:dyDescent="0.25">
      <c r="A32" s="71"/>
      <c r="B32" s="78" t="s">
        <v>91</v>
      </c>
      <c r="C32" s="79">
        <f>SUM(C23:C31)</f>
        <v>356160697</v>
      </c>
      <c r="D32" s="79">
        <f>SUM(D23:D31)</f>
        <v>366063765</v>
      </c>
      <c r="E32" s="79">
        <f t="shared" si="2"/>
        <v>9903068</v>
      </c>
      <c r="F32" s="80">
        <f t="shared" si="3"/>
        <v>2.7805055648798892E-2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-3020219</v>
      </c>
      <c r="D34" s="79">
        <f>+D20-D32</f>
        <v>7353139</v>
      </c>
      <c r="E34" s="79">
        <f>D34-C34</f>
        <v>10373358</v>
      </c>
      <c r="F34" s="80">
        <f>IF(C34=0,0,E34/C34)</f>
        <v>-3.4346376868697268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913543</v>
      </c>
      <c r="D37" s="76">
        <v>-854039</v>
      </c>
      <c r="E37" s="76">
        <f>D37-C37</f>
        <v>-1767582</v>
      </c>
      <c r="F37" s="77">
        <f>IF(C37=0,0,E37/C37)</f>
        <v>-1.9348645876548778</v>
      </c>
    </row>
    <row r="38" spans="1:6" ht="23.1" customHeight="1" x14ac:dyDescent="0.2">
      <c r="A38" s="85">
        <v>2</v>
      </c>
      <c r="B38" s="75" t="s">
        <v>95</v>
      </c>
      <c r="C38" s="76">
        <v>34859</v>
      </c>
      <c r="D38" s="76">
        <v>56609</v>
      </c>
      <c r="E38" s="76">
        <f>D38-C38</f>
        <v>21750</v>
      </c>
      <c r="F38" s="77">
        <f>IF(C38=0,0,E38/C38)</f>
        <v>0.62394216701569183</v>
      </c>
    </row>
    <row r="39" spans="1:6" ht="23.1" customHeight="1" x14ac:dyDescent="0.2">
      <c r="A39" s="85">
        <v>3</v>
      </c>
      <c r="B39" s="75" t="s">
        <v>96</v>
      </c>
      <c r="C39" s="76">
        <v>-2091222</v>
      </c>
      <c r="D39" s="76">
        <v>12680857</v>
      </c>
      <c r="E39" s="76">
        <f>D39-C39</f>
        <v>14772079</v>
      </c>
      <c r="F39" s="77">
        <f>IF(C39=0,0,E39/C39)</f>
        <v>-7.0638502272833774</v>
      </c>
    </row>
    <row r="40" spans="1:6" ht="23.1" customHeight="1" x14ac:dyDescent="0.25">
      <c r="A40" s="83"/>
      <c r="B40" s="78" t="s">
        <v>97</v>
      </c>
      <c r="C40" s="79">
        <f>SUM(C37:C39)</f>
        <v>-1142820</v>
      </c>
      <c r="D40" s="79">
        <f>SUM(D37:D39)</f>
        <v>11883427</v>
      </c>
      <c r="E40" s="79">
        <f>D40-C40</f>
        <v>13026247</v>
      </c>
      <c r="F40" s="80">
        <f>IF(C40=0,0,E40/C40)</f>
        <v>-11.398336570938556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-4163039</v>
      </c>
      <c r="D42" s="79">
        <f>D34+D40</f>
        <v>19236566</v>
      </c>
      <c r="E42" s="79">
        <f>D42-C42</f>
        <v>23399605</v>
      </c>
      <c r="F42" s="80">
        <f>IF(C42=0,0,E42/C42)</f>
        <v>-5.6207988923476337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-4163039</v>
      </c>
      <c r="D49" s="79">
        <f>D42+D47</f>
        <v>19236566</v>
      </c>
      <c r="E49" s="79">
        <f>D49-C49</f>
        <v>23399605</v>
      </c>
      <c r="F49" s="80">
        <f>IF(C49=0,0,E49/C49)</f>
        <v>-5.6207988923476337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68" orientation="portrait" horizontalDpi="1200" verticalDpi="1200" r:id="rId1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265</vt:i4>
      </vt:variant>
    </vt:vector>
  </HeadingPairs>
  <TitlesOfParts>
    <vt:vector size="284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Report500!Print_Area</vt:lpstr>
      <vt:lpstr>Report550!Print_Area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2017-09-15T17:29:21Z</dcterms:created>
  <dcterms:modified xsi:type="dcterms:W3CDTF">2017-09-20T14:17:19Z</dcterms:modified>
</cp:coreProperties>
</file>