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3095" windowHeight="1320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E88" i="22"/>
  <c r="D87" i="22"/>
  <c r="C87" i="22"/>
  <c r="E86" i="22"/>
  <c r="D86" i="22"/>
  <c r="D88" i="22"/>
  <c r="C86" i="22"/>
  <c r="C88" i="22"/>
  <c r="E83" i="22"/>
  <c r="D83" i="22"/>
  <c r="C83" i="22"/>
  <c r="E76" i="22"/>
  <c r="D76" i="22"/>
  <c r="D102" i="22"/>
  <c r="C76" i="22"/>
  <c r="E75" i="22"/>
  <c r="E101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E17" i="21"/>
  <c r="F17" i="21"/>
  <c r="F15" i="21"/>
  <c r="E15" i="21"/>
  <c r="D45" i="20"/>
  <c r="C45" i="20"/>
  <c r="D44" i="20"/>
  <c r="C44" i="20"/>
  <c r="D43" i="20"/>
  <c r="D46" i="20"/>
  <c r="C43" i="20"/>
  <c r="D36" i="20"/>
  <c r="D40" i="20"/>
  <c r="C36" i="20"/>
  <c r="E35" i="20"/>
  <c r="F35" i="20"/>
  <c r="E34" i="20"/>
  <c r="F34" i="20"/>
  <c r="E33" i="20"/>
  <c r="F33" i="20"/>
  <c r="E30" i="20"/>
  <c r="F30" i="20"/>
  <c r="E29" i="20"/>
  <c r="F29" i="20"/>
  <c r="E28" i="20"/>
  <c r="F28" i="20"/>
  <c r="E27" i="20"/>
  <c r="F27" i="20"/>
  <c r="D25" i="20"/>
  <c r="D39" i="20"/>
  <c r="C25" i="20"/>
  <c r="E24" i="20"/>
  <c r="F24" i="20"/>
  <c r="E23" i="20"/>
  <c r="F23" i="20"/>
  <c r="E22" i="20"/>
  <c r="F22" i="20"/>
  <c r="D19" i="20"/>
  <c r="D20" i="20"/>
  <c r="C19" i="20"/>
  <c r="E18" i="20"/>
  <c r="F18" i="20"/>
  <c r="D16" i="20"/>
  <c r="C16" i="20"/>
  <c r="E15" i="20"/>
  <c r="F15" i="20"/>
  <c r="E13" i="20"/>
  <c r="F13" i="20"/>
  <c r="E12" i="20"/>
  <c r="F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59" i="19"/>
  <c r="C60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C292" i="18"/>
  <c r="E292" i="18"/>
  <c r="D291" i="18"/>
  <c r="E291" i="18"/>
  <c r="C291" i="18"/>
  <c r="D290" i="18"/>
  <c r="E290" i="18"/>
  <c r="C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E280" i="18"/>
  <c r="C280" i="18"/>
  <c r="D279" i="18"/>
  <c r="C279" i="18"/>
  <c r="E279" i="18"/>
  <c r="D278" i="18"/>
  <c r="E278" i="18"/>
  <c r="C278" i="18"/>
  <c r="D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E233" i="18"/>
  <c r="D232" i="18"/>
  <c r="E232" i="18"/>
  <c r="C232" i="18"/>
  <c r="D231" i="18"/>
  <c r="C231" i="18"/>
  <c r="D230" i="18"/>
  <c r="C230" i="18"/>
  <c r="E230" i="18"/>
  <c r="D228" i="18"/>
  <c r="E228" i="18"/>
  <c r="C228" i="18"/>
  <c r="D227" i="18"/>
  <c r="E227" i="18"/>
  <c r="C227" i="18"/>
  <c r="D221" i="18"/>
  <c r="D245" i="18"/>
  <c r="E245" i="18"/>
  <c r="C221" i="18"/>
  <c r="C245" i="18"/>
  <c r="D220" i="18"/>
  <c r="E220" i="18"/>
  <c r="C220" i="18"/>
  <c r="C244" i="18"/>
  <c r="D219" i="18"/>
  <c r="D243" i="18"/>
  <c r="E243" i="18"/>
  <c r="C219" i="18"/>
  <c r="C217" i="18"/>
  <c r="C243" i="18"/>
  <c r="D218" i="18"/>
  <c r="E218" i="18"/>
  <c r="C218" i="18"/>
  <c r="C242" i="18"/>
  <c r="D217" i="18"/>
  <c r="D216" i="18"/>
  <c r="C216" i="18"/>
  <c r="C240" i="18"/>
  <c r="D215" i="18"/>
  <c r="D239" i="18"/>
  <c r="C215" i="18"/>
  <c r="C239" i="18"/>
  <c r="E209" i="18"/>
  <c r="E208" i="18"/>
  <c r="E207" i="18"/>
  <c r="E206" i="18"/>
  <c r="D205" i="18"/>
  <c r="D210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E188" i="18"/>
  <c r="D261" i="18"/>
  <c r="C188" i="18"/>
  <c r="E186" i="18"/>
  <c r="E185" i="18"/>
  <c r="D179" i="18"/>
  <c r="E179" i="18"/>
  <c r="C179" i="18"/>
  <c r="D178" i="18"/>
  <c r="E178" i="18"/>
  <c r="C178" i="18"/>
  <c r="D177" i="18"/>
  <c r="E177" i="18"/>
  <c r="C177" i="18"/>
  <c r="D176" i="18"/>
  <c r="C176" i="18"/>
  <c r="E176" i="18"/>
  <c r="D174" i="18"/>
  <c r="C174" i="18"/>
  <c r="E174" i="18"/>
  <c r="D173" i="18"/>
  <c r="C173" i="18"/>
  <c r="E173" i="18"/>
  <c r="D167" i="18"/>
  <c r="E167" i="18"/>
  <c r="C167" i="18"/>
  <c r="D166" i="18"/>
  <c r="C166" i="18"/>
  <c r="D165" i="18"/>
  <c r="E165" i="18"/>
  <c r="C165" i="18"/>
  <c r="D164" i="18"/>
  <c r="E164" i="18"/>
  <c r="C164" i="18"/>
  <c r="D162" i="18"/>
  <c r="C162" i="18"/>
  <c r="E162" i="18"/>
  <c r="D161" i="18"/>
  <c r="E161" i="18"/>
  <c r="C161" i="18"/>
  <c r="E155" i="18"/>
  <c r="E154" i="18"/>
  <c r="E153" i="18"/>
  <c r="E152" i="18"/>
  <c r="D151" i="18"/>
  <c r="D156" i="18"/>
  <c r="C151" i="18"/>
  <c r="C156" i="18"/>
  <c r="C157" i="18"/>
  <c r="E150" i="18"/>
  <c r="E149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E74" i="18"/>
  <c r="C74" i="18"/>
  <c r="D73" i="18"/>
  <c r="E73" i="18"/>
  <c r="C73" i="18"/>
  <c r="D72" i="18"/>
  <c r="C72" i="18"/>
  <c r="E72" i="18"/>
  <c r="D70" i="18"/>
  <c r="C70" i="18"/>
  <c r="D69" i="18"/>
  <c r="E69" i="18"/>
  <c r="C69" i="18"/>
  <c r="E64" i="18"/>
  <c r="E63" i="18"/>
  <c r="E62" i="18"/>
  <c r="E61" i="18"/>
  <c r="D60" i="18"/>
  <c r="D289" i="18"/>
  <c r="C60" i="18"/>
  <c r="C289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C39" i="18"/>
  <c r="E39" i="18"/>
  <c r="D38" i="18"/>
  <c r="C38" i="18"/>
  <c r="D37" i="18"/>
  <c r="D43" i="18"/>
  <c r="D44" i="18"/>
  <c r="C37" i="18"/>
  <c r="C43" i="18"/>
  <c r="D36" i="18"/>
  <c r="C36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/>
  <c r="E332" i="17"/>
  <c r="F332" i="17"/>
  <c r="E331" i="17"/>
  <c r="F331" i="17"/>
  <c r="E330" i="17"/>
  <c r="F330" i="17"/>
  <c r="E329" i="17"/>
  <c r="F329" i="17"/>
  <c r="F316" i="17"/>
  <c r="E316" i="17"/>
  <c r="D311" i="17"/>
  <c r="E311" i="17"/>
  <c r="C311" i="17"/>
  <c r="F311" i="17"/>
  <c r="E308" i="17"/>
  <c r="F308" i="17"/>
  <c r="D307" i="17"/>
  <c r="E307" i="17"/>
  <c r="C307" i="17"/>
  <c r="F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F249" i="17"/>
  <c r="E249" i="17"/>
  <c r="F248" i="17"/>
  <c r="E248" i="17"/>
  <c r="F245" i="17"/>
  <c r="E245" i="17"/>
  <c r="E244" i="17"/>
  <c r="F244" i="17"/>
  <c r="F243" i="17"/>
  <c r="E243" i="17"/>
  <c r="D238" i="17"/>
  <c r="C238" i="17"/>
  <c r="C239" i="17"/>
  <c r="D237" i="17"/>
  <c r="D239" i="17"/>
  <c r="C237" i="17"/>
  <c r="F234" i="17"/>
  <c r="E234" i="17"/>
  <c r="E233" i="17"/>
  <c r="F233" i="17"/>
  <c r="D230" i="17"/>
  <c r="C230" i="17"/>
  <c r="E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D191" i="17"/>
  <c r="D280" i="17"/>
  <c r="C191" i="17"/>
  <c r="C280" i="17"/>
  <c r="D189" i="17"/>
  <c r="D278" i="17"/>
  <c r="C189" i="17"/>
  <c r="C278" i="17"/>
  <c r="D188" i="17"/>
  <c r="D277" i="17"/>
  <c r="C188" i="17"/>
  <c r="C277" i="17"/>
  <c r="D180" i="17"/>
  <c r="C180" i="17"/>
  <c r="F180" i="17"/>
  <c r="D179" i="17"/>
  <c r="E179" i="17"/>
  <c r="C179" i="17"/>
  <c r="F179" i="17"/>
  <c r="F171" i="17"/>
  <c r="D171" i="17"/>
  <c r="E171" i="17"/>
  <c r="C171" i="17"/>
  <c r="C172" i="17"/>
  <c r="C173" i="17"/>
  <c r="F173" i="17"/>
  <c r="D170" i="17"/>
  <c r="E170" i="17"/>
  <c r="C170" i="17"/>
  <c r="F170" i="17"/>
  <c r="F169" i="17"/>
  <c r="E169" i="17"/>
  <c r="F168" i="17"/>
  <c r="E168" i="17"/>
  <c r="D165" i="17"/>
  <c r="E165" i="17"/>
  <c r="C165" i="17"/>
  <c r="F165" i="17"/>
  <c r="D164" i="17"/>
  <c r="E164" i="17"/>
  <c r="C164" i="17"/>
  <c r="F164" i="17"/>
  <c r="F163" i="17"/>
  <c r="E163" i="17"/>
  <c r="D158" i="17"/>
  <c r="E158" i="17"/>
  <c r="C158" i="17"/>
  <c r="C159" i="17"/>
  <c r="F159" i="17"/>
  <c r="F157" i="17"/>
  <c r="E157" i="17"/>
  <c r="F156" i="17"/>
  <c r="E156" i="17"/>
  <c r="D155" i="17"/>
  <c r="E155" i="17"/>
  <c r="C155" i="17"/>
  <c r="F155" i="17"/>
  <c r="F154" i="17"/>
  <c r="E154" i="17"/>
  <c r="F153" i="17"/>
  <c r="E153" i="17"/>
  <c r="D145" i="17"/>
  <c r="E145" i="17"/>
  <c r="C145" i="17"/>
  <c r="F145" i="17"/>
  <c r="D144" i="17"/>
  <c r="D146" i="17"/>
  <c r="C144" i="17"/>
  <c r="C146" i="17"/>
  <c r="D136" i="17"/>
  <c r="D137" i="17"/>
  <c r="C136" i="17"/>
  <c r="C137" i="17"/>
  <c r="D135" i="17"/>
  <c r="E135" i="17"/>
  <c r="C135" i="17"/>
  <c r="F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E110" i="17"/>
  <c r="F110" i="17"/>
  <c r="C110" i="17"/>
  <c r="D109" i="17"/>
  <c r="D111" i="17"/>
  <c r="E111" i="17"/>
  <c r="C109" i="17"/>
  <c r="C111" i="17"/>
  <c r="D101" i="17"/>
  <c r="D102" i="17"/>
  <c r="C101" i="17"/>
  <c r="C102" i="17"/>
  <c r="D100" i="17"/>
  <c r="E100" i="17"/>
  <c r="C100" i="17"/>
  <c r="E99" i="17"/>
  <c r="F99" i="17"/>
  <c r="E98" i="17"/>
  <c r="F98" i="17"/>
  <c r="D95" i="17"/>
  <c r="E95" i="17"/>
  <c r="C95" i="17"/>
  <c r="D94" i="17"/>
  <c r="E94" i="17"/>
  <c r="C94" i="17"/>
  <c r="F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E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5" i="16"/>
  <c r="E25" i="16"/>
  <c r="C25" i="16"/>
  <c r="F25" i="16"/>
  <c r="E24" i="16"/>
  <c r="F24" i="16"/>
  <c r="D21" i="16"/>
  <c r="E21" i="16"/>
  <c r="C21" i="16"/>
  <c r="F20" i="16"/>
  <c r="E20" i="16"/>
  <c r="F19" i="16"/>
  <c r="E19" i="16"/>
  <c r="F18" i="16"/>
  <c r="E18" i="16"/>
  <c r="D15" i="16"/>
  <c r="C15" i="16"/>
  <c r="E15" i="16"/>
  <c r="F15" i="16"/>
  <c r="F14" i="16"/>
  <c r="E14" i="16"/>
  <c r="F13" i="16"/>
  <c r="E13" i="16"/>
  <c r="E12" i="16"/>
  <c r="F12" i="16"/>
  <c r="D107" i="15"/>
  <c r="C107" i="15"/>
  <c r="E106" i="15"/>
  <c r="F106" i="15"/>
  <c r="E105" i="15"/>
  <c r="F105" i="15"/>
  <c r="E104" i="15"/>
  <c r="F104" i="15"/>
  <c r="D100" i="15"/>
  <c r="C100" i="15"/>
  <c r="E99" i="15"/>
  <c r="F99" i="15"/>
  <c r="E98" i="15"/>
  <c r="F98" i="15"/>
  <c r="E97" i="15"/>
  <c r="F97" i="15"/>
  <c r="E96" i="15"/>
  <c r="F96" i="15"/>
  <c r="E95" i="15"/>
  <c r="F95" i="15"/>
  <c r="D92" i="15"/>
  <c r="C92" i="15"/>
  <c r="E91" i="15"/>
  <c r="F91" i="15"/>
  <c r="E90" i="15"/>
  <c r="F90" i="15"/>
  <c r="F89" i="15"/>
  <c r="E89" i="15"/>
  <c r="F88" i="15"/>
  <c r="E88" i="15"/>
  <c r="F87" i="15"/>
  <c r="E87" i="15"/>
  <c r="F86" i="15"/>
  <c r="E86" i="15"/>
  <c r="E85" i="15"/>
  <c r="F85" i="15"/>
  <c r="F84" i="15"/>
  <c r="E84" i="15"/>
  <c r="F83" i="15"/>
  <c r="E83" i="15"/>
  <c r="F82" i="15"/>
  <c r="E82" i="15"/>
  <c r="E81" i="15"/>
  <c r="F81" i="15"/>
  <c r="E80" i="15"/>
  <c r="F80" i="15"/>
  <c r="F79" i="15"/>
  <c r="E79" i="15"/>
  <c r="D75" i="15"/>
  <c r="C75" i="15"/>
  <c r="E74" i="15"/>
  <c r="F74" i="15"/>
  <c r="E73" i="15"/>
  <c r="F73" i="15"/>
  <c r="D70" i="15"/>
  <c r="C70" i="15"/>
  <c r="E69" i="15"/>
  <c r="F69" i="15"/>
  <c r="E68" i="15"/>
  <c r="F68" i="15"/>
  <c r="D65" i="15"/>
  <c r="C65" i="15"/>
  <c r="E64" i="15"/>
  <c r="F64" i="15"/>
  <c r="E63" i="15"/>
  <c r="F63" i="15"/>
  <c r="D60" i="15"/>
  <c r="C60" i="15"/>
  <c r="E59" i="15"/>
  <c r="F59" i="15"/>
  <c r="E58" i="15"/>
  <c r="F58" i="15"/>
  <c r="D55" i="15"/>
  <c r="C55" i="15"/>
  <c r="E54" i="15"/>
  <c r="F54" i="15"/>
  <c r="E53" i="15"/>
  <c r="F53" i="15"/>
  <c r="D50" i="15"/>
  <c r="C50" i="15"/>
  <c r="E49" i="15"/>
  <c r="F49" i="15"/>
  <c r="E48" i="15"/>
  <c r="F48" i="15"/>
  <c r="D45" i="15"/>
  <c r="C45" i="15"/>
  <c r="E44" i="15"/>
  <c r="F44" i="15"/>
  <c r="E43" i="15"/>
  <c r="F43" i="15"/>
  <c r="D37" i="15"/>
  <c r="C37" i="15"/>
  <c r="F36" i="15"/>
  <c r="E36" i="15"/>
  <c r="F35" i="15"/>
  <c r="E35" i="15"/>
  <c r="E34" i="15"/>
  <c r="F34" i="15"/>
  <c r="E33" i="15"/>
  <c r="F33" i="15"/>
  <c r="D30" i="15"/>
  <c r="C30" i="15"/>
  <c r="F29" i="15"/>
  <c r="E29" i="15"/>
  <c r="F28" i="15"/>
  <c r="E28" i="15"/>
  <c r="E27" i="15"/>
  <c r="F27" i="15"/>
  <c r="E26" i="15"/>
  <c r="F26" i="15"/>
  <c r="D23" i="15"/>
  <c r="C23" i="15"/>
  <c r="F22" i="15"/>
  <c r="E22" i="15"/>
  <c r="E21" i="15"/>
  <c r="F21" i="15"/>
  <c r="E20" i="15"/>
  <c r="F20" i="15"/>
  <c r="E19" i="15"/>
  <c r="F19" i="15"/>
  <c r="D16" i="15"/>
  <c r="C16" i="15"/>
  <c r="F15" i="15"/>
  <c r="E15" i="15"/>
  <c r="E14" i="15"/>
  <c r="F14" i="15"/>
  <c r="E13" i="15"/>
  <c r="F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E80" i="13"/>
  <c r="E77" i="13"/>
  <c r="D79" i="13"/>
  <c r="C79" i="13"/>
  <c r="E78" i="13"/>
  <c r="D78" i="13"/>
  <c r="D80" i="13"/>
  <c r="D77" i="13"/>
  <c r="C78" i="13"/>
  <c r="C80" i="13"/>
  <c r="C77" i="13"/>
  <c r="D75" i="13"/>
  <c r="E73" i="13"/>
  <c r="E75" i="13"/>
  <c r="D73" i="13"/>
  <c r="C73" i="13"/>
  <c r="C75" i="13"/>
  <c r="E71" i="13"/>
  <c r="D71" i="13"/>
  <c r="C71" i="13"/>
  <c r="E66" i="13"/>
  <c r="E65" i="13"/>
  <c r="D66" i="13"/>
  <c r="D65" i="13"/>
  <c r="C66" i="13"/>
  <c r="C65" i="13"/>
  <c r="E60" i="13"/>
  <c r="D60" i="13"/>
  <c r="C60" i="13"/>
  <c r="D59" i="13"/>
  <c r="D61" i="13"/>
  <c r="D57" i="13"/>
  <c r="E58" i="13"/>
  <c r="D58" i="13"/>
  <c r="C58" i="13"/>
  <c r="E55" i="13"/>
  <c r="D55" i="13"/>
  <c r="C55" i="13"/>
  <c r="C50" i="13"/>
  <c r="E54" i="13"/>
  <c r="D54" i="13"/>
  <c r="C54" i="13"/>
  <c r="E50" i="13"/>
  <c r="D48" i="13"/>
  <c r="D42" i="13"/>
  <c r="E46" i="13"/>
  <c r="E59" i="13"/>
  <c r="E61" i="13"/>
  <c r="E57" i="13"/>
  <c r="D46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D25" i="13"/>
  <c r="D27" i="13"/>
  <c r="D15" i="13"/>
  <c r="D24" i="13"/>
  <c r="E13" i="13"/>
  <c r="E25" i="13"/>
  <c r="E27" i="13"/>
  <c r="D13" i="13"/>
  <c r="C13" i="13"/>
  <c r="C25" i="13"/>
  <c r="C27" i="13"/>
  <c r="D47" i="12"/>
  <c r="C47" i="12"/>
  <c r="F46" i="12"/>
  <c r="E46" i="12"/>
  <c r="E45" i="12"/>
  <c r="F45" i="12"/>
  <c r="D40" i="12"/>
  <c r="C40" i="12"/>
  <c r="E39" i="12"/>
  <c r="F39" i="12"/>
  <c r="E38" i="12"/>
  <c r="F38" i="12"/>
  <c r="E37" i="12"/>
  <c r="F37" i="12"/>
  <c r="D32" i="12"/>
  <c r="C32" i="12"/>
  <c r="E31" i="12"/>
  <c r="F31" i="12"/>
  <c r="E30" i="12"/>
  <c r="F30" i="12"/>
  <c r="E29" i="12"/>
  <c r="F29" i="12"/>
  <c r="F28" i="12"/>
  <c r="E28" i="12"/>
  <c r="E27" i="12"/>
  <c r="F27" i="12"/>
  <c r="E26" i="12"/>
  <c r="F26" i="12"/>
  <c r="E25" i="12"/>
  <c r="F25" i="12"/>
  <c r="E24" i="12"/>
  <c r="F24" i="12"/>
  <c r="E23" i="12"/>
  <c r="F23" i="12"/>
  <c r="E19" i="12"/>
  <c r="F19" i="12"/>
  <c r="E18" i="12"/>
  <c r="F18" i="12"/>
  <c r="E16" i="12"/>
  <c r="F16" i="12"/>
  <c r="D15" i="12"/>
  <c r="D17" i="12"/>
  <c r="C15" i="12"/>
  <c r="F14" i="12"/>
  <c r="E14" i="12"/>
  <c r="E13" i="12"/>
  <c r="F13" i="12"/>
  <c r="E12" i="12"/>
  <c r="F12" i="12"/>
  <c r="E11" i="12"/>
  <c r="F11" i="12"/>
  <c r="D73" i="11"/>
  <c r="C73" i="11"/>
  <c r="E73" i="11"/>
  <c r="E72" i="11"/>
  <c r="F72" i="11"/>
  <c r="E71" i="11"/>
  <c r="F71" i="11"/>
  <c r="F70" i="11"/>
  <c r="E70" i="11"/>
  <c r="F67" i="11"/>
  <c r="E67" i="11"/>
  <c r="F64" i="11"/>
  <c r="E64" i="11"/>
  <c r="E63" i="11"/>
  <c r="F63" i="11"/>
  <c r="D61" i="11"/>
  <c r="D65" i="11"/>
  <c r="E65" i="11"/>
  <c r="C61" i="11"/>
  <c r="C65" i="11"/>
  <c r="C75" i="11"/>
  <c r="F60" i="11"/>
  <c r="E60" i="11"/>
  <c r="F59" i="11"/>
  <c r="E59" i="11"/>
  <c r="D56" i="11"/>
  <c r="D75" i="11"/>
  <c r="C56" i="11"/>
  <c r="E55" i="11"/>
  <c r="F55" i="11"/>
  <c r="F54" i="11"/>
  <c r="E54" i="11"/>
  <c r="F53" i="11"/>
  <c r="E53" i="11"/>
  <c r="F52" i="11"/>
  <c r="E52" i="11"/>
  <c r="E51" i="11"/>
  <c r="F51" i="11"/>
  <c r="E50" i="11"/>
  <c r="F50" i="11"/>
  <c r="A50" i="11"/>
  <c r="A51" i="11"/>
  <c r="A52" i="11"/>
  <c r="A53" i="11"/>
  <c r="A54" i="11"/>
  <c r="A55" i="11"/>
  <c r="F49" i="11"/>
  <c r="E49" i="11"/>
  <c r="E40" i="11"/>
  <c r="F40" i="11"/>
  <c r="D38" i="11"/>
  <c r="D41" i="11"/>
  <c r="C38" i="11"/>
  <c r="E37" i="11"/>
  <c r="F37" i="11"/>
  <c r="E36" i="11"/>
  <c r="F36" i="11"/>
  <c r="E33" i="11"/>
  <c r="F33" i="11"/>
  <c r="E32" i="11"/>
  <c r="F32" i="11"/>
  <c r="F31" i="11"/>
  <c r="E31" i="11"/>
  <c r="D29" i="11"/>
  <c r="D43" i="11"/>
  <c r="C29" i="11"/>
  <c r="E28" i="11"/>
  <c r="F28" i="11"/>
  <c r="E27" i="11"/>
  <c r="F27" i="11"/>
  <c r="F26" i="11"/>
  <c r="E26" i="11"/>
  <c r="E25" i="11"/>
  <c r="F25" i="11"/>
  <c r="D22" i="11"/>
  <c r="C22" i="11"/>
  <c r="E21" i="11"/>
  <c r="F21" i="11"/>
  <c r="E20" i="11"/>
  <c r="F20" i="11"/>
  <c r="E19" i="11"/>
  <c r="F19" i="11"/>
  <c r="F18" i="11"/>
  <c r="E18" i="11"/>
  <c r="F17" i="11"/>
  <c r="E17" i="11"/>
  <c r="E16" i="11"/>
  <c r="F16" i="11"/>
  <c r="E15" i="11"/>
  <c r="F15" i="11"/>
  <c r="F14" i="11"/>
  <c r="E14" i="11"/>
  <c r="E13" i="11"/>
  <c r="F13" i="11"/>
  <c r="F120" i="10"/>
  <c r="D120" i="10"/>
  <c r="E120" i="10"/>
  <c r="C120" i="10"/>
  <c r="D119" i="10"/>
  <c r="C119" i="10"/>
  <c r="F119" i="10"/>
  <c r="D118" i="10"/>
  <c r="E118" i="10"/>
  <c r="C118" i="10"/>
  <c r="F118" i="10"/>
  <c r="D117" i="10"/>
  <c r="C117" i="10"/>
  <c r="F117" i="10"/>
  <c r="F116" i="10"/>
  <c r="D116" i="10"/>
  <c r="C116" i="10"/>
  <c r="E116" i="10"/>
  <c r="F115" i="10"/>
  <c r="D115" i="10"/>
  <c r="C115" i="10"/>
  <c r="D114" i="10"/>
  <c r="E114" i="10"/>
  <c r="C114" i="10"/>
  <c r="C121" i="10"/>
  <c r="F121" i="10"/>
  <c r="D113" i="10"/>
  <c r="D122" i="10"/>
  <c r="E122" i="10"/>
  <c r="C113" i="10"/>
  <c r="C122" i="10"/>
  <c r="F122" i="10"/>
  <c r="F112" i="10"/>
  <c r="D112" i="10"/>
  <c r="D121" i="10"/>
  <c r="C112" i="10"/>
  <c r="D108" i="10"/>
  <c r="E108" i="10"/>
  <c r="C108" i="10"/>
  <c r="F108" i="10"/>
  <c r="D107" i="10"/>
  <c r="C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D95" i="10"/>
  <c r="E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E84" i="10"/>
  <c r="D83" i="10"/>
  <c r="E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/>
  <c r="D59" i="10"/>
  <c r="C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E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E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/>
  <c r="C199" i="9"/>
  <c r="D198" i="9"/>
  <c r="D207" i="9"/>
  <c r="C198" i="9"/>
  <c r="D193" i="9"/>
  <c r="C193" i="9"/>
  <c r="F193" i="9"/>
  <c r="D192" i="9"/>
  <c r="C192" i="9"/>
  <c r="F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/>
  <c r="D140" i="9"/>
  <c r="C140" i="9"/>
  <c r="F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C102" i="9"/>
  <c r="D101" i="9"/>
  <c r="C101" i="9"/>
  <c r="E100" i="9"/>
  <c r="F100" i="9"/>
  <c r="E99" i="9"/>
  <c r="F99" i="9"/>
  <c r="E98" i="9"/>
  <c r="F98" i="9"/>
  <c r="E97" i="9"/>
  <c r="F97" i="9"/>
  <c r="E96" i="9"/>
  <c r="F96" i="9"/>
  <c r="E95" i="9"/>
  <c r="F95" i="9"/>
  <c r="E94" i="9"/>
  <c r="F94" i="9"/>
  <c r="E93" i="9"/>
  <c r="F93" i="9"/>
  <c r="E92" i="9"/>
  <c r="F92" i="9"/>
  <c r="D89" i="9"/>
  <c r="C89" i="9"/>
  <c r="F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E67" i="9"/>
  <c r="F67" i="9"/>
  <c r="E66" i="9"/>
  <c r="F66" i="9"/>
  <c r="D63" i="9"/>
  <c r="C63" i="9"/>
  <c r="F63" i="9"/>
  <c r="D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/>
  <c r="E47" i="9"/>
  <c r="F47" i="9"/>
  <c r="E46" i="9"/>
  <c r="F46" i="9"/>
  <c r="E45" i="9"/>
  <c r="F45" i="9"/>
  <c r="E44" i="9"/>
  <c r="F44" i="9"/>
  <c r="E43" i="9"/>
  <c r="F43" i="9"/>
  <c r="E42" i="9"/>
  <c r="F42" i="9"/>
  <c r="E41" i="9"/>
  <c r="F41" i="9"/>
  <c r="E40" i="9"/>
  <c r="F40" i="9"/>
  <c r="D37" i="9"/>
  <c r="C37" i="9"/>
  <c r="F37" i="9"/>
  <c r="D36" i="9"/>
  <c r="C36" i="9"/>
  <c r="F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E22" i="9"/>
  <c r="F22" i="9"/>
  <c r="E21" i="9"/>
  <c r="F21" i="9"/>
  <c r="E20" i="9"/>
  <c r="F20" i="9"/>
  <c r="E19" i="9"/>
  <c r="F19" i="9"/>
  <c r="E18" i="9"/>
  <c r="F18" i="9"/>
  <c r="E17" i="9"/>
  <c r="F17" i="9"/>
  <c r="E16" i="9"/>
  <c r="F16" i="9"/>
  <c r="E15" i="9"/>
  <c r="F15" i="9"/>
  <c r="E14" i="9"/>
  <c r="F14" i="9"/>
  <c r="E191" i="8"/>
  <c r="D191" i="8"/>
  <c r="C191" i="8"/>
  <c r="E176" i="8"/>
  <c r="D176" i="8"/>
  <c r="C176" i="8"/>
  <c r="E164" i="8"/>
  <c r="E160" i="8"/>
  <c r="E166" i="8"/>
  <c r="D164" i="8"/>
  <c r="D160" i="8"/>
  <c r="D166" i="8"/>
  <c r="C164" i="8"/>
  <c r="E162" i="8"/>
  <c r="D162" i="8"/>
  <c r="C162" i="8"/>
  <c r="E161" i="8"/>
  <c r="D161" i="8"/>
  <c r="C161" i="8"/>
  <c r="C160" i="8"/>
  <c r="C166" i="8"/>
  <c r="E147" i="8"/>
  <c r="D147" i="8"/>
  <c r="D143" i="8"/>
  <c r="D149" i="8"/>
  <c r="C147" i="8"/>
  <c r="C143" i="8"/>
  <c r="C149" i="8"/>
  <c r="E145" i="8"/>
  <c r="D145" i="8"/>
  <c r="C145" i="8"/>
  <c r="E144" i="8"/>
  <c r="D144" i="8"/>
  <c r="C144" i="8"/>
  <c r="E143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D94" i="8"/>
  <c r="C95" i="8"/>
  <c r="C94" i="8"/>
  <c r="E89" i="8"/>
  <c r="D89" i="8"/>
  <c r="C89" i="8"/>
  <c r="E87" i="8"/>
  <c r="D87" i="8"/>
  <c r="C87" i="8"/>
  <c r="E84" i="8"/>
  <c r="E79" i="8"/>
  <c r="D84" i="8"/>
  <c r="C84" i="8"/>
  <c r="E83" i="8"/>
  <c r="D83" i="8"/>
  <c r="C83" i="8"/>
  <c r="C79" i="8"/>
  <c r="D79" i="8"/>
  <c r="E77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E71" i="8"/>
  <c r="D74" i="8"/>
  <c r="C74" i="8"/>
  <c r="E67" i="8"/>
  <c r="D67" i="8"/>
  <c r="C67" i="8"/>
  <c r="D5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C25" i="8"/>
  <c r="C27" i="8"/>
  <c r="C15" i="8"/>
  <c r="C24" i="8"/>
  <c r="E13" i="8"/>
  <c r="E15" i="8"/>
  <c r="E24" i="8"/>
  <c r="D13" i="8"/>
  <c r="D25" i="8"/>
  <c r="D27" i="8"/>
  <c r="C13" i="8"/>
  <c r="E186" i="7"/>
  <c r="F186" i="7"/>
  <c r="D183" i="7"/>
  <c r="D188" i="7"/>
  <c r="E188" i="7"/>
  <c r="C183" i="7"/>
  <c r="C188" i="7"/>
  <c r="F182" i="7"/>
  <c r="E182" i="7"/>
  <c r="E181" i="7"/>
  <c r="F181" i="7"/>
  <c r="F180" i="7"/>
  <c r="E180" i="7"/>
  <c r="E179" i="7"/>
  <c r="F179" i="7"/>
  <c r="F178" i="7"/>
  <c r="E178" i="7"/>
  <c r="F177" i="7"/>
  <c r="E177" i="7"/>
  <c r="F176" i="7"/>
  <c r="E176" i="7"/>
  <c r="E175" i="7"/>
  <c r="F175" i="7"/>
  <c r="F174" i="7"/>
  <c r="E174" i="7"/>
  <c r="E173" i="7"/>
  <c r="F173" i="7"/>
  <c r="F172" i="7"/>
  <c r="E172" i="7"/>
  <c r="E171" i="7"/>
  <c r="F171" i="7"/>
  <c r="F170" i="7"/>
  <c r="E170" i="7"/>
  <c r="D167" i="7"/>
  <c r="E167" i="7"/>
  <c r="F167" i="7"/>
  <c r="C167" i="7"/>
  <c r="E166" i="7"/>
  <c r="F166" i="7"/>
  <c r="F165" i="7"/>
  <c r="E165" i="7"/>
  <c r="E164" i="7"/>
  <c r="F164" i="7"/>
  <c r="F163" i="7"/>
  <c r="E163" i="7"/>
  <c r="F162" i="7"/>
  <c r="E162" i="7"/>
  <c r="F161" i="7"/>
  <c r="E161" i="7"/>
  <c r="E160" i="7"/>
  <c r="F160" i="7"/>
  <c r="F159" i="7"/>
  <c r="E159" i="7"/>
  <c r="F158" i="7"/>
  <c r="E158" i="7"/>
  <c r="F157" i="7"/>
  <c r="E157" i="7"/>
  <c r="E156" i="7"/>
  <c r="F156" i="7"/>
  <c r="F155" i="7"/>
  <c r="E155" i="7"/>
  <c r="E154" i="7"/>
  <c r="F154" i="7"/>
  <c r="F153" i="7"/>
  <c r="E153" i="7"/>
  <c r="E152" i="7"/>
  <c r="F152" i="7"/>
  <c r="F151" i="7"/>
  <c r="E151" i="7"/>
  <c r="E150" i="7"/>
  <c r="F150" i="7"/>
  <c r="F149" i="7"/>
  <c r="E149" i="7"/>
  <c r="E148" i="7"/>
  <c r="F148" i="7"/>
  <c r="F147" i="7"/>
  <c r="E147" i="7"/>
  <c r="E146" i="7"/>
  <c r="F146" i="7"/>
  <c r="F145" i="7"/>
  <c r="E145" i="7"/>
  <c r="E144" i="7"/>
  <c r="F144" i="7"/>
  <c r="F143" i="7"/>
  <c r="E143" i="7"/>
  <c r="E142" i="7"/>
  <c r="F142" i="7"/>
  <c r="F141" i="7"/>
  <c r="E141" i="7"/>
  <c r="E140" i="7"/>
  <c r="F140" i="7"/>
  <c r="F139" i="7"/>
  <c r="E139" i="7"/>
  <c r="E138" i="7"/>
  <c r="F138" i="7"/>
  <c r="F137" i="7"/>
  <c r="E137" i="7"/>
  <c r="E136" i="7"/>
  <c r="F136" i="7"/>
  <c r="F135" i="7"/>
  <c r="E135" i="7"/>
  <c r="E134" i="7"/>
  <c r="F134" i="7"/>
  <c r="F133" i="7"/>
  <c r="E133" i="7"/>
  <c r="D130" i="7"/>
  <c r="E130" i="7"/>
  <c r="F130" i="7"/>
  <c r="C130" i="7"/>
  <c r="E129" i="7"/>
  <c r="F129" i="7"/>
  <c r="F128" i="7"/>
  <c r="E128" i="7"/>
  <c r="E127" i="7"/>
  <c r="F127" i="7"/>
  <c r="F126" i="7"/>
  <c r="E126" i="7"/>
  <c r="E125" i="7"/>
  <c r="F125" i="7"/>
  <c r="F124" i="7"/>
  <c r="E124" i="7"/>
  <c r="D121" i="7"/>
  <c r="E121" i="7"/>
  <c r="F121" i="7"/>
  <c r="C121" i="7"/>
  <c r="E120" i="7"/>
  <c r="F120" i="7"/>
  <c r="F119" i="7"/>
  <c r="E119" i="7"/>
  <c r="E118" i="7"/>
  <c r="F118" i="7"/>
  <c r="F117" i="7"/>
  <c r="E117" i="7"/>
  <c r="E116" i="7"/>
  <c r="F116" i="7"/>
  <c r="F115" i="7"/>
  <c r="E115" i="7"/>
  <c r="E114" i="7"/>
  <c r="F114" i="7"/>
  <c r="F113" i="7"/>
  <c r="E113" i="7"/>
  <c r="E112" i="7"/>
  <c r="F112" i="7"/>
  <c r="F111" i="7"/>
  <c r="E111" i="7"/>
  <c r="E110" i="7"/>
  <c r="F110" i="7"/>
  <c r="F109" i="7"/>
  <c r="E109" i="7"/>
  <c r="E108" i="7"/>
  <c r="F108" i="7"/>
  <c r="F107" i="7"/>
  <c r="E107" i="7"/>
  <c r="E106" i="7"/>
  <c r="F106" i="7"/>
  <c r="F105" i="7"/>
  <c r="E105" i="7"/>
  <c r="E104" i="7"/>
  <c r="F104" i="7"/>
  <c r="F103" i="7"/>
  <c r="E103" i="7"/>
  <c r="E93" i="7"/>
  <c r="F93" i="7"/>
  <c r="D90" i="7"/>
  <c r="D95" i="7"/>
  <c r="C90" i="7"/>
  <c r="F89" i="7"/>
  <c r="E89" i="7"/>
  <c r="E88" i="7"/>
  <c r="F88" i="7"/>
  <c r="F87" i="7"/>
  <c r="E87" i="7"/>
  <c r="E86" i="7"/>
  <c r="F86" i="7"/>
  <c r="F85" i="7"/>
  <c r="E85" i="7"/>
  <c r="E84" i="7"/>
  <c r="F84" i="7"/>
  <c r="E83" i="7"/>
  <c r="F83" i="7"/>
  <c r="E82" i="7"/>
  <c r="F82" i="7"/>
  <c r="F81" i="7"/>
  <c r="E81" i="7"/>
  <c r="E80" i="7"/>
  <c r="F80" i="7"/>
  <c r="F79" i="7"/>
  <c r="E79" i="7"/>
  <c r="E78" i="7"/>
  <c r="F78" i="7"/>
  <c r="F77" i="7"/>
  <c r="E77" i="7"/>
  <c r="E76" i="7"/>
  <c r="F76" i="7"/>
  <c r="F75" i="7"/>
  <c r="E75" i="7"/>
  <c r="E74" i="7"/>
  <c r="F74" i="7"/>
  <c r="F73" i="7"/>
  <c r="E73" i="7"/>
  <c r="E72" i="7"/>
  <c r="F72" i="7"/>
  <c r="F71" i="7"/>
  <c r="E71" i="7"/>
  <c r="E70" i="7"/>
  <c r="F70" i="7"/>
  <c r="F69" i="7"/>
  <c r="E69" i="7"/>
  <c r="E68" i="7"/>
  <c r="F68" i="7"/>
  <c r="E67" i="7"/>
  <c r="F67" i="7"/>
  <c r="E66" i="7"/>
  <c r="F66" i="7"/>
  <c r="F65" i="7"/>
  <c r="E65" i="7"/>
  <c r="E64" i="7"/>
  <c r="F64" i="7"/>
  <c r="E63" i="7"/>
  <c r="F63" i="7"/>
  <c r="E62" i="7"/>
  <c r="F62" i="7"/>
  <c r="D59" i="7"/>
  <c r="C59" i="7"/>
  <c r="F58" i="7"/>
  <c r="E58" i="7"/>
  <c r="E57" i="7"/>
  <c r="F57" i="7"/>
  <c r="F56" i="7"/>
  <c r="E56" i="7"/>
  <c r="E55" i="7"/>
  <c r="F55" i="7"/>
  <c r="E54" i="7"/>
  <c r="F54" i="7"/>
  <c r="F53" i="7"/>
  <c r="E53" i="7"/>
  <c r="E50" i="7"/>
  <c r="F50" i="7"/>
  <c r="E47" i="7"/>
  <c r="F47" i="7"/>
  <c r="F44" i="7"/>
  <c r="E44" i="7"/>
  <c r="D41" i="7"/>
  <c r="E41" i="7"/>
  <c r="C41" i="7"/>
  <c r="F40" i="7"/>
  <c r="E40" i="7"/>
  <c r="E39" i="7"/>
  <c r="F39" i="7"/>
  <c r="F38" i="7"/>
  <c r="E38" i="7"/>
  <c r="D35" i="7"/>
  <c r="C35" i="7"/>
  <c r="E34" i="7"/>
  <c r="F34" i="7"/>
  <c r="F33" i="7"/>
  <c r="E33" i="7"/>
  <c r="D30" i="7"/>
  <c r="C30" i="7"/>
  <c r="E29" i="7"/>
  <c r="F29" i="7"/>
  <c r="F28" i="7"/>
  <c r="E28" i="7"/>
  <c r="E27" i="7"/>
  <c r="F27" i="7"/>
  <c r="D24" i="7"/>
  <c r="C24" i="7"/>
  <c r="E24" i="7"/>
  <c r="F23" i="7"/>
  <c r="E23" i="7"/>
  <c r="E22" i="7"/>
  <c r="F22" i="7"/>
  <c r="E21" i="7"/>
  <c r="F21" i="7"/>
  <c r="D18" i="7"/>
  <c r="E18" i="7"/>
  <c r="F18" i="7"/>
  <c r="C18" i="7"/>
  <c r="E17" i="7"/>
  <c r="F17" i="7"/>
  <c r="E16" i="7"/>
  <c r="F16" i="7"/>
  <c r="E15" i="7"/>
  <c r="F15" i="7"/>
  <c r="D179" i="6"/>
  <c r="E179" i="6"/>
  <c r="C179" i="6"/>
  <c r="F178" i="6"/>
  <c r="E178" i="6"/>
  <c r="F177" i="6"/>
  <c r="E177" i="6"/>
  <c r="F176" i="6"/>
  <c r="E176" i="6"/>
  <c r="F175" i="6"/>
  <c r="E175" i="6"/>
  <c r="E174" i="6"/>
  <c r="F174" i="6"/>
  <c r="E173" i="6"/>
  <c r="F173" i="6"/>
  <c r="F172" i="6"/>
  <c r="E172" i="6"/>
  <c r="F171" i="6"/>
  <c r="E171" i="6"/>
  <c r="E170" i="6"/>
  <c r="F170" i="6"/>
  <c r="E169" i="6"/>
  <c r="F169" i="6"/>
  <c r="F168" i="6"/>
  <c r="E168" i="6"/>
  <c r="D166" i="6"/>
  <c r="C166" i="6"/>
  <c r="F165" i="6"/>
  <c r="E165" i="6"/>
  <c r="F164" i="6"/>
  <c r="E164" i="6"/>
  <c r="E163" i="6"/>
  <c r="F163" i="6"/>
  <c r="F162" i="6"/>
  <c r="E162" i="6"/>
  <c r="E161" i="6"/>
  <c r="F161" i="6"/>
  <c r="F160" i="6"/>
  <c r="E160" i="6"/>
  <c r="E159" i="6"/>
  <c r="F159" i="6"/>
  <c r="F158" i="6"/>
  <c r="E158" i="6"/>
  <c r="E157" i="6"/>
  <c r="F157" i="6"/>
  <c r="F156" i="6"/>
  <c r="E156" i="6"/>
  <c r="E155" i="6"/>
  <c r="F155" i="6"/>
  <c r="D153" i="6"/>
  <c r="C153" i="6"/>
  <c r="E153" i="6"/>
  <c r="F152" i="6"/>
  <c r="E152" i="6"/>
  <c r="F151" i="6"/>
  <c r="E151" i="6"/>
  <c r="E150" i="6"/>
  <c r="F150" i="6"/>
  <c r="F149" i="6"/>
  <c r="E149" i="6"/>
  <c r="F148" i="6"/>
  <c r="E148" i="6"/>
  <c r="E147" i="6"/>
  <c r="F147" i="6"/>
  <c r="E146" i="6"/>
  <c r="F146" i="6"/>
  <c r="F145" i="6"/>
  <c r="E145" i="6"/>
  <c r="F144" i="6"/>
  <c r="E144" i="6"/>
  <c r="E143" i="6"/>
  <c r="F143" i="6"/>
  <c r="E142" i="6"/>
  <c r="F142" i="6"/>
  <c r="D137" i="6"/>
  <c r="E137" i="6"/>
  <c r="F137" i="6"/>
  <c r="C137" i="6"/>
  <c r="F136" i="6"/>
  <c r="E136" i="6"/>
  <c r="F135" i="6"/>
  <c r="E135" i="6"/>
  <c r="E134" i="6"/>
  <c r="F134" i="6"/>
  <c r="F133" i="6"/>
  <c r="E133" i="6"/>
  <c r="E132" i="6"/>
  <c r="F132" i="6"/>
  <c r="E131" i="6"/>
  <c r="F131" i="6"/>
  <c r="E130" i="6"/>
  <c r="F130" i="6"/>
  <c r="F129" i="6"/>
  <c r="E129" i="6"/>
  <c r="E128" i="6"/>
  <c r="F128" i="6"/>
  <c r="E127" i="6"/>
  <c r="F127" i="6"/>
  <c r="E126" i="6"/>
  <c r="F126" i="6"/>
  <c r="D124" i="6"/>
  <c r="E124" i="6"/>
  <c r="C124" i="6"/>
  <c r="F124" i="6"/>
  <c r="F123" i="6"/>
  <c r="E123" i="6"/>
  <c r="F122" i="6"/>
  <c r="E122" i="6"/>
  <c r="F121" i="6"/>
  <c r="E121" i="6"/>
  <c r="F120" i="6"/>
  <c r="E120" i="6"/>
  <c r="E119" i="6"/>
  <c r="F119" i="6"/>
  <c r="E118" i="6"/>
  <c r="F118" i="6"/>
  <c r="F117" i="6"/>
  <c r="E117" i="6"/>
  <c r="F116" i="6"/>
  <c r="E116" i="6"/>
  <c r="E115" i="6"/>
  <c r="F115" i="6"/>
  <c r="E114" i="6"/>
  <c r="F114" i="6"/>
  <c r="F113" i="6"/>
  <c r="E113" i="6"/>
  <c r="D111" i="6"/>
  <c r="E111" i="6"/>
  <c r="C111" i="6"/>
  <c r="F110" i="6"/>
  <c r="E110" i="6"/>
  <c r="F109" i="6"/>
  <c r="E109" i="6"/>
  <c r="E108" i="6"/>
  <c r="F108" i="6"/>
  <c r="F107" i="6"/>
  <c r="E107" i="6"/>
  <c r="E106" i="6"/>
  <c r="F106" i="6"/>
  <c r="F105" i="6"/>
  <c r="E105" i="6"/>
  <c r="E104" i="6"/>
  <c r="F104" i="6"/>
  <c r="F103" i="6"/>
  <c r="E103" i="6"/>
  <c r="E102" i="6"/>
  <c r="F102" i="6"/>
  <c r="F101" i="6"/>
  <c r="E101" i="6"/>
  <c r="E100" i="6"/>
  <c r="F100" i="6"/>
  <c r="D94" i="6"/>
  <c r="E94" i="6"/>
  <c r="C94" i="6"/>
  <c r="F94" i="6"/>
  <c r="D93" i="6"/>
  <c r="C93" i="6"/>
  <c r="F93" i="6"/>
  <c r="D92" i="6"/>
  <c r="C92" i="6"/>
  <c r="E92" i="6"/>
  <c r="D91" i="6"/>
  <c r="C91" i="6"/>
  <c r="F91" i="6"/>
  <c r="D90" i="6"/>
  <c r="C90" i="6"/>
  <c r="E90" i="6"/>
  <c r="D89" i="6"/>
  <c r="E89" i="6"/>
  <c r="C89" i="6"/>
  <c r="F89" i="6"/>
  <c r="D88" i="6"/>
  <c r="C88" i="6"/>
  <c r="E88" i="6"/>
  <c r="D87" i="6"/>
  <c r="C87" i="6"/>
  <c r="F87" i="6"/>
  <c r="D86" i="6"/>
  <c r="C86" i="6"/>
  <c r="E86" i="6"/>
  <c r="D85" i="6"/>
  <c r="E85" i="6"/>
  <c r="C85" i="6"/>
  <c r="F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D50" i="6"/>
  <c r="E50" i="6"/>
  <c r="C50" i="6"/>
  <c r="F50" i="6"/>
  <c r="D49" i="6"/>
  <c r="E49" i="6"/>
  <c r="F49" i="6"/>
  <c r="C49" i="6"/>
  <c r="D48" i="6"/>
  <c r="E48" i="6"/>
  <c r="C48" i="6"/>
  <c r="F48" i="6"/>
  <c r="D47" i="6"/>
  <c r="E47" i="6"/>
  <c r="F47" i="6"/>
  <c r="C47" i="6"/>
  <c r="D46" i="6"/>
  <c r="E46" i="6"/>
  <c r="F46" i="6"/>
  <c r="C46" i="6"/>
  <c r="D45" i="6"/>
  <c r="E45" i="6"/>
  <c r="F45" i="6"/>
  <c r="C45" i="6"/>
  <c r="D44" i="6"/>
  <c r="E44" i="6"/>
  <c r="C44" i="6"/>
  <c r="F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C38" i="6"/>
  <c r="F37" i="6"/>
  <c r="E37" i="6"/>
  <c r="F36" i="6"/>
  <c r="E36" i="6"/>
  <c r="E35" i="6"/>
  <c r="F35" i="6"/>
  <c r="F34" i="6"/>
  <c r="E34" i="6"/>
  <c r="E33" i="6"/>
  <c r="F33" i="6"/>
  <c r="E32" i="6"/>
  <c r="F32" i="6"/>
  <c r="E31" i="6"/>
  <c r="F31" i="6"/>
  <c r="F30" i="6"/>
  <c r="E30" i="6"/>
  <c r="E29" i="6"/>
  <c r="F29" i="6"/>
  <c r="F28" i="6"/>
  <c r="E28" i="6"/>
  <c r="E27" i="6"/>
  <c r="F27" i="6"/>
  <c r="D25" i="6"/>
  <c r="C25" i="6"/>
  <c r="E25" i="6"/>
  <c r="F24" i="6"/>
  <c r="E24" i="6"/>
  <c r="F23" i="6"/>
  <c r="E23" i="6"/>
  <c r="E22" i="6"/>
  <c r="F22" i="6"/>
  <c r="F21" i="6"/>
  <c r="E21" i="6"/>
  <c r="F20" i="6"/>
  <c r="E20" i="6"/>
  <c r="E19" i="6"/>
  <c r="F19" i="6"/>
  <c r="E18" i="6"/>
  <c r="F18" i="6"/>
  <c r="F17" i="6"/>
  <c r="E17" i="6"/>
  <c r="F16" i="6"/>
  <c r="E16" i="6"/>
  <c r="E15" i="6"/>
  <c r="F15" i="6"/>
  <c r="E14" i="6"/>
  <c r="F14" i="6"/>
  <c r="E51" i="5"/>
  <c r="F51" i="5"/>
  <c r="D48" i="5"/>
  <c r="C48" i="5"/>
  <c r="F48" i="5"/>
  <c r="F47" i="5"/>
  <c r="E47" i="5"/>
  <c r="F46" i="5"/>
  <c r="E46" i="5"/>
  <c r="D41" i="5"/>
  <c r="C41" i="5"/>
  <c r="E40" i="5"/>
  <c r="F40" i="5"/>
  <c r="E39" i="5"/>
  <c r="F39" i="5"/>
  <c r="E38" i="5"/>
  <c r="F38" i="5"/>
  <c r="D33" i="5"/>
  <c r="C33" i="5"/>
  <c r="E32" i="5"/>
  <c r="F32" i="5"/>
  <c r="E31" i="5"/>
  <c r="F31" i="5"/>
  <c r="E30" i="5"/>
  <c r="F30" i="5"/>
  <c r="F29" i="5"/>
  <c r="E29" i="5"/>
  <c r="E28" i="5"/>
  <c r="F28" i="5"/>
  <c r="E27" i="5"/>
  <c r="F27" i="5"/>
  <c r="E26" i="5"/>
  <c r="F26" i="5"/>
  <c r="E25" i="5"/>
  <c r="F25" i="5"/>
  <c r="E24" i="5"/>
  <c r="F24" i="5"/>
  <c r="E20" i="5"/>
  <c r="F20" i="5"/>
  <c r="E19" i="5"/>
  <c r="F19" i="5"/>
  <c r="E17" i="5"/>
  <c r="F17" i="5"/>
  <c r="D16" i="5"/>
  <c r="D18" i="5"/>
  <c r="C16" i="5"/>
  <c r="F15" i="5"/>
  <c r="E15" i="5"/>
  <c r="E14" i="5"/>
  <c r="F14" i="5"/>
  <c r="E13" i="5"/>
  <c r="F13" i="5"/>
  <c r="E12" i="5"/>
  <c r="F12" i="5"/>
  <c r="D73" i="4"/>
  <c r="C73" i="4"/>
  <c r="E73" i="4"/>
  <c r="E72" i="4"/>
  <c r="F72" i="4"/>
  <c r="E71" i="4"/>
  <c r="F71" i="4"/>
  <c r="E70" i="4"/>
  <c r="F70" i="4"/>
  <c r="F67" i="4"/>
  <c r="E67" i="4"/>
  <c r="E64" i="4"/>
  <c r="F64" i="4"/>
  <c r="E63" i="4"/>
  <c r="F63" i="4"/>
  <c r="D61" i="4"/>
  <c r="C61" i="4"/>
  <c r="E61" i="4"/>
  <c r="F60" i="4"/>
  <c r="E60" i="4"/>
  <c r="F59" i="4"/>
  <c r="E59" i="4"/>
  <c r="D56" i="4"/>
  <c r="E56" i="4"/>
  <c r="F56" i="4"/>
  <c r="C56" i="4"/>
  <c r="E55" i="4"/>
  <c r="F55" i="4"/>
  <c r="E54" i="4"/>
  <c r="F54" i="4"/>
  <c r="E53" i="4"/>
  <c r="F53" i="4"/>
  <c r="E52" i="4"/>
  <c r="F52" i="4"/>
  <c r="E51" i="4"/>
  <c r="F51" i="4"/>
  <c r="E50" i="4"/>
  <c r="F50" i="4"/>
  <c r="A50" i="4"/>
  <c r="A51" i="4"/>
  <c r="A52" i="4"/>
  <c r="A53" i="4"/>
  <c r="A54" i="4"/>
  <c r="A55" i="4"/>
  <c r="E49" i="4"/>
  <c r="F49" i="4"/>
  <c r="E40" i="4"/>
  <c r="F40" i="4"/>
  <c r="D38" i="4"/>
  <c r="E38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E28" i="4"/>
  <c r="F28" i="4"/>
  <c r="F27" i="4"/>
  <c r="E27" i="4"/>
  <c r="F26" i="4"/>
  <c r="E26" i="4"/>
  <c r="F25" i="4"/>
  <c r="E25" i="4"/>
  <c r="D22" i="4"/>
  <c r="E22" i="4"/>
  <c r="F22" i="4"/>
  <c r="C22" i="4"/>
  <c r="E21" i="4"/>
  <c r="F21" i="4"/>
  <c r="E20" i="4"/>
  <c r="F20" i="4"/>
  <c r="E19" i="4"/>
  <c r="F19" i="4"/>
  <c r="F18" i="4"/>
  <c r="E18" i="4"/>
  <c r="E17" i="4"/>
  <c r="F17" i="4"/>
  <c r="F16" i="4"/>
  <c r="E16" i="4"/>
  <c r="E15" i="4"/>
  <c r="F15" i="4"/>
  <c r="F14" i="4"/>
  <c r="E14" i="4"/>
  <c r="E13" i="4"/>
  <c r="F13" i="4"/>
  <c r="D108" i="22"/>
  <c r="D109" i="22"/>
  <c r="C109" i="22"/>
  <c r="C108" i="22"/>
  <c r="E109" i="22"/>
  <c r="E108" i="22"/>
  <c r="D22" i="22"/>
  <c r="C23" i="22"/>
  <c r="E23" i="22"/>
  <c r="D33" i="22"/>
  <c r="C34" i="22"/>
  <c r="E34" i="22"/>
  <c r="D101" i="22"/>
  <c r="D103" i="22"/>
  <c r="C102" i="22"/>
  <c r="E102" i="22"/>
  <c r="E103" i="22"/>
  <c r="C22" i="22"/>
  <c r="E22" i="22"/>
  <c r="E39" i="22"/>
  <c r="D23" i="22"/>
  <c r="D41" i="20"/>
  <c r="E16" i="20"/>
  <c r="F16" i="20"/>
  <c r="E19" i="20"/>
  <c r="F19" i="20"/>
  <c r="C20" i="20"/>
  <c r="E20" i="20"/>
  <c r="E25" i="20"/>
  <c r="F25" i="20"/>
  <c r="E36" i="20"/>
  <c r="F36" i="20"/>
  <c r="C39" i="20"/>
  <c r="C40" i="20"/>
  <c r="E43" i="20"/>
  <c r="E44" i="20"/>
  <c r="F44" i="20"/>
  <c r="E45" i="20"/>
  <c r="F45" i="20"/>
  <c r="C46" i="20"/>
  <c r="E23" i="17"/>
  <c r="E24" i="17"/>
  <c r="E29" i="17"/>
  <c r="E36" i="17"/>
  <c r="E44" i="17"/>
  <c r="D192" i="17"/>
  <c r="C38" i="19"/>
  <c r="C127" i="19"/>
  <c r="C129" i="19"/>
  <c r="C133" i="19"/>
  <c r="C22" i="19"/>
  <c r="E33" i="18"/>
  <c r="D258" i="18"/>
  <c r="D101" i="18"/>
  <c r="D99" i="18"/>
  <c r="D97" i="18"/>
  <c r="D95" i="18"/>
  <c r="D88" i="18"/>
  <c r="D86" i="18"/>
  <c r="D84" i="18"/>
  <c r="D100" i="18"/>
  <c r="D98" i="18"/>
  <c r="D96" i="18"/>
  <c r="D89" i="18"/>
  <c r="D87" i="18"/>
  <c r="D85" i="18"/>
  <c r="D83" i="18"/>
  <c r="E43" i="18"/>
  <c r="E21" i="18"/>
  <c r="D22" i="18"/>
  <c r="E37" i="18"/>
  <c r="C55" i="18"/>
  <c r="E55" i="18"/>
  <c r="E289" i="18"/>
  <c r="C65" i="18"/>
  <c r="C66" i="18"/>
  <c r="C295" i="18"/>
  <c r="C71" i="18"/>
  <c r="C76" i="18"/>
  <c r="C77" i="18"/>
  <c r="C123" i="18"/>
  <c r="E123" i="18"/>
  <c r="E17" i="17"/>
  <c r="E52" i="17"/>
  <c r="F52" i="17"/>
  <c r="E53" i="17"/>
  <c r="E58" i="17"/>
  <c r="E67" i="17"/>
  <c r="E294" i="17"/>
  <c r="E295" i="17"/>
  <c r="E296" i="17"/>
  <c r="F296" i="17"/>
  <c r="E297" i="17"/>
  <c r="E298" i="17"/>
  <c r="E299" i="17"/>
  <c r="C294" i="18"/>
  <c r="E32" i="18"/>
  <c r="E36" i="18"/>
  <c r="E60" i="18"/>
  <c r="E70" i="18"/>
  <c r="D71" i="18"/>
  <c r="E71" i="18"/>
  <c r="D157" i="18"/>
  <c r="E157" i="18"/>
  <c r="E156" i="18"/>
  <c r="C144" i="18"/>
  <c r="E151" i="18"/>
  <c r="D163" i="18"/>
  <c r="E163" i="18"/>
  <c r="C175" i="18"/>
  <c r="E175" i="18"/>
  <c r="E260" i="18"/>
  <c r="D234" i="18"/>
  <c r="D211" i="18"/>
  <c r="E210" i="18"/>
  <c r="D241" i="18"/>
  <c r="D252" i="18"/>
  <c r="C303" i="18"/>
  <c r="C306" i="18"/>
  <c r="C310" i="18"/>
  <c r="E139" i="18"/>
  <c r="D144" i="18"/>
  <c r="C241" i="18"/>
  <c r="E241" i="18"/>
  <c r="C252" i="18"/>
  <c r="C254" i="18"/>
  <c r="C253" i="18"/>
  <c r="D320" i="18"/>
  <c r="E320" i="18"/>
  <c r="E316" i="18"/>
  <c r="C189" i="18"/>
  <c r="E195" i="18"/>
  <c r="C210" i="18"/>
  <c r="E215" i="18"/>
  <c r="E217" i="18"/>
  <c r="E219" i="18"/>
  <c r="E221" i="18"/>
  <c r="D222" i="18"/>
  <c r="D229" i="18"/>
  <c r="E229" i="18"/>
  <c r="D240" i="18"/>
  <c r="E240" i="18"/>
  <c r="D242" i="18"/>
  <c r="E242" i="18"/>
  <c r="D244" i="18"/>
  <c r="E244" i="18"/>
  <c r="D253" i="18"/>
  <c r="E253" i="18"/>
  <c r="C261" i="18"/>
  <c r="E261" i="18"/>
  <c r="E265" i="18"/>
  <c r="D303" i="18"/>
  <c r="E314" i="18"/>
  <c r="D326" i="18"/>
  <c r="D189" i="18"/>
  <c r="E189" i="18"/>
  <c r="E205" i="18"/>
  <c r="C222" i="18"/>
  <c r="C246" i="18"/>
  <c r="E231" i="18"/>
  <c r="E251" i="18"/>
  <c r="C32" i="17"/>
  <c r="C160" i="17"/>
  <c r="C90" i="17"/>
  <c r="E60" i="17"/>
  <c r="F60" i="17"/>
  <c r="D61" i="17"/>
  <c r="D103" i="17"/>
  <c r="E103" i="17"/>
  <c r="F103" i="17"/>
  <c r="E102" i="17"/>
  <c r="F102" i="17"/>
  <c r="D138" i="17"/>
  <c r="D139" i="17"/>
  <c r="E137" i="17"/>
  <c r="F137" i="17"/>
  <c r="E31" i="17"/>
  <c r="F31" i="17"/>
  <c r="D32" i="17"/>
  <c r="D90" i="17"/>
  <c r="E90" i="17"/>
  <c r="F90" i="17"/>
  <c r="E48" i="17"/>
  <c r="F48" i="17"/>
  <c r="C61" i="17"/>
  <c r="F68" i="17"/>
  <c r="C103" i="17"/>
  <c r="F111" i="17"/>
  <c r="C207" i="17"/>
  <c r="C138" i="17"/>
  <c r="F17" i="17"/>
  <c r="D21" i="17"/>
  <c r="F23" i="17"/>
  <c r="F24" i="17"/>
  <c r="F29" i="17"/>
  <c r="F36" i="17"/>
  <c r="F44" i="17"/>
  <c r="F53" i="17"/>
  <c r="F58" i="17"/>
  <c r="F67" i="17"/>
  <c r="E88" i="17"/>
  <c r="F88" i="17"/>
  <c r="E101" i="17"/>
  <c r="F101" i="17"/>
  <c r="E109" i="17"/>
  <c r="F109" i="17"/>
  <c r="C193" i="17"/>
  <c r="C192" i="17"/>
  <c r="E123" i="17"/>
  <c r="F123" i="17"/>
  <c r="C124" i="17"/>
  <c r="C125" i="17"/>
  <c r="E136" i="17"/>
  <c r="F136" i="17"/>
  <c r="E144" i="17"/>
  <c r="F144" i="17"/>
  <c r="D159" i="17"/>
  <c r="E159" i="17"/>
  <c r="D172" i="17"/>
  <c r="D181" i="17"/>
  <c r="E227" i="17"/>
  <c r="E239" i="17"/>
  <c r="C282" i="17"/>
  <c r="C266" i="17"/>
  <c r="E20" i="17"/>
  <c r="F20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E192" i="17"/>
  <c r="F192" i="17"/>
  <c r="D124" i="17"/>
  <c r="E124" i="17"/>
  <c r="F172" i="17"/>
  <c r="F227" i="17"/>
  <c r="F239" i="17"/>
  <c r="C287" i="17"/>
  <c r="C284" i="17"/>
  <c r="C279" i="17"/>
  <c r="E188" i="17"/>
  <c r="F188" i="17"/>
  <c r="C288" i="17"/>
  <c r="E189" i="17"/>
  <c r="F189" i="17"/>
  <c r="C190" i="17"/>
  <c r="C281" i="17"/>
  <c r="E191" i="17"/>
  <c r="F191" i="17"/>
  <c r="C290" i="17"/>
  <c r="C274" i="17"/>
  <c r="C199" i="17"/>
  <c r="C200" i="17"/>
  <c r="C286" i="17"/>
  <c r="C205" i="17"/>
  <c r="C206" i="17"/>
  <c r="F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E277" i="17"/>
  <c r="F277" i="17"/>
  <c r="D279" i="17"/>
  <c r="E278" i="17"/>
  <c r="F278" i="17"/>
  <c r="D190" i="17"/>
  <c r="E190" i="17"/>
  <c r="F190" i="17"/>
  <c r="E280" i="17"/>
  <c r="F280" i="17"/>
  <c r="D193" i="17"/>
  <c r="D290" i="17"/>
  <c r="D274" i="17"/>
  <c r="E274" i="17"/>
  <c r="F274" i="17"/>
  <c r="D199" i="17"/>
  <c r="E199" i="17"/>
  <c r="F199" i="17"/>
  <c r="D200" i="17"/>
  <c r="E200" i="17"/>
  <c r="F200" i="17"/>
  <c r="D283" i="17"/>
  <c r="D287" i="17"/>
  <c r="E287" i="17"/>
  <c r="F287" i="17"/>
  <c r="D267" i="17"/>
  <c r="D285" i="17"/>
  <c r="E285" i="17"/>
  <c r="F285" i="17"/>
  <c r="D269" i="17"/>
  <c r="D272" i="17"/>
  <c r="E272" i="17"/>
  <c r="F272" i="17"/>
  <c r="D205" i="17"/>
  <c r="E205" i="17"/>
  <c r="D206" i="17"/>
  <c r="E206" i="17"/>
  <c r="D214" i="17"/>
  <c r="E214" i="17"/>
  <c r="F214" i="17"/>
  <c r="D215" i="17"/>
  <c r="D261" i="17"/>
  <c r="D262" i="17"/>
  <c r="D264" i="17"/>
  <c r="F294" i="17"/>
  <c r="F295" i="17"/>
  <c r="F297" i="17"/>
  <c r="F298" i="17"/>
  <c r="F299" i="17"/>
  <c r="F100" i="15"/>
  <c r="E16" i="15"/>
  <c r="F16" i="15"/>
  <c r="E23" i="15"/>
  <c r="F23" i="15"/>
  <c r="E30" i="15"/>
  <c r="F30" i="15"/>
  <c r="E37" i="15"/>
  <c r="F37" i="15"/>
  <c r="E45" i="15"/>
  <c r="F45" i="15"/>
  <c r="E50" i="15"/>
  <c r="F50" i="15"/>
  <c r="E55" i="15"/>
  <c r="F55" i="15"/>
  <c r="E60" i="15"/>
  <c r="F60" i="15"/>
  <c r="E65" i="15"/>
  <c r="F65" i="15"/>
  <c r="E70" i="15"/>
  <c r="F70" i="15"/>
  <c r="E75" i="15"/>
  <c r="F75" i="15"/>
  <c r="E92" i="15"/>
  <c r="F92" i="15"/>
  <c r="E100" i="15"/>
  <c r="E107" i="15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C21" i="13"/>
  <c r="E21" i="13"/>
  <c r="D21" i="13"/>
  <c r="D20" i="13"/>
  <c r="C15" i="13"/>
  <c r="E15" i="13"/>
  <c r="E17" i="13"/>
  <c r="D17" i="13"/>
  <c r="D28" i="13"/>
  <c r="C48" i="13"/>
  <c r="C42" i="13"/>
  <c r="E48" i="13"/>
  <c r="E42" i="13"/>
  <c r="D20" i="12"/>
  <c r="F47" i="12"/>
  <c r="E15" i="12"/>
  <c r="F15" i="12"/>
  <c r="C17" i="12"/>
  <c r="E32" i="12"/>
  <c r="F32" i="12"/>
  <c r="E40" i="12"/>
  <c r="F40" i="12"/>
  <c r="E47" i="12"/>
  <c r="F65" i="11"/>
  <c r="E22" i="11"/>
  <c r="F22" i="11"/>
  <c r="E29" i="11"/>
  <c r="F29" i="11"/>
  <c r="E38" i="11"/>
  <c r="F38" i="11"/>
  <c r="C41" i="11"/>
  <c r="E41" i="11"/>
  <c r="E56" i="11"/>
  <c r="F56" i="11"/>
  <c r="E61" i="11"/>
  <c r="F61" i="11"/>
  <c r="E121" i="10"/>
  <c r="E112" i="10"/>
  <c r="E113" i="10"/>
  <c r="E23" i="9"/>
  <c r="F23" i="9"/>
  <c r="E24" i="9"/>
  <c r="F24" i="9"/>
  <c r="E37" i="9"/>
  <c r="E49" i="9"/>
  <c r="F49" i="9"/>
  <c r="E36" i="9"/>
  <c r="F50" i="9"/>
  <c r="E50" i="9"/>
  <c r="E62" i="9"/>
  <c r="E63" i="9"/>
  <c r="E75" i="9"/>
  <c r="F75" i="9"/>
  <c r="E76" i="9"/>
  <c r="F76" i="9"/>
  <c r="E88" i="9"/>
  <c r="E89" i="9"/>
  <c r="E101" i="9"/>
  <c r="F101" i="9"/>
  <c r="E102" i="9"/>
  <c r="F102" i="9"/>
  <c r="E114" i="9"/>
  <c r="F114" i="9"/>
  <c r="E115" i="9"/>
  <c r="F115" i="9"/>
  <c r="E127" i="9"/>
  <c r="F127" i="9"/>
  <c r="E128" i="9"/>
  <c r="F128" i="9"/>
  <c r="E140" i="9"/>
  <c r="E141" i="9"/>
  <c r="E153" i="9"/>
  <c r="E154" i="9"/>
  <c r="E166" i="9"/>
  <c r="E167" i="9"/>
  <c r="E179" i="9"/>
  <c r="E180" i="9"/>
  <c r="E192" i="9"/>
  <c r="E193" i="9"/>
  <c r="E198" i="9"/>
  <c r="F198" i="9"/>
  <c r="E199" i="9"/>
  <c r="F199" i="9"/>
  <c r="E200" i="9"/>
  <c r="F200" i="9"/>
  <c r="E201" i="9"/>
  <c r="F201" i="9"/>
  <c r="E202" i="9"/>
  <c r="F202" i="9"/>
  <c r="E203" i="9"/>
  <c r="F203" i="9"/>
  <c r="E204" i="9"/>
  <c r="F204" i="9"/>
  <c r="E205" i="9"/>
  <c r="F205" i="9"/>
  <c r="E206" i="9"/>
  <c r="F206" i="9"/>
  <c r="C207" i="9"/>
  <c r="E207" i="9"/>
  <c r="F207" i="9"/>
  <c r="C208" i="9"/>
  <c r="D21" i="8"/>
  <c r="C21" i="8"/>
  <c r="C20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C158" i="8"/>
  <c r="D15" i="8"/>
  <c r="C17" i="8"/>
  <c r="E17" i="8"/>
  <c r="C43" i="8"/>
  <c r="E43" i="8"/>
  <c r="D49" i="8"/>
  <c r="C53" i="8"/>
  <c r="E53" i="8"/>
  <c r="D77" i="8"/>
  <c r="D71" i="8"/>
  <c r="C49" i="8"/>
  <c r="E49" i="8"/>
  <c r="F188" i="7"/>
  <c r="E90" i="7"/>
  <c r="F90" i="7"/>
  <c r="E183" i="7"/>
  <c r="F183" i="7"/>
  <c r="D52" i="6"/>
  <c r="E52" i="6"/>
  <c r="F52" i="6"/>
  <c r="E84" i="6"/>
  <c r="F84" i="6"/>
  <c r="E16" i="5"/>
  <c r="F16" i="5"/>
  <c r="C18" i="5"/>
  <c r="E33" i="5"/>
  <c r="F33" i="5"/>
  <c r="E41" i="5"/>
  <c r="F41" i="5"/>
  <c r="E48" i="5"/>
  <c r="D41" i="4"/>
  <c r="D65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35" i="22"/>
  <c r="E110" i="22"/>
  <c r="E111" i="22"/>
  <c r="E54" i="22"/>
  <c r="E46" i="22"/>
  <c r="E40" i="22"/>
  <c r="E36" i="22"/>
  <c r="E30" i="22"/>
  <c r="E113" i="22"/>
  <c r="D110" i="22"/>
  <c r="D53" i="22"/>
  <c r="D45" i="22"/>
  <c r="D39" i="22"/>
  <c r="D35" i="22"/>
  <c r="D29" i="22"/>
  <c r="E46" i="20"/>
  <c r="F46" i="20"/>
  <c r="C41" i="20"/>
  <c r="F41" i="20"/>
  <c r="E40" i="20"/>
  <c r="F40" i="20"/>
  <c r="F43" i="20"/>
  <c r="E39" i="20"/>
  <c r="E41" i="20"/>
  <c r="C259" i="18"/>
  <c r="C263" i="18"/>
  <c r="D168" i="18"/>
  <c r="D180" i="18"/>
  <c r="E180" i="18"/>
  <c r="D145" i="18"/>
  <c r="D181" i="18"/>
  <c r="E181" i="18"/>
  <c r="E144" i="18"/>
  <c r="E252" i="18"/>
  <c r="C180" i="18"/>
  <c r="C145" i="18"/>
  <c r="C168" i="18"/>
  <c r="D284" i="18"/>
  <c r="E22" i="18"/>
  <c r="D76" i="18"/>
  <c r="D90" i="18"/>
  <c r="D91" i="18"/>
  <c r="E303" i="18"/>
  <c r="D306" i="18"/>
  <c r="C223" i="18"/>
  <c r="C247" i="18"/>
  <c r="C211" i="18"/>
  <c r="C234" i="18"/>
  <c r="E234" i="18"/>
  <c r="D254" i="18"/>
  <c r="E254" i="18"/>
  <c r="E211" i="18"/>
  <c r="D235" i="18"/>
  <c r="D102" i="18"/>
  <c r="D300" i="17"/>
  <c r="E264" i="17"/>
  <c r="D255" i="17"/>
  <c r="E255" i="17"/>
  <c r="F255" i="17"/>
  <c r="E215" i="17"/>
  <c r="F215" i="17"/>
  <c r="E267" i="17"/>
  <c r="D194" i="17"/>
  <c r="E193" i="17"/>
  <c r="D288" i="17"/>
  <c r="E288" i="17"/>
  <c r="C300" i="17"/>
  <c r="F264" i="17"/>
  <c r="C265" i="17"/>
  <c r="C271" i="17"/>
  <c r="C268" i="17"/>
  <c r="C263" i="17"/>
  <c r="C291" i="17"/>
  <c r="C289" i="17"/>
  <c r="C161" i="17"/>
  <c r="F193" i="17"/>
  <c r="C194" i="17"/>
  <c r="D266" i="17"/>
  <c r="E266" i="17"/>
  <c r="F266" i="17"/>
  <c r="C208" i="17"/>
  <c r="C209" i="17"/>
  <c r="D160" i="17"/>
  <c r="E160" i="17"/>
  <c r="D140" i="17"/>
  <c r="D105" i="17"/>
  <c r="D106" i="17"/>
  <c r="E32" i="17"/>
  <c r="F32" i="17"/>
  <c r="D62" i="17"/>
  <c r="D63" i="17"/>
  <c r="E138" i="17"/>
  <c r="D104" i="17"/>
  <c r="E61" i="17"/>
  <c r="E262" i="17"/>
  <c r="D254" i="17"/>
  <c r="E254" i="17"/>
  <c r="F254" i="17"/>
  <c r="D216" i="17"/>
  <c r="E283" i="17"/>
  <c r="F283" i="17"/>
  <c r="D286" i="17"/>
  <c r="E286" i="17"/>
  <c r="F286" i="17"/>
  <c r="D284" i="17"/>
  <c r="E284" i="17"/>
  <c r="F267" i="17"/>
  <c r="C270" i="17"/>
  <c r="C272" i="17"/>
  <c r="F262" i="17"/>
  <c r="C216" i="17"/>
  <c r="F205" i="17"/>
  <c r="F288" i="17"/>
  <c r="F284" i="17"/>
  <c r="E172" i="17"/>
  <c r="D173" i="17"/>
  <c r="D174" i="17"/>
  <c r="E174" i="17"/>
  <c r="F174" i="17"/>
  <c r="F124" i="17"/>
  <c r="D196" i="17"/>
  <c r="D126" i="17"/>
  <c r="D91" i="17"/>
  <c r="E21" i="17"/>
  <c r="F21" i="17"/>
  <c r="D161" i="17"/>
  <c r="E161" i="17"/>
  <c r="F161" i="17"/>
  <c r="D49" i="17"/>
  <c r="D282" i="17"/>
  <c r="C174" i="17"/>
  <c r="C139" i="17"/>
  <c r="C104" i="17"/>
  <c r="F61" i="17"/>
  <c r="D125" i="17"/>
  <c r="E125" i="17"/>
  <c r="E37" i="17"/>
  <c r="F37" i="17"/>
  <c r="D207" i="17"/>
  <c r="F160" i="17"/>
  <c r="C210" i="17"/>
  <c r="C175" i="17"/>
  <c r="C176" i="17"/>
  <c r="C105" i="17"/>
  <c r="G36" i="14"/>
  <c r="G38" i="14"/>
  <c r="G40" i="14"/>
  <c r="I33" i="14"/>
  <c r="I36" i="14"/>
  <c r="I38" i="14"/>
  <c r="I40" i="14"/>
  <c r="H33" i="14"/>
  <c r="H36" i="14"/>
  <c r="H38" i="14"/>
  <c r="H40" i="14"/>
  <c r="E24" i="13"/>
  <c r="E20" i="13"/>
  <c r="E28" i="13"/>
  <c r="C24" i="13"/>
  <c r="C20" i="13"/>
  <c r="C17" i="13"/>
  <c r="C28" i="13"/>
  <c r="C22" i="13"/>
  <c r="C20" i="12"/>
  <c r="E17" i="12"/>
  <c r="F17" i="12"/>
  <c r="D34" i="12"/>
  <c r="C43" i="11"/>
  <c r="F41" i="11"/>
  <c r="E208" i="9"/>
  <c r="F208" i="9"/>
  <c r="E112" i="8"/>
  <c r="E111" i="8"/>
  <c r="E28" i="8"/>
  <c r="D24" i="8"/>
  <c r="D20" i="8"/>
  <c r="D17" i="8"/>
  <c r="D112" i="8"/>
  <c r="D111" i="8"/>
  <c r="C112" i="8"/>
  <c r="C111" i="8"/>
  <c r="C28" i="8"/>
  <c r="E141" i="8"/>
  <c r="E158" i="8"/>
  <c r="C141" i="8"/>
  <c r="D158" i="8"/>
  <c r="C21" i="5"/>
  <c r="D75" i="4"/>
  <c r="D43" i="4"/>
  <c r="D112" i="22"/>
  <c r="D55" i="22"/>
  <c r="D47" i="22"/>
  <c r="D37" i="22"/>
  <c r="E56" i="22"/>
  <c r="E38" i="22"/>
  <c r="C113" i="22"/>
  <c r="C56" i="22"/>
  <c r="C48" i="22"/>
  <c r="C38" i="22"/>
  <c r="C55" i="22"/>
  <c r="C47" i="22"/>
  <c r="C37" i="22"/>
  <c r="C112" i="22"/>
  <c r="D56" i="22"/>
  <c r="D48" i="22"/>
  <c r="D38" i="22"/>
  <c r="D113" i="22"/>
  <c r="F39" i="20"/>
  <c r="E76" i="18"/>
  <c r="D259" i="18"/>
  <c r="D77" i="18"/>
  <c r="C181" i="18"/>
  <c r="C169" i="18"/>
  <c r="E306" i="18"/>
  <c r="D310" i="18"/>
  <c r="E310" i="18"/>
  <c r="D169" i="18"/>
  <c r="E169" i="18"/>
  <c r="E168" i="18"/>
  <c r="C121" i="18"/>
  <c r="C112" i="18"/>
  <c r="C115" i="18"/>
  <c r="C111" i="18"/>
  <c r="D208" i="17"/>
  <c r="E207" i="17"/>
  <c r="F207" i="17"/>
  <c r="E282" i="17"/>
  <c r="F282" i="17"/>
  <c r="D281" i="17"/>
  <c r="E281" i="17"/>
  <c r="F281" i="17"/>
  <c r="D92" i="17"/>
  <c r="D50" i="17"/>
  <c r="D127" i="17"/>
  <c r="E139" i="17"/>
  <c r="F139" i="17"/>
  <c r="C162" i="17"/>
  <c r="E300" i="17"/>
  <c r="F300" i="17"/>
  <c r="D291" i="17"/>
  <c r="D305" i="17"/>
  <c r="D197" i="17"/>
  <c r="E216" i="17"/>
  <c r="F216" i="17"/>
  <c r="E104" i="17"/>
  <c r="F104" i="17"/>
  <c r="D141" i="17"/>
  <c r="C195" i="17"/>
  <c r="C196" i="17"/>
  <c r="E196" i="17"/>
  <c r="C305" i="17"/>
  <c r="C309" i="17"/>
  <c r="C273" i="17"/>
  <c r="E194" i="17"/>
  <c r="F194" i="17"/>
  <c r="D195" i="17"/>
  <c r="E195" i="17"/>
  <c r="D265" i="17"/>
  <c r="E265" i="17"/>
  <c r="F265" i="17"/>
  <c r="D289" i="17"/>
  <c r="E289" i="17"/>
  <c r="F289" i="17"/>
  <c r="E70" i="13"/>
  <c r="E72" i="13"/>
  <c r="E69" i="13"/>
  <c r="E22" i="13"/>
  <c r="C70" i="13"/>
  <c r="C72" i="13"/>
  <c r="C69" i="13"/>
  <c r="C34" i="12"/>
  <c r="C42" i="12"/>
  <c r="D42" i="12"/>
  <c r="E20" i="12"/>
  <c r="F20" i="12"/>
  <c r="F43" i="11"/>
  <c r="E43" i="11"/>
  <c r="C99" i="8"/>
  <c r="C101" i="8"/>
  <c r="C98" i="8"/>
  <c r="C22" i="8"/>
  <c r="D28" i="8"/>
  <c r="D22" i="8"/>
  <c r="E99" i="8"/>
  <c r="E101" i="8"/>
  <c r="E98" i="8"/>
  <c r="D263" i="18"/>
  <c r="E259" i="18"/>
  <c r="D126" i="18"/>
  <c r="D124" i="18"/>
  <c r="D122" i="18"/>
  <c r="D115" i="18"/>
  <c r="E115" i="18"/>
  <c r="D113" i="18"/>
  <c r="D111" i="18"/>
  <c r="E111" i="18"/>
  <c r="D109" i="18"/>
  <c r="D127" i="18"/>
  <c r="D125" i="18"/>
  <c r="D123" i="18"/>
  <c r="D121" i="18"/>
  <c r="D114" i="18"/>
  <c r="D112" i="18"/>
  <c r="E112" i="18"/>
  <c r="D110" i="18"/>
  <c r="F195" i="17"/>
  <c r="D322" i="17"/>
  <c r="E291" i="17"/>
  <c r="F291" i="17"/>
  <c r="F162" i="17"/>
  <c r="D148" i="17"/>
  <c r="E208" i="17"/>
  <c r="F208" i="17"/>
  <c r="D209" i="17"/>
  <c r="E209" i="17"/>
  <c r="F209" i="17"/>
  <c r="D210" i="17"/>
  <c r="E210" i="17"/>
  <c r="E34" i="12"/>
  <c r="F34" i="12"/>
  <c r="D49" i="12"/>
  <c r="D99" i="8"/>
  <c r="D101" i="8"/>
  <c r="D98" i="8"/>
  <c r="E121" i="18"/>
  <c r="D128" i="18"/>
  <c r="D129" i="18"/>
  <c r="E263" i="18"/>
  <c r="D264" i="18"/>
  <c r="D211" i="17"/>
  <c r="D266" i="18"/>
  <c r="D267" i="18"/>
  <c r="E110" i="18"/>
  <c r="D113" i="17"/>
  <c r="D324" i="17"/>
  <c r="C49" i="12"/>
  <c r="E42" i="12"/>
  <c r="F42" i="12"/>
  <c r="F309" i="17"/>
  <c r="E305" i="17"/>
  <c r="F305" i="17"/>
  <c r="D309" i="17"/>
  <c r="E309" i="17"/>
  <c r="C183" i="17"/>
  <c r="F183" i="17"/>
  <c r="F176" i="17"/>
  <c r="C323" i="17"/>
  <c r="F323" i="17"/>
  <c r="D268" i="18"/>
  <c r="D269" i="18"/>
  <c r="F210" i="17"/>
  <c r="D70" i="17"/>
  <c r="C35" i="5"/>
  <c r="C106" i="17"/>
  <c r="E106" i="17"/>
  <c r="E279" i="17"/>
  <c r="D116" i="18"/>
  <c r="C122" i="18"/>
  <c r="C125" i="18"/>
  <c r="E125" i="18"/>
  <c r="D21" i="5"/>
  <c r="E18" i="5"/>
  <c r="F18" i="5"/>
  <c r="E269" i="17"/>
  <c r="D270" i="17"/>
  <c r="E270" i="17"/>
  <c r="F270" i="17"/>
  <c r="F196" i="17"/>
  <c r="D162" i="17"/>
  <c r="D175" i="17"/>
  <c r="C124" i="18"/>
  <c r="E124" i="18"/>
  <c r="C127" i="18"/>
  <c r="E127" i="18"/>
  <c r="E261" i="17"/>
  <c r="F261" i="17"/>
  <c r="D271" i="17"/>
  <c r="D268" i="17"/>
  <c r="E268" i="17"/>
  <c r="F268" i="17"/>
  <c r="D263" i="17"/>
  <c r="E263" i="17"/>
  <c r="F263" i="17"/>
  <c r="F269" i="17"/>
  <c r="D330" i="18"/>
  <c r="E330" i="18"/>
  <c r="E326" i="18"/>
  <c r="E105" i="17"/>
  <c r="F105" i="17"/>
  <c r="C126" i="18"/>
  <c r="E126" i="18"/>
  <c r="F125" i="17"/>
  <c r="C62" i="17"/>
  <c r="C140" i="17"/>
  <c r="F41" i="4"/>
  <c r="C43" i="4"/>
  <c r="E41" i="4"/>
  <c r="E290" i="17"/>
  <c r="C109" i="18"/>
  <c r="C110" i="18"/>
  <c r="E173" i="17"/>
  <c r="F41" i="7"/>
  <c r="F290" i="17"/>
  <c r="F279" i="17"/>
  <c r="E95" i="7"/>
  <c r="C310" i="17"/>
  <c r="E77" i="18"/>
  <c r="C113" i="18"/>
  <c r="E113" i="18"/>
  <c r="C114" i="18"/>
  <c r="E114" i="18"/>
  <c r="E145" i="18"/>
  <c r="E48" i="22"/>
  <c r="D103" i="18"/>
  <c r="D141" i="8"/>
  <c r="D70" i="13"/>
  <c r="D72" i="13"/>
  <c r="D69" i="13"/>
  <c r="D22" i="13"/>
  <c r="C49" i="17"/>
  <c r="C126" i="17"/>
  <c r="C91" i="17"/>
  <c r="F95" i="6"/>
  <c r="F111" i="6"/>
  <c r="F179" i="6"/>
  <c r="F138" i="17"/>
  <c r="E222" i="18"/>
  <c r="D246" i="18"/>
  <c r="E246" i="18"/>
  <c r="D223" i="18"/>
  <c r="C235" i="18"/>
  <c r="E235" i="18"/>
  <c r="E45" i="22"/>
  <c r="E38" i="6"/>
  <c r="F38" i="6"/>
  <c r="E166" i="6"/>
  <c r="F166" i="6"/>
  <c r="E30" i="7"/>
  <c r="F30" i="7"/>
  <c r="E35" i="7"/>
  <c r="F35" i="7"/>
  <c r="E75" i="11"/>
  <c r="F75" i="11"/>
  <c r="F20" i="20"/>
  <c r="E53" i="22"/>
  <c r="F38" i="4"/>
  <c r="E87" i="6"/>
  <c r="E91" i="6"/>
  <c r="E93" i="6"/>
  <c r="C284" i="18"/>
  <c r="E284" i="18"/>
  <c r="C65" i="4"/>
  <c r="E146" i="17"/>
  <c r="F146" i="17"/>
  <c r="E29" i="22"/>
  <c r="F61" i="4"/>
  <c r="F73" i="4"/>
  <c r="F25" i="6"/>
  <c r="F86" i="6"/>
  <c r="F88" i="6"/>
  <c r="F90" i="6"/>
  <c r="F92" i="6"/>
  <c r="F153" i="6"/>
  <c r="F24" i="7"/>
  <c r="C95" i="7"/>
  <c r="E89" i="17"/>
  <c r="F89" i="17"/>
  <c r="E306" i="17"/>
  <c r="E239" i="18"/>
  <c r="E59" i="7"/>
  <c r="F59" i="7"/>
  <c r="F36" i="10"/>
  <c r="F59" i="10"/>
  <c r="F84" i="10"/>
  <c r="F107" i="10"/>
  <c r="F113" i="10"/>
  <c r="F73" i="11"/>
  <c r="D50" i="13"/>
  <c r="F21" i="16"/>
  <c r="F85" i="17"/>
  <c r="F100" i="17"/>
  <c r="E180" i="17"/>
  <c r="F230" i="17"/>
  <c r="E216" i="18"/>
  <c r="F95" i="17"/>
  <c r="C283" i="18"/>
  <c r="E283" i="18"/>
  <c r="E166" i="18"/>
  <c r="C101" i="22"/>
  <c r="C103" i="22"/>
  <c r="E25" i="8"/>
  <c r="E27" i="8"/>
  <c r="D43" i="8"/>
  <c r="F158" i="17"/>
  <c r="C181" i="17"/>
  <c r="F181" i="17"/>
  <c r="C44" i="18"/>
  <c r="E38" i="18"/>
  <c r="F21" i="21"/>
  <c r="F114" i="10"/>
  <c r="E119" i="10"/>
  <c r="F120" i="17"/>
  <c r="E277" i="18"/>
  <c r="E117" i="10"/>
  <c r="E238" i="17"/>
  <c r="F238" i="17"/>
  <c r="D65" i="18"/>
  <c r="E302" i="18"/>
  <c r="E115" i="10"/>
  <c r="E21" i="8"/>
  <c r="E20" i="8"/>
  <c r="E22" i="8"/>
  <c r="E55" i="22"/>
  <c r="E37" i="22"/>
  <c r="E47" i="22"/>
  <c r="E112" i="22"/>
  <c r="C116" i="18"/>
  <c r="C117" i="18"/>
  <c r="C141" i="17"/>
  <c r="E140" i="17"/>
  <c r="F140" i="17"/>
  <c r="E175" i="17"/>
  <c r="F175" i="17"/>
  <c r="D176" i="17"/>
  <c r="E176" i="17"/>
  <c r="D35" i="5"/>
  <c r="E21" i="5"/>
  <c r="F21" i="5"/>
  <c r="D105" i="18"/>
  <c r="D294" i="18"/>
  <c r="E294" i="18"/>
  <c r="D66" i="18"/>
  <c r="E65" i="18"/>
  <c r="E91" i="17"/>
  <c r="F91" i="17"/>
  <c r="C92" i="17"/>
  <c r="E109" i="18"/>
  <c r="C63" i="17"/>
  <c r="F62" i="17"/>
  <c r="D323" i="17"/>
  <c r="E323" i="17"/>
  <c r="E162" i="17"/>
  <c r="E49" i="12"/>
  <c r="F49" i="12"/>
  <c r="C43" i="5"/>
  <c r="C75" i="4"/>
  <c r="D247" i="18"/>
  <c r="E247" i="18"/>
  <c r="E223" i="18"/>
  <c r="F126" i="17"/>
  <c r="C127" i="17"/>
  <c r="E126" i="17"/>
  <c r="E62" i="17"/>
  <c r="E271" i="17"/>
  <c r="F271" i="17"/>
  <c r="D304" i="17"/>
  <c r="D273" i="17"/>
  <c r="E273" i="17"/>
  <c r="F273" i="17"/>
  <c r="C128" i="18"/>
  <c r="E122" i="18"/>
  <c r="D117" i="18"/>
  <c r="C89" i="18"/>
  <c r="E89" i="18"/>
  <c r="C95" i="18"/>
  <c r="E44" i="18"/>
  <c r="C87" i="18"/>
  <c r="E87" i="18"/>
  <c r="C85" i="18"/>
  <c r="E85" i="18"/>
  <c r="C88" i="18"/>
  <c r="E88" i="18"/>
  <c r="C258" i="18"/>
  <c r="C83" i="18"/>
  <c r="C86" i="18"/>
  <c r="E86" i="18"/>
  <c r="C100" i="18"/>
  <c r="E100" i="18"/>
  <c r="C84" i="18"/>
  <c r="C98" i="18"/>
  <c r="E98" i="18"/>
  <c r="C101" i="18"/>
  <c r="E101" i="18"/>
  <c r="C96" i="18"/>
  <c r="C99" i="18"/>
  <c r="E99" i="18"/>
  <c r="C97" i="18"/>
  <c r="E97" i="18"/>
  <c r="E65" i="4"/>
  <c r="F65" i="4"/>
  <c r="C50" i="17"/>
  <c r="E49" i="17"/>
  <c r="F49" i="17"/>
  <c r="F95" i="7"/>
  <c r="C312" i="17"/>
  <c r="E181" i="17"/>
  <c r="F43" i="4"/>
  <c r="F106" i="17"/>
  <c r="D271" i="18"/>
  <c r="E43" i="4"/>
  <c r="C131" i="18"/>
  <c r="E95" i="18"/>
  <c r="C129" i="18"/>
  <c r="E129" i="18"/>
  <c r="E128" i="18"/>
  <c r="D183" i="17"/>
  <c r="E183" i="17"/>
  <c r="D43" i="5"/>
  <c r="E35" i="5"/>
  <c r="F35" i="5"/>
  <c r="E50" i="17"/>
  <c r="F50" i="17"/>
  <c r="C70" i="17"/>
  <c r="E84" i="18"/>
  <c r="C90" i="18"/>
  <c r="E90" i="18"/>
  <c r="D325" i="17"/>
  <c r="E75" i="4"/>
  <c r="F75" i="4"/>
  <c r="D295" i="18"/>
  <c r="E295" i="18"/>
  <c r="E66" i="18"/>
  <c r="E92" i="17"/>
  <c r="F92" i="17"/>
  <c r="C324" i="17"/>
  <c r="C113" i="17"/>
  <c r="E304" i="17"/>
  <c r="F304" i="17"/>
  <c r="D310" i="17"/>
  <c r="C313" i="17"/>
  <c r="C264" i="18"/>
  <c r="E258" i="18"/>
  <c r="C102" i="18"/>
  <c r="E102" i="18"/>
  <c r="E96" i="18"/>
  <c r="C50" i="5"/>
  <c r="E63" i="17"/>
  <c r="F63" i="17"/>
  <c r="E83" i="18"/>
  <c r="D131" i="18"/>
  <c r="E131" i="18"/>
  <c r="E117" i="18"/>
  <c r="E116" i="18"/>
  <c r="C197" i="17"/>
  <c r="C148" i="17"/>
  <c r="E127" i="17"/>
  <c r="F127" i="17"/>
  <c r="C211" i="17"/>
  <c r="E141" i="17"/>
  <c r="F141" i="17"/>
  <c r="C322" i="17"/>
  <c r="E43" i="5"/>
  <c r="F43" i="5"/>
  <c r="D50" i="5"/>
  <c r="E50" i="5"/>
  <c r="F50" i="5"/>
  <c r="F148" i="17"/>
  <c r="E148" i="17"/>
  <c r="F324" i="17"/>
  <c r="C325" i="17"/>
  <c r="E325" i="17"/>
  <c r="E324" i="17"/>
  <c r="E197" i="17"/>
  <c r="F197" i="17"/>
  <c r="C266" i="18"/>
  <c r="E264" i="18"/>
  <c r="E113" i="17"/>
  <c r="F113" i="17"/>
  <c r="F322" i="17"/>
  <c r="E322" i="17"/>
  <c r="C315" i="17"/>
  <c r="C314" i="17"/>
  <c r="C251" i="17"/>
  <c r="C256" i="17"/>
  <c r="E211" i="17"/>
  <c r="F211" i="17"/>
  <c r="C91" i="18"/>
  <c r="E70" i="17"/>
  <c r="F70" i="17"/>
  <c r="C103" i="18"/>
  <c r="E103" i="18"/>
  <c r="D312" i="17"/>
  <c r="E310" i="17"/>
  <c r="F310" i="17"/>
  <c r="E266" i="18"/>
  <c r="C267" i="18"/>
  <c r="E312" i="17"/>
  <c r="F312" i="17"/>
  <c r="D313" i="17"/>
  <c r="F325" i="17"/>
  <c r="C257" i="17"/>
  <c r="C318" i="17"/>
  <c r="C105" i="18"/>
  <c r="E105" i="18"/>
  <c r="E91" i="18"/>
  <c r="C268" i="18"/>
  <c r="C269" i="18"/>
  <c r="E269" i="18"/>
  <c r="E267" i="18"/>
  <c r="D315" i="17"/>
  <c r="E315" i="17"/>
  <c r="F315" i="17"/>
  <c r="D314" i="17"/>
  <c r="E313" i="17"/>
  <c r="F313" i="17"/>
  <c r="D251" i="17"/>
  <c r="E251" i="17"/>
  <c r="F251" i="17"/>
  <c r="D256" i="17"/>
  <c r="D257" i="17"/>
  <c r="E257" i="17"/>
  <c r="F257" i="17"/>
  <c r="E256" i="17"/>
  <c r="F256" i="17"/>
  <c r="E314" i="17"/>
  <c r="F314" i="17"/>
  <c r="D318" i="17"/>
  <c r="E318" i="17"/>
  <c r="F318" i="17"/>
  <c r="C271" i="18"/>
  <c r="E271" i="18"/>
  <c r="E268" i="18"/>
</calcChain>
</file>

<file path=xl/sharedStrings.xml><?xml version="1.0" encoding="utf-8"?>
<sst xmlns="http://schemas.openxmlformats.org/spreadsheetml/2006/main" count="2337" uniqueCount="1011">
  <si>
    <t>HARTFORD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</si>
  <si>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</si>
  <si>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</si>
  <si>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</si>
  <si>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</si>
  <si>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</si>
  <si>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</si>
  <si>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</si>
  <si>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</si>
  <si>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</si>
  <si>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</si>
  <si>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</si>
  <si>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</si>
  <si>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</si>
  <si>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</si>
  <si>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</si>
  <si>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</si>
  <si>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</si>
  <si>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</si>
  <si>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</si>
  <si>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</si>
  <si>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</si>
  <si>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</si>
  <si>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</si>
  <si>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</si>
  <si>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</si>
  <si>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</si>
  <si>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</si>
  <si>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</si>
  <si>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</si>
  <si>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</si>
  <si>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</si>
  <si>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</si>
  <si>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</si>
  <si>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</si>
  <si>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</si>
  <si>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</si>
  <si>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</si>
  <si>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</si>
  <si>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</si>
  <si>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</si>
  <si>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</si>
  <si>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</si>
  <si>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</si>
  <si>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</si>
  <si>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</si>
  <si>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</si>
  <si>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</si>
  <si>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</si>
  <si>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</si>
  <si>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</si>
  <si>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</si>
  <si>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</si>
  <si>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</si>
  <si>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</si>
  <si>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</si>
  <si>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</si>
  <si>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</si>
  <si>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</si>
  <si>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</si>
  <si>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</si>
  <si>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</si>
  <si>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</si>
  <si>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</si>
  <si>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</si>
  <si>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</si>
  <si>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</si>
  <si>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</si>
  <si>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</si>
  <si>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</si>
  <si>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</si>
  <si>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</si>
  <si>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</si>
  <si>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</si>
  <si>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</si>
  <si>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</si>
  <si>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</si>
  <si>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</si>
  <si>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</si>
  <si>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</si>
  <si>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</si>
  <si>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</si>
  <si>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</si>
  <si>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</si>
  <si>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</si>
  <si>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</si>
  <si>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</si>
  <si>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</si>
  <si>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</si>
  <si>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</si>
  <si>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</si>
  <si>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</si>
  <si>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</si>
  <si>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</si>
  <si>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</si>
  <si>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</si>
  <si>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</si>
  <si>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</si>
  <si>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</si>
  <si>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</si>
  <si>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</si>
  <si>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</si>
  <si>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</si>
  <si>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</si>
  <si>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</si>
  <si>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</si>
  <si>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</si>
  <si>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</si>
  <si>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</si>
  <si>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</si>
  <si>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</si>
  <si>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</si>
  <si>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</si>
  <si>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</si>
  <si>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</si>
  <si>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</si>
  <si>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</si>
  <si>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</si>
  <si>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</si>
  <si>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</si>
  <si>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</si>
  <si>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</si>
  <si>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</si>
  <si>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</si>
  <si>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</si>
  <si>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</si>
  <si>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</si>
  <si>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</si>
  <si>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</si>
  <si>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</si>
  <si>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</si>
  <si>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</si>
  <si>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</si>
  <si>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</si>
  <si>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</si>
  <si>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</si>
  <si>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</si>
  <si>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</si>
  <si>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</si>
  <si>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</si>
  <si>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</si>
  <si>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</si>
  <si>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</si>
  <si>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</si>
  <si>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</si>
  <si>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</si>
  <si>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</si>
  <si>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</si>
  <si>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</si>
  <si>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</si>
  <si>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</si>
  <si>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</si>
  <si>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</si>
  <si>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</si>
  <si>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</si>
  <si>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</si>
  <si>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</si>
  <si>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</si>
  <si>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</si>
  <si>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</si>
  <si>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</si>
  <si>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</si>
  <si>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</si>
  <si>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</si>
  <si>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</si>
  <si>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</si>
  <si>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</si>
  <si>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</si>
  <si>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</si>
  <si>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</si>
  <si>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</si>
  <si>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</si>
  <si>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</si>
  <si>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</si>
  <si>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</si>
  <si>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</si>
  <si>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</si>
  <si>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</si>
  <si>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</si>
  <si>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</si>
  <si>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</si>
  <si>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</si>
  <si>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</si>
  <si>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</si>
  <si>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</si>
  <si>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</si>
  <si>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</si>
  <si>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</si>
  <si>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</si>
  <si>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</si>
  <si>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</si>
  <si>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</si>
  <si>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</si>
  <si>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</si>
  <si>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</si>
  <si>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</si>
  <si>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</si>
  <si>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</si>
  <si>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</si>
  <si>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</si>
  <si>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</si>
  <si>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</si>
  <si>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</si>
  <si>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</si>
  <si>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</si>
  <si>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</si>
  <si>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</si>
  <si>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</si>
  <si>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</si>
  <si>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</si>
  <si>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</si>
  <si>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</si>
  <si>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</si>
  <si>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</si>
  <si>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</si>
  <si>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</si>
  <si>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</si>
  <si>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</si>
  <si>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</si>
  <si>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</si>
  <si>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</si>
  <si>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</si>
  <si>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</si>
  <si>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</si>
  <si>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</si>
  <si>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</si>
  <si>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</si>
  <si>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</si>
  <si>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</si>
  <si>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</si>
  <si>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</si>
  <si>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</si>
  <si>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</si>
  <si>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</si>
  <si>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</si>
  <si>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</si>
  <si>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</si>
  <si>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</si>
  <si>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</si>
  <si>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</si>
  <si>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</si>
  <si>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</si>
  <si>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</si>
  <si>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</si>
  <si>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</si>
  <si>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</si>
  <si>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</si>
  <si>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</si>
  <si>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</si>
  <si>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</si>
  <si>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</si>
  <si>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</si>
  <si>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</si>
  <si>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</si>
  <si>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</si>
  <si>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</si>
  <si>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</si>
  <si>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</si>
  <si>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</si>
  <si>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</si>
  <si>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</si>
  <si>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</si>
  <si>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</si>
  <si>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</si>
  <si>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</si>
  <si>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</si>
  <si>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</si>
  <si>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</si>
  <si>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</si>
  <si>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</si>
  <si>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</si>
  <si>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</si>
  <si>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</si>
  <si>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</si>
  <si>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</si>
  <si>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</si>
  <si>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</si>
  <si>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</si>
  <si>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</si>
  <si>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</si>
  <si>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</si>
  <si>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</si>
  <si>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</si>
  <si>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</si>
  <si>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</si>
  <si>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</si>
  <si>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</si>
  <si>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</si>
  <si>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</si>
  <si>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</si>
  <si>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</si>
  <si>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</si>
  <si>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</si>
  <si>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</si>
  <si>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</si>
  <si>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</si>
  <si>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</si>
  <si>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</si>
  <si>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</si>
  <si>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</si>
  <si>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</si>
  <si>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</si>
  <si>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</si>
  <si>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</si>
  <si>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</si>
  <si>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</si>
  <si>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</si>
  <si>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</si>
  <si>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</si>
  <si>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</si>
  <si>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</si>
  <si>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</si>
  <si>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</si>
  <si>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</si>
  <si>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</si>
  <si>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</si>
  <si>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</si>
  <si>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</si>
  <si>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</si>
  <si>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</si>
  <si>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</si>
  <si>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</si>
  <si>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</si>
  <si>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</si>
  <si>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</si>
  <si>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</si>
  <si>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</si>
  <si>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</si>
  <si>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</si>
  <si>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</si>
  <si>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</si>
  <si>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</si>
  <si>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</si>
  <si>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</si>
  <si>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</si>
  <si>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</si>
  <si>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</si>
  <si>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</si>
  <si>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</si>
  <si>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</si>
  <si>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</si>
  <si>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</si>
  <si>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</si>
  <si>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</si>
  <si>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</si>
  <si>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</si>
  <si>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</si>
  <si>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</si>
  <si>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</si>
  <si>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</si>
  <si>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</si>
  <si>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</si>
  <si>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</si>
  <si>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</si>
  <si>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</si>
  <si>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</si>
  <si>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</si>
  <si>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</si>
  <si>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</si>
  <si>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</si>
  <si>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</si>
  <si>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</si>
  <si>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</si>
  <si>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</si>
  <si>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</si>
  <si>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</si>
  <si>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</si>
  <si>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</si>
  <si>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</si>
  <si>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</si>
  <si>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</si>
  <si>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</si>
  <si>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</si>
  <si>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</si>
  <si>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</si>
  <si>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</si>
  <si>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</si>
  <si>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</si>
  <si>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</si>
  <si>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</si>
  <si>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</si>
  <si>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</si>
  <si>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</si>
  <si>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</si>
  <si>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</si>
  <si>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</si>
  <si>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</si>
  <si>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</si>
  <si>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</si>
  <si>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</si>
  <si>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</si>
  <si>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</si>
  <si>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</si>
  <si>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</si>
  <si>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</si>
  <si>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</si>
  <si>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</si>
  <si>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</si>
  <si>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</si>
  <si>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</si>
  <si>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</si>
  <si>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</si>
  <si>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</si>
  <si>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</si>
  <si>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</si>
  <si>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</si>
  <si>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</si>
  <si>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</si>
  <si>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</si>
  <si>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</si>
  <si>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</si>
  <si>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</si>
  <si>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</si>
  <si>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</si>
  <si>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</si>
  <si>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</si>
  <si>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</si>
  <si>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</si>
  <si>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</si>
  <si>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</si>
  <si>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</si>
  <si>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</si>
  <si>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</si>
  <si>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</si>
  <si>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</si>
  <si>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</si>
  <si>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</si>
  <si>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</si>
  <si>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</si>
  <si>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</si>
  <si>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</si>
  <si>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</si>
  <si>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</si>
  <si>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</si>
  <si>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</si>
  <si>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</si>
  <si>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</si>
  <si>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</si>
  <si>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</si>
  <si>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</si>
  <si>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</si>
  <si>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</si>
  <si>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</si>
  <si>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</si>
  <si>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</si>
  <si>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</si>
  <si>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</si>
  <si>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</si>
  <si>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</si>
  <si>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</si>
  <si>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</si>
  <si>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</si>
  <si>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</si>
  <si>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</si>
  <si>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</si>
  <si>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</si>
  <si>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</si>
  <si>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</si>
  <si>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</si>
  <si>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</si>
  <si>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</si>
  <si>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</si>
  <si>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</si>
  <si>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</si>
  <si>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</si>
  <si>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</si>
  <si>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</si>
  <si>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</si>
  <si>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</si>
  <si>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</si>
  <si>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</si>
  <si>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</si>
  <si>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</si>
  <si>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</si>
  <si>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</si>
  <si>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</si>
  <si>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</si>
  <si>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</si>
  <si>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</si>
  <si>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</si>
  <si>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</si>
  <si>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</si>
  <si>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</si>
  <si>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</si>
  <si>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</si>
  <si>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</si>
  <si>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</si>
  <si>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</si>
  <si>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</si>
  <si>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</si>
  <si>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</si>
  <si>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</si>
  <si>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</si>
  <si>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</si>
  <si>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</si>
  <si>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</si>
  <si>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</si>
  <si>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</si>
  <si>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</si>
  <si>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</si>
  <si>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</si>
  <si>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</si>
  <si>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</si>
  <si>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</si>
  <si>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</si>
  <si>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</si>
  <si>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</si>
  <si>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</si>
  <si>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</si>
  <si>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</si>
  <si>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</si>
  <si>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</si>
  <si>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</si>
  <si>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</si>
  <si>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</si>
  <si>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</si>
  <si>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</si>
  <si>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</si>
  <si>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</si>
  <si>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</si>
  <si>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</si>
  <si>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</si>
  <si>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</si>
  <si>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</si>
  <si>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</si>
  <si>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</si>
  <si>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</si>
  <si>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</si>
  <si>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</si>
  <si>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</si>
  <si>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</si>
  <si>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</si>
  <si>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</si>
  <si>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</si>
  <si>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</si>
  <si>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</si>
  <si>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</si>
  <si>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</si>
  <si>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</si>
  <si>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</si>
  <si>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</si>
  <si>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</si>
  <si>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</si>
  <si>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</si>
  <si>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</si>
  <si>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</si>
  <si>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</si>
  <si>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</si>
  <si>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</si>
  <si>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</si>
  <si>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</si>
  <si>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</si>
  <si>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</si>
  <si>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</si>
  <si>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</si>
  <si>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</si>
  <si>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</si>
  <si>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</si>
  <si>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</si>
  <si>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</si>
  <si>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</si>
  <si>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</si>
  <si>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</si>
  <si>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</si>
  <si>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</si>
  <si>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</si>
  <si>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</si>
  <si>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</si>
  <si>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</si>
  <si>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</si>
  <si>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</si>
  <si>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</si>
  <si>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</si>
  <si>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</si>
  <si>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</si>
  <si>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</si>
  <si>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</si>
  <si>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</si>
  <si>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</si>
  <si>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</si>
  <si>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</si>
  <si>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</si>
  <si>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</si>
  <si>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</si>
  <si>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</si>
  <si>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</si>
  <si>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</si>
  <si>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</si>
  <si>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</si>
  <si>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</si>
  <si>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</si>
  <si>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</si>
  <si>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</si>
  <si>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</si>
  <si>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</si>
  <si>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</si>
  <si>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</si>
  <si>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</si>
  <si>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</si>
  <si>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</si>
  <si>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</si>
  <si>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</si>
  <si>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</si>
  <si>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</si>
  <si>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</si>
  <si>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</si>
  <si>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</si>
  <si>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</si>
  <si>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</si>
  <si>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</si>
  <si>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</si>
  <si>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</si>
  <si>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</si>
  <si>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</si>
  <si>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</si>
  <si>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</si>
  <si>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</si>
  <si>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</si>
  <si>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</si>
  <si>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</si>
  <si>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</si>
  <si>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Eye Surgery Center</t>
  </si>
  <si>
    <t>Hartford Hospital</t>
  </si>
  <si>
    <t>West Hartford Surgery Center</t>
  </si>
  <si>
    <t>Total Outpatient Surgical Procedures(A)</t>
  </si>
  <si>
    <t>Glastonbury GI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</si>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</sst>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topLeftCell="A3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26532108</v>
      </c>
      <c r="D13" s="22">
        <v>10748539</v>
      </c>
      <c r="E13" s="22">
        <f t="shared" ref="E13:E22" si="0">D13-C13</f>
        <v>-15783569</v>
      </c>
      <c r="F13" s="23">
        <f t="shared" ref="F13:F22" si="1">IF(C13=0,0,E13/C13)</f>
        <v>-0.59488560049582184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130223226</v>
      </c>
      <c r="D15" s="22">
        <v>143861135</v>
      </c>
      <c r="E15" s="22">
        <f t="shared" si="0"/>
        <v>13637909</v>
      </c>
      <c r="F15" s="23">
        <f t="shared" si="1"/>
        <v>0.10472716287953118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33347955</v>
      </c>
      <c r="D17" s="22">
        <v>10056429</v>
      </c>
      <c r="E17" s="22">
        <f t="shared" si="0"/>
        <v>-23291526</v>
      </c>
      <c r="F17" s="23">
        <f t="shared" si="1"/>
        <v>-0.69843940955299955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14407416</v>
      </c>
      <c r="D19" s="22">
        <v>17562331</v>
      </c>
      <c r="E19" s="22">
        <f t="shared" si="0"/>
        <v>3154915</v>
      </c>
      <c r="F19" s="23">
        <f t="shared" si="1"/>
        <v>0.21897854549351528</v>
      </c>
    </row>
    <row r="20" spans="1:11" ht="24" customHeight="1" x14ac:dyDescent="0.2">
      <c r="A20" s="20">
        <v>8</v>
      </c>
      <c r="B20" s="21" t="s">
        <v>23</v>
      </c>
      <c r="C20" s="22">
        <v>5497690</v>
      </c>
      <c r="D20" s="22">
        <v>7819436</v>
      </c>
      <c r="E20" s="22">
        <f t="shared" si="0"/>
        <v>2321746</v>
      </c>
      <c r="F20" s="23">
        <f t="shared" si="1"/>
        <v>0.42231300782692366</v>
      </c>
    </row>
    <row r="21" spans="1:11" ht="24" customHeight="1" x14ac:dyDescent="0.2">
      <c r="A21" s="20">
        <v>9</v>
      </c>
      <c r="B21" s="21" t="s">
        <v>24</v>
      </c>
      <c r="C21" s="22">
        <v>25033450</v>
      </c>
      <c r="D21" s="22">
        <v>27973868</v>
      </c>
      <c r="E21" s="22">
        <f t="shared" si="0"/>
        <v>2940418</v>
      </c>
      <c r="F21" s="23">
        <f t="shared" si="1"/>
        <v>0.11745955910991093</v>
      </c>
    </row>
    <row r="22" spans="1:11" ht="24" customHeight="1" x14ac:dyDescent="0.25">
      <c r="A22" s="24"/>
      <c r="B22" s="25" t="s">
        <v>25</v>
      </c>
      <c r="C22" s="26">
        <f>SUM(C13:C21)</f>
        <v>235041845</v>
      </c>
      <c r="D22" s="26">
        <f>SUM(D13:D21)</f>
        <v>218021738</v>
      </c>
      <c r="E22" s="26">
        <f t="shared" si="0"/>
        <v>-17020107</v>
      </c>
      <c r="F22" s="27">
        <f t="shared" si="1"/>
        <v>-7.2413093081361748E-2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103640675</v>
      </c>
      <c r="D25" s="22">
        <v>110816740</v>
      </c>
      <c r="E25" s="22">
        <f>D25-C25</f>
        <v>7176065</v>
      </c>
      <c r="F25" s="23">
        <f>IF(C25=0,0,E25/C25)</f>
        <v>6.9239852017559708E-2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115105522</v>
      </c>
      <c r="D27" s="22">
        <v>73381872</v>
      </c>
      <c r="E27" s="22">
        <f>D27-C27</f>
        <v>-41723650</v>
      </c>
      <c r="F27" s="23">
        <f>IF(C27=0,0,E27/C27)</f>
        <v>-0.36248174088468144</v>
      </c>
    </row>
    <row r="28" spans="1:11" ht="24" customHeight="1" x14ac:dyDescent="0.2">
      <c r="A28" s="20">
        <v>4</v>
      </c>
      <c r="B28" s="21" t="s">
        <v>31</v>
      </c>
      <c r="C28" s="22">
        <v>371218140</v>
      </c>
      <c r="D28" s="22">
        <v>396440354</v>
      </c>
      <c r="E28" s="22">
        <f>D28-C28</f>
        <v>25222214</v>
      </c>
      <c r="F28" s="23">
        <f>IF(C28=0,0,E28/C28)</f>
        <v>6.7944454438568114E-2</v>
      </c>
    </row>
    <row r="29" spans="1:11" ht="24" customHeight="1" x14ac:dyDescent="0.25">
      <c r="A29" s="24"/>
      <c r="B29" s="25" t="s">
        <v>32</v>
      </c>
      <c r="C29" s="26">
        <f>SUM(C25:C28)</f>
        <v>589964337</v>
      </c>
      <c r="D29" s="26">
        <f>SUM(D25:D28)</f>
        <v>580638966</v>
      </c>
      <c r="E29" s="26">
        <f>D29-C29</f>
        <v>-9325371</v>
      </c>
      <c r="F29" s="27">
        <f>IF(C29=0,0,E29/C29)</f>
        <v>-1.5806669005486003E-2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87425027</v>
      </c>
      <c r="D33" s="22">
        <v>86333023</v>
      </c>
      <c r="E33" s="22">
        <f>D33-C33</f>
        <v>-1092004</v>
      </c>
      <c r="F33" s="23">
        <f>IF(C33=0,0,E33/C33)</f>
        <v>-1.2490748215611074E-2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1093075916</v>
      </c>
      <c r="D36" s="22">
        <v>1121973437</v>
      </c>
      <c r="E36" s="22">
        <f>D36-C36</f>
        <v>28897521</v>
      </c>
      <c r="F36" s="23">
        <f>IF(C36=0,0,E36/C36)</f>
        <v>2.6436883822074805E-2</v>
      </c>
    </row>
    <row r="37" spans="1:8" ht="24" customHeight="1" x14ac:dyDescent="0.2">
      <c r="A37" s="20">
        <v>2</v>
      </c>
      <c r="B37" s="21" t="s">
        <v>39</v>
      </c>
      <c r="C37" s="22">
        <v>780130364</v>
      </c>
      <c r="D37" s="22">
        <v>823564261</v>
      </c>
      <c r="E37" s="22">
        <f>D37-C37</f>
        <v>43433897</v>
      </c>
      <c r="F37" s="23">
        <f>IF(C37=0,0,E37/C37)</f>
        <v>5.5675178155224325E-2</v>
      </c>
    </row>
    <row r="38" spans="1:8" ht="24" customHeight="1" x14ac:dyDescent="0.25">
      <c r="A38" s="24"/>
      <c r="B38" s="25" t="s">
        <v>40</v>
      </c>
      <c r="C38" s="26">
        <f>C36-C37</f>
        <v>312945552</v>
      </c>
      <c r="D38" s="26">
        <f>D36-D37</f>
        <v>298409176</v>
      </c>
      <c r="E38" s="26">
        <f>D38-C38</f>
        <v>-14536376</v>
      </c>
      <c r="F38" s="27">
        <f>IF(C38=0,0,E38/C38)</f>
        <v>-4.6450176099643047E-2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65382860</v>
      </c>
      <c r="D40" s="22">
        <v>151838554</v>
      </c>
      <c r="E40" s="22">
        <f>D40-C40</f>
        <v>86455694</v>
      </c>
      <c r="F40" s="23">
        <f>IF(C40=0,0,E40/C40)</f>
        <v>1.3222990551346332</v>
      </c>
    </row>
    <row r="41" spans="1:8" ht="24" customHeight="1" x14ac:dyDescent="0.25">
      <c r="A41" s="24"/>
      <c r="B41" s="25" t="s">
        <v>42</v>
      </c>
      <c r="C41" s="26">
        <f>+C38+C40</f>
        <v>378328412</v>
      </c>
      <c r="D41" s="26">
        <f>+D38+D40</f>
        <v>450247730</v>
      </c>
      <c r="E41" s="26">
        <f>D41-C41</f>
        <v>71919318</v>
      </c>
      <c r="F41" s="27">
        <f>IF(C41=0,0,E41/C41)</f>
        <v>0.19009758643239302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1290759621</v>
      </c>
      <c r="D43" s="26">
        <f>D22+D29+D31+D32+D33+D41</f>
        <v>1335241457</v>
      </c>
      <c r="E43" s="26">
        <f>D43-C43</f>
        <v>44481836</v>
      </c>
      <c r="F43" s="27">
        <f>IF(C43=0,0,E43/C43)</f>
        <v>3.4461750488861936E-2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37254979</v>
      </c>
      <c r="D49" s="22">
        <v>48741055</v>
      </c>
      <c r="E49" s="22">
        <f t="shared" ref="E49:E56" si="2">D49-C49</f>
        <v>11486076</v>
      </c>
      <c r="F49" s="23">
        <f t="shared" ref="F49:F56" si="3">IF(C49=0,0,E49/C49)</f>
        <v>0.30830982350037023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26072605</v>
      </c>
      <c r="D50" s="22">
        <v>33965743</v>
      </c>
      <c r="E50" s="22">
        <f t="shared" si="2"/>
        <v>7893138</v>
      </c>
      <c r="F50" s="23">
        <f t="shared" si="3"/>
        <v>0.3027368381487005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32918197</v>
      </c>
      <c r="D51" s="22">
        <v>30963410</v>
      </c>
      <c r="E51" s="22">
        <f t="shared" si="2"/>
        <v>-1954787</v>
      </c>
      <c r="F51" s="23">
        <f t="shared" si="3"/>
        <v>-5.9383173385832766E-2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8496065</v>
      </c>
      <c r="D52" s="22">
        <v>13267451</v>
      </c>
      <c r="E52" s="22">
        <f t="shared" si="2"/>
        <v>4771386</v>
      </c>
      <c r="F52" s="23">
        <f t="shared" si="3"/>
        <v>0.56159951695284815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1292984</v>
      </c>
      <c r="D53" s="22">
        <v>1392891</v>
      </c>
      <c r="E53" s="22">
        <f t="shared" si="2"/>
        <v>99907</v>
      </c>
      <c r="F53" s="23">
        <f t="shared" si="3"/>
        <v>7.7268550886940596E-2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579935</v>
      </c>
      <c r="D54" s="22">
        <v>24267722</v>
      </c>
      <c r="E54" s="22">
        <f t="shared" si="2"/>
        <v>23687787</v>
      </c>
      <c r="F54" s="23">
        <f t="shared" si="3"/>
        <v>40.845589591937028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37810549</v>
      </c>
      <c r="D55" s="22">
        <v>48325817</v>
      </c>
      <c r="E55" s="22">
        <f t="shared" si="2"/>
        <v>10515268</v>
      </c>
      <c r="F55" s="23">
        <f t="shared" si="3"/>
        <v>0.27810408148265714</v>
      </c>
    </row>
    <row r="56" spans="1:6" ht="24" customHeight="1" x14ac:dyDescent="0.25">
      <c r="A56" s="24"/>
      <c r="B56" s="25" t="s">
        <v>54</v>
      </c>
      <c r="C56" s="26">
        <f>SUM(C49:C55)</f>
        <v>144425314</v>
      </c>
      <c r="D56" s="26">
        <f>SUM(D49:D55)</f>
        <v>200924089</v>
      </c>
      <c r="E56" s="26">
        <f t="shared" si="2"/>
        <v>56498775</v>
      </c>
      <c r="F56" s="27">
        <f t="shared" si="3"/>
        <v>0.39119717614046523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398615911</v>
      </c>
      <c r="D59" s="22">
        <v>410747010</v>
      </c>
      <c r="E59" s="22">
        <f>D59-C59</f>
        <v>12131099</v>
      </c>
      <c r="F59" s="23">
        <f>IF(C59=0,0,E59/C59)</f>
        <v>3.0433052633466004E-2</v>
      </c>
    </row>
    <row r="60" spans="1:6" ht="24" customHeight="1" x14ac:dyDescent="0.2">
      <c r="A60" s="20">
        <v>2</v>
      </c>
      <c r="B60" s="21" t="s">
        <v>57</v>
      </c>
      <c r="C60" s="22">
        <v>12811438</v>
      </c>
      <c r="D60" s="22">
        <v>12484333</v>
      </c>
      <c r="E60" s="22">
        <f>D60-C60</f>
        <v>-327105</v>
      </c>
      <c r="F60" s="23">
        <f>IF(C60=0,0,E60/C60)</f>
        <v>-2.5532262654668431E-2</v>
      </c>
    </row>
    <row r="61" spans="1:6" ht="24" customHeight="1" x14ac:dyDescent="0.25">
      <c r="A61" s="24"/>
      <c r="B61" s="25" t="s">
        <v>58</v>
      </c>
      <c r="C61" s="26">
        <f>SUM(C59:C60)</f>
        <v>411427349</v>
      </c>
      <c r="D61" s="26">
        <f>SUM(D59:D60)</f>
        <v>423231343</v>
      </c>
      <c r="E61" s="26">
        <f>D61-C61</f>
        <v>11803994</v>
      </c>
      <c r="F61" s="27">
        <f>IF(C61=0,0,E61/C61)</f>
        <v>2.8690348438649857E-2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229350990</v>
      </c>
      <c r="D63" s="22">
        <v>326751108</v>
      </c>
      <c r="E63" s="22">
        <f>D63-C63</f>
        <v>97400118</v>
      </c>
      <c r="F63" s="23">
        <f>IF(C63=0,0,E63/C63)</f>
        <v>0.42467712042577188</v>
      </c>
    </row>
    <row r="64" spans="1:6" ht="24" customHeight="1" x14ac:dyDescent="0.2">
      <c r="A64" s="20">
        <v>4</v>
      </c>
      <c r="B64" s="21" t="s">
        <v>60</v>
      </c>
      <c r="C64" s="22">
        <v>47032869</v>
      </c>
      <c r="D64" s="22">
        <v>46656134</v>
      </c>
      <c r="E64" s="22">
        <f>D64-C64</f>
        <v>-376735</v>
      </c>
      <c r="F64" s="23">
        <f>IF(C64=0,0,E64/C64)</f>
        <v>-8.0100365554990911E-3</v>
      </c>
    </row>
    <row r="65" spans="1:6" ht="24" customHeight="1" x14ac:dyDescent="0.25">
      <c r="A65" s="24"/>
      <c r="B65" s="25" t="s">
        <v>61</v>
      </c>
      <c r="C65" s="26">
        <f>SUM(C61:C64)</f>
        <v>687811208</v>
      </c>
      <c r="D65" s="26">
        <f>SUM(D61:D64)</f>
        <v>796638585</v>
      </c>
      <c r="E65" s="26">
        <f>D65-C65</f>
        <v>108827377</v>
      </c>
      <c r="F65" s="27">
        <f>IF(C65=0,0,E65/C65)</f>
        <v>0.15822274445984311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164284091</v>
      </c>
      <c r="D70" s="22">
        <v>23382042</v>
      </c>
      <c r="E70" s="22">
        <f>D70-C70</f>
        <v>-140902049</v>
      </c>
      <c r="F70" s="23">
        <f>IF(C70=0,0,E70/C70)</f>
        <v>-0.85767312064319123</v>
      </c>
    </row>
    <row r="71" spans="1:6" ht="24" customHeight="1" x14ac:dyDescent="0.2">
      <c r="A71" s="20">
        <v>2</v>
      </c>
      <c r="B71" s="21" t="s">
        <v>65</v>
      </c>
      <c r="C71" s="22">
        <v>116849537</v>
      </c>
      <c r="D71" s="22">
        <v>128545643</v>
      </c>
      <c r="E71" s="22">
        <f>D71-C71</f>
        <v>11696106</v>
      </c>
      <c r="F71" s="23">
        <f>IF(C71=0,0,E71/C71)</f>
        <v>0.10009544154205763</v>
      </c>
    </row>
    <row r="72" spans="1:6" ht="24" customHeight="1" x14ac:dyDescent="0.2">
      <c r="A72" s="20">
        <v>3</v>
      </c>
      <c r="B72" s="21" t="s">
        <v>66</v>
      </c>
      <c r="C72" s="22">
        <v>177389471</v>
      </c>
      <c r="D72" s="22">
        <v>185751098</v>
      </c>
      <c r="E72" s="22">
        <f>D72-C72</f>
        <v>8361627</v>
      </c>
      <c r="F72" s="23">
        <f>IF(C72=0,0,E72/C72)</f>
        <v>4.7137109958459711E-2</v>
      </c>
    </row>
    <row r="73" spans="1:6" ht="24" customHeight="1" x14ac:dyDescent="0.25">
      <c r="A73" s="20"/>
      <c r="B73" s="25" t="s">
        <v>67</v>
      </c>
      <c r="C73" s="26">
        <f>SUM(C70:C72)</f>
        <v>458523099</v>
      </c>
      <c r="D73" s="26">
        <f>SUM(D70:D72)</f>
        <v>337678783</v>
      </c>
      <c r="E73" s="26">
        <f>D73-C73</f>
        <v>-120844316</v>
      </c>
      <c r="F73" s="27">
        <f>IF(C73=0,0,E73/C73)</f>
        <v>-0.26355120660998588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1290759621</v>
      </c>
      <c r="D75" s="26">
        <f>D56+D65+D67+D73</f>
        <v>1335241457</v>
      </c>
      <c r="E75" s="26">
        <f>D75-C75</f>
        <v>44481836</v>
      </c>
      <c r="F75" s="27">
        <f>IF(C75=0,0,E75/C75)</f>
        <v>3.4461750488861936E-2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5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2271219000</v>
      </c>
      <c r="D11" s="76">
        <v>2239380000</v>
      </c>
      <c r="E11" s="76">
        <v>2350802000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210363000</v>
      </c>
      <c r="D12" s="185">
        <v>207215000</v>
      </c>
      <c r="E12" s="185">
        <v>313129000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2481582000</v>
      </c>
      <c r="D13" s="76">
        <f>+D11+D12</f>
        <v>2446595000</v>
      </c>
      <c r="E13" s="76">
        <f>+E11+E12</f>
        <v>2663931000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2429396000</v>
      </c>
      <c r="D14" s="185">
        <v>2416588000</v>
      </c>
      <c r="E14" s="185">
        <v>2528378000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52186000</v>
      </c>
      <c r="D15" s="76">
        <f>+D13-D14</f>
        <v>30007000</v>
      </c>
      <c r="E15" s="76">
        <f>+E13-E14</f>
        <v>135553000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51361000</v>
      </c>
      <c r="D16" s="185">
        <v>-13368000</v>
      </c>
      <c r="E16" s="185">
        <v>71686000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103547000</v>
      </c>
      <c r="D17" s="76">
        <f>D15+D16</f>
        <v>16639000</v>
      </c>
      <c r="E17" s="76">
        <f>E15+E16</f>
        <v>207239000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2.0602911316993711E-2</v>
      </c>
      <c r="D20" s="189">
        <f>IF(+D27=0,0,+D24/+D27)</f>
        <v>1.2332182735108561E-2</v>
      </c>
      <c r="E20" s="189">
        <f>IF(+E27=0,0,+E24/+E27)</f>
        <v>4.9551161584388458E-2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2.027720323749883E-2</v>
      </c>
      <c r="D21" s="189">
        <f>IF(+D27=0,0,+D26/+D27)</f>
        <v>-5.4939387077325708E-3</v>
      </c>
      <c r="E21" s="189">
        <f>IF(+E27=0,0,+E26/+E27)</f>
        <v>2.6204691665536513E-2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4.0880114554492544E-2</v>
      </c>
      <c r="D22" s="189">
        <f>IF(+D27=0,0,+D28/+D27)</f>
        <v>6.8382440273759906E-3</v>
      </c>
      <c r="E22" s="189">
        <f>IF(+E27=0,0,+E28/+E27)</f>
        <v>7.5755853249924968E-2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52186000</v>
      </c>
      <c r="D24" s="76">
        <f>+D15</f>
        <v>30007000</v>
      </c>
      <c r="E24" s="76">
        <f>+E15</f>
        <v>135553000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2481582000</v>
      </c>
      <c r="D25" s="76">
        <f>+D13</f>
        <v>2446595000</v>
      </c>
      <c r="E25" s="76">
        <f>+E13</f>
        <v>2663931000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51361000</v>
      </c>
      <c r="D26" s="76">
        <f>+D16</f>
        <v>-13368000</v>
      </c>
      <c r="E26" s="76">
        <f>+E16</f>
        <v>71686000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2532943000</v>
      </c>
      <c r="D27" s="76">
        <f>SUM(D25:D26)</f>
        <v>2433227000</v>
      </c>
      <c r="E27" s="76">
        <f>SUM(E25:E26)</f>
        <v>2735617000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103547000</v>
      </c>
      <c r="D28" s="76">
        <f>+D17</f>
        <v>16639000</v>
      </c>
      <c r="E28" s="76">
        <f>+E17</f>
        <v>207239000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1104267000</v>
      </c>
      <c r="D31" s="76">
        <v>1094448000</v>
      </c>
      <c r="E31" s="76">
        <v>1087549000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1575989000</v>
      </c>
      <c r="D32" s="76">
        <v>1541154000</v>
      </c>
      <c r="E32" s="76">
        <v>1563280000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-33592000</v>
      </c>
      <c r="D33" s="76">
        <f>+D32-C32</f>
        <v>-34835000</v>
      </c>
      <c r="E33" s="76">
        <f>+E32-D32</f>
        <v>22126000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0.97909999999999997</v>
      </c>
      <c r="D34" s="193">
        <f>IF(C32=0,0,+D33/C32)</f>
        <v>-2.2103580672200123E-2</v>
      </c>
      <c r="E34" s="193">
        <f>IF(D32=0,0,+E33/D32)</f>
        <v>1.4356774209456032E-2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2.0542709480554908</v>
      </c>
      <c r="D38" s="338">
        <f>IF(+D40=0,0,+D39/+D40)</f>
        <v>1.8074473366571688</v>
      </c>
      <c r="E38" s="338">
        <f>IF(+E40=0,0,+E39/+E40)</f>
        <v>1.4811430882310024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813253000</v>
      </c>
      <c r="D39" s="341">
        <v>768185000</v>
      </c>
      <c r="E39" s="341">
        <v>710531000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395884000</v>
      </c>
      <c r="D40" s="341">
        <v>425011000</v>
      </c>
      <c r="E40" s="341">
        <v>479718000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66.960348123549323</v>
      </c>
      <c r="D42" s="343">
        <f>IF((D48/365)=0,0,+D45/(D48/365))</f>
        <v>59.912838274869095</v>
      </c>
      <c r="E42" s="343">
        <f>IF((E48/365)=0,0,+E45/(E48/365))</f>
        <v>44.80974871777493</v>
      </c>
    </row>
    <row r="43" spans="1:14" ht="24" customHeight="1" x14ac:dyDescent="0.2">
      <c r="A43" s="339">
        <v>5</v>
      </c>
      <c r="B43" s="344" t="s">
        <v>16</v>
      </c>
      <c r="C43" s="345">
        <v>423879000</v>
      </c>
      <c r="D43" s="345">
        <v>376098000</v>
      </c>
      <c r="E43" s="345">
        <v>293434000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423879000</v>
      </c>
      <c r="D45" s="341">
        <f>+D43+D44</f>
        <v>376098000</v>
      </c>
      <c r="E45" s="341">
        <f>+E43+E44</f>
        <v>293434000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2429396000</v>
      </c>
      <c r="D46" s="341">
        <f>+D14</f>
        <v>2416588000</v>
      </c>
      <c r="E46" s="341">
        <f>+E14</f>
        <v>2528378000</v>
      </c>
    </row>
    <row r="47" spans="1:14" ht="24" customHeight="1" x14ac:dyDescent="0.2">
      <c r="A47" s="339">
        <v>9</v>
      </c>
      <c r="B47" s="340" t="s">
        <v>356</v>
      </c>
      <c r="C47" s="341">
        <v>118837000</v>
      </c>
      <c r="D47" s="341">
        <v>125330000</v>
      </c>
      <c r="E47" s="341">
        <v>138197000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2310559000</v>
      </c>
      <c r="D48" s="341">
        <f>+D46-D47</f>
        <v>2291258000</v>
      </c>
      <c r="E48" s="341">
        <f>+E46-E47</f>
        <v>2390181000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37.818935558393974</v>
      </c>
      <c r="D50" s="350">
        <f>IF((D55/365)=0,0,+D54/(D55/365))</f>
        <v>37.511036536898608</v>
      </c>
      <c r="E50" s="350">
        <f>IF((E55/365)=0,0,+E54/(E55/365))</f>
        <v>41.211675845094568</v>
      </c>
    </row>
    <row r="51" spans="1:5" ht="24" customHeight="1" x14ac:dyDescent="0.2">
      <c r="A51" s="339">
        <v>12</v>
      </c>
      <c r="B51" s="344" t="s">
        <v>359</v>
      </c>
      <c r="C51" s="351">
        <v>292535000</v>
      </c>
      <c r="D51" s="351">
        <v>296632000</v>
      </c>
      <c r="E51" s="351">
        <v>315862000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57206000</v>
      </c>
      <c r="D53" s="341">
        <v>66491000</v>
      </c>
      <c r="E53" s="341">
        <v>50436000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235329000</v>
      </c>
      <c r="D54" s="352">
        <f>+D51+D52-D53</f>
        <v>230141000</v>
      </c>
      <c r="E54" s="352">
        <f>+E51+E52-E53</f>
        <v>265426000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2271219000</v>
      </c>
      <c r="D55" s="341">
        <f>+D11</f>
        <v>2239380000</v>
      </c>
      <c r="E55" s="341">
        <f>+E11</f>
        <v>2350802000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62.537965920800985</v>
      </c>
      <c r="D57" s="355">
        <f>IF((D61/365)=0,0,+D58/(D61/365))</f>
        <v>67.704734691597366</v>
      </c>
      <c r="E57" s="355">
        <f>IF((E61/365)=0,0,+E58/(E61/365))</f>
        <v>73.256824483166753</v>
      </c>
    </row>
    <row r="58" spans="1:5" ht="24" customHeight="1" x14ac:dyDescent="0.2">
      <c r="A58" s="339">
        <v>18</v>
      </c>
      <c r="B58" s="340" t="s">
        <v>54</v>
      </c>
      <c r="C58" s="353">
        <f>+C40</f>
        <v>395884000</v>
      </c>
      <c r="D58" s="353">
        <f>+D40</f>
        <v>425011000</v>
      </c>
      <c r="E58" s="353">
        <f>+E40</f>
        <v>479718000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2429396000</v>
      </c>
      <c r="D59" s="353">
        <f t="shared" si="0"/>
        <v>2416588000</v>
      </c>
      <c r="E59" s="353">
        <f t="shared" si="0"/>
        <v>2528378000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118837000</v>
      </c>
      <c r="D60" s="356">
        <f t="shared" si="0"/>
        <v>125330000</v>
      </c>
      <c r="E60" s="356">
        <f t="shared" si="0"/>
        <v>138197000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2310559000</v>
      </c>
      <c r="D61" s="353">
        <f>+D59-D60</f>
        <v>2291258000</v>
      </c>
      <c r="E61" s="353">
        <f>+E59-E60</f>
        <v>2390181000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47.538335591621127</v>
      </c>
      <c r="D65" s="357">
        <f>IF(D67=0,0,(D66/D67)*100)</f>
        <v>44.034707654187514</v>
      </c>
      <c r="E65" s="357">
        <f>IF(E67=0,0,(E66/E67)*100)</f>
        <v>41.557121370251494</v>
      </c>
    </row>
    <row r="66" spans="1:5" ht="24" customHeight="1" x14ac:dyDescent="0.2">
      <c r="A66" s="339">
        <v>2</v>
      </c>
      <c r="B66" s="340" t="s">
        <v>67</v>
      </c>
      <c r="C66" s="353">
        <f>+C32</f>
        <v>1575989000</v>
      </c>
      <c r="D66" s="353">
        <f>+D32</f>
        <v>1541154000</v>
      </c>
      <c r="E66" s="353">
        <f>+E32</f>
        <v>1563280000</v>
      </c>
    </row>
    <row r="67" spans="1:5" ht="24" customHeight="1" x14ac:dyDescent="0.2">
      <c r="A67" s="339">
        <v>3</v>
      </c>
      <c r="B67" s="340" t="s">
        <v>43</v>
      </c>
      <c r="C67" s="353">
        <v>3315196000</v>
      </c>
      <c r="D67" s="353">
        <v>3499862000</v>
      </c>
      <c r="E67" s="353">
        <v>3761762000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21.181365153385453</v>
      </c>
      <c r="D69" s="357">
        <f>IF(D75=0,0,(D72/D75)*100)</f>
        <v>11.255598306217539</v>
      </c>
      <c r="E69" s="357">
        <f>IF(E75=0,0,(E72/E75)*100)</f>
        <v>26.14327047442745</v>
      </c>
    </row>
    <row r="70" spans="1:5" ht="24" customHeight="1" x14ac:dyDescent="0.2">
      <c r="A70" s="339">
        <v>5</v>
      </c>
      <c r="B70" s="340" t="s">
        <v>366</v>
      </c>
      <c r="C70" s="353">
        <f>+C28</f>
        <v>103547000</v>
      </c>
      <c r="D70" s="353">
        <f>+D28</f>
        <v>16639000</v>
      </c>
      <c r="E70" s="353">
        <f>+E28</f>
        <v>207239000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118837000</v>
      </c>
      <c r="D71" s="356">
        <f>+D47</f>
        <v>125330000</v>
      </c>
      <c r="E71" s="356">
        <f>+E47</f>
        <v>138197000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222384000</v>
      </c>
      <c r="D72" s="353">
        <f>+D70+D71</f>
        <v>141969000</v>
      </c>
      <c r="E72" s="353">
        <f>+E70+E71</f>
        <v>345436000</v>
      </c>
    </row>
    <row r="73" spans="1:5" ht="24" customHeight="1" x14ac:dyDescent="0.2">
      <c r="A73" s="339">
        <v>8</v>
      </c>
      <c r="B73" s="340" t="s">
        <v>54</v>
      </c>
      <c r="C73" s="341">
        <f>+C40</f>
        <v>395884000</v>
      </c>
      <c r="D73" s="341">
        <f>+D40</f>
        <v>425011000</v>
      </c>
      <c r="E73" s="341">
        <f>+E40</f>
        <v>479718000</v>
      </c>
    </row>
    <row r="74" spans="1:5" ht="24" customHeight="1" x14ac:dyDescent="0.2">
      <c r="A74" s="339">
        <v>9</v>
      </c>
      <c r="B74" s="340" t="s">
        <v>58</v>
      </c>
      <c r="C74" s="353">
        <v>654020000</v>
      </c>
      <c r="D74" s="353">
        <v>836308000</v>
      </c>
      <c r="E74" s="353">
        <v>841601000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1049904000</v>
      </c>
      <c r="D75" s="341">
        <f>+D73+D74</f>
        <v>1261319000</v>
      </c>
      <c r="E75" s="341">
        <f>+E73+E74</f>
        <v>1321319000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29.328132756414881</v>
      </c>
      <c r="D77" s="359">
        <f>IF(D80=0,0,(D78/D80)*100)</f>
        <v>35.176503346846346</v>
      </c>
      <c r="E77" s="359">
        <f>IF(E80=0,0,(E78/E80)*100)</f>
        <v>34.995536161664546</v>
      </c>
    </row>
    <row r="78" spans="1:5" ht="24" customHeight="1" x14ac:dyDescent="0.2">
      <c r="A78" s="339">
        <v>12</v>
      </c>
      <c r="B78" s="340" t="s">
        <v>58</v>
      </c>
      <c r="C78" s="341">
        <f>+C74</f>
        <v>654020000</v>
      </c>
      <c r="D78" s="341">
        <f>+D74</f>
        <v>836308000</v>
      </c>
      <c r="E78" s="341">
        <f>+E74</f>
        <v>841601000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1575989000</v>
      </c>
      <c r="D79" s="341">
        <f>+D32</f>
        <v>1541154000</v>
      </c>
      <c r="E79" s="341">
        <f>+E32</f>
        <v>1563280000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2230009000</v>
      </c>
      <c r="D80" s="341">
        <f>+D78+D79</f>
        <v>2377462000</v>
      </c>
      <c r="E80" s="341">
        <f>+E78+E79</f>
        <v>2404881000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152302</v>
      </c>
      <c r="D11" s="376">
        <v>32031</v>
      </c>
      <c r="E11" s="376">
        <v>31309</v>
      </c>
      <c r="F11" s="377">
        <v>418</v>
      </c>
      <c r="G11" s="377">
        <v>516</v>
      </c>
      <c r="H11" s="378">
        <f>IF(F11=0,0,$C11/(F11*365))</f>
        <v>0.99824342924559217</v>
      </c>
      <c r="I11" s="378">
        <f>IF(G11=0,0,$C11/(G11*365))</f>
        <v>0.80865456090049914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23426</v>
      </c>
      <c r="D13" s="376">
        <v>752</v>
      </c>
      <c r="E13" s="376">
        <v>0</v>
      </c>
      <c r="F13" s="377">
        <v>65</v>
      </c>
      <c r="G13" s="377">
        <v>72</v>
      </c>
      <c r="H13" s="378">
        <f>IF(F13=0,0,$C13/(F13*365))</f>
        <v>0.98739726027397257</v>
      </c>
      <c r="I13" s="378">
        <f>IF(G13=0,0,$C13/(G13*365))</f>
        <v>0.89140030441400309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8626</v>
      </c>
      <c r="D15" s="376">
        <v>1057</v>
      </c>
      <c r="E15" s="376">
        <v>1058</v>
      </c>
      <c r="F15" s="377">
        <v>27</v>
      </c>
      <c r="G15" s="377">
        <v>29</v>
      </c>
      <c r="H15" s="378">
        <f t="shared" ref="H15:I17" si="0">IF(F15=0,0,$C15/(F15*365))</f>
        <v>0.87529173008625061</v>
      </c>
      <c r="I15" s="378">
        <f t="shared" si="0"/>
        <v>0.81492678318375056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29075</v>
      </c>
      <c r="D16" s="376">
        <v>2666</v>
      </c>
      <c r="E16" s="376">
        <v>2587</v>
      </c>
      <c r="F16" s="377">
        <v>80</v>
      </c>
      <c r="G16" s="377">
        <v>92</v>
      </c>
      <c r="H16" s="378">
        <f t="shared" si="0"/>
        <v>0.99571917808219179</v>
      </c>
      <c r="I16" s="378">
        <f t="shared" si="0"/>
        <v>0.865842763549732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37701</v>
      </c>
      <c r="D17" s="381">
        <f>SUM(D15:D16)</f>
        <v>3723</v>
      </c>
      <c r="E17" s="381">
        <f>SUM(E15:E16)</f>
        <v>3645</v>
      </c>
      <c r="F17" s="381">
        <f>SUM(F15:F16)</f>
        <v>107</v>
      </c>
      <c r="G17" s="381">
        <f>SUM(G15:G16)</f>
        <v>121</v>
      </c>
      <c r="H17" s="382">
        <f t="shared" si="0"/>
        <v>0.96533094354115989</v>
      </c>
      <c r="I17" s="382">
        <f t="shared" si="0"/>
        <v>0.8536397599909431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10896</v>
      </c>
      <c r="D21" s="376">
        <v>3726</v>
      </c>
      <c r="E21" s="376">
        <v>3887</v>
      </c>
      <c r="F21" s="377">
        <v>30</v>
      </c>
      <c r="G21" s="377">
        <v>43</v>
      </c>
      <c r="H21" s="378">
        <f>IF(F21=0,0,$C21/(F21*365))</f>
        <v>0.99506849315068491</v>
      </c>
      <c r="I21" s="378">
        <f>IF(G21=0,0,$C21/(G21*365))</f>
        <v>0.69423383243071046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9029</v>
      </c>
      <c r="D23" s="376">
        <v>3856</v>
      </c>
      <c r="E23" s="376">
        <v>3857</v>
      </c>
      <c r="F23" s="377">
        <v>25</v>
      </c>
      <c r="G23" s="377">
        <v>48</v>
      </c>
      <c r="H23" s="378">
        <f>IF(F23=0,0,$C23/(F23*365))</f>
        <v>0.98947945205479448</v>
      </c>
      <c r="I23" s="378">
        <f>IF(G23=0,0,$C23/(G23*365))</f>
        <v>0.51535388127853876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224325</v>
      </c>
      <c r="D31" s="384">
        <f>SUM(D10:D29)-D13-D17-D23</f>
        <v>39480</v>
      </c>
      <c r="E31" s="384">
        <f>SUM(E10:E29)-E17-E23</f>
        <v>38841</v>
      </c>
      <c r="F31" s="384">
        <f>SUM(F10:F29)-F17-F23</f>
        <v>620</v>
      </c>
      <c r="G31" s="384">
        <f>SUM(G10:G29)-G17-G23</f>
        <v>752</v>
      </c>
      <c r="H31" s="385">
        <f>IF(F31=0,0,$C31/(F31*365))</f>
        <v>0.99127264692885553</v>
      </c>
      <c r="I31" s="385">
        <f>IF(G31=0,0,$C31/(G31*365))</f>
        <v>0.81727266103176921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233354</v>
      </c>
      <c r="D33" s="384">
        <f>SUM(D10:D29)-D13-D17</f>
        <v>43336</v>
      </c>
      <c r="E33" s="384">
        <f>SUM(E10:E29)-E17</f>
        <v>42698</v>
      </c>
      <c r="F33" s="384">
        <f>SUM(F10:F29)-F17</f>
        <v>645</v>
      </c>
      <c r="G33" s="384">
        <f>SUM(G10:G29)-G17</f>
        <v>800</v>
      </c>
      <c r="H33" s="385">
        <f>IF(F33=0,0,$C33/(F33*365))</f>
        <v>0.99120314325156633</v>
      </c>
      <c r="I33" s="385">
        <f>IF(G33=0,0,$C33/(G33*365))</f>
        <v>0.79915753424657532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233354</v>
      </c>
      <c r="D36" s="384">
        <f t="shared" si="1"/>
        <v>43336</v>
      </c>
      <c r="E36" s="384">
        <f t="shared" si="1"/>
        <v>42698</v>
      </c>
      <c r="F36" s="384">
        <f t="shared" si="1"/>
        <v>645</v>
      </c>
      <c r="G36" s="384">
        <f t="shared" si="1"/>
        <v>800</v>
      </c>
      <c r="H36" s="387">
        <f t="shared" si="1"/>
        <v>0.99120314325156633</v>
      </c>
      <c r="I36" s="387">
        <f t="shared" si="1"/>
        <v>0.79915753424657532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230835</v>
      </c>
      <c r="D37" s="384">
        <v>43350</v>
      </c>
      <c r="E37" s="384">
        <v>43363</v>
      </c>
      <c r="F37" s="386">
        <v>673</v>
      </c>
      <c r="G37" s="386">
        <v>802</v>
      </c>
      <c r="H37" s="385">
        <f>IF(F37=0,0,$C37/(F37*365))</f>
        <v>0.93970974373587901</v>
      </c>
      <c r="I37" s="385">
        <f>IF(G37=0,0,$C37/(G37*365))</f>
        <v>0.78855942335940965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2519</v>
      </c>
      <c r="D38" s="384">
        <f t="shared" si="2"/>
        <v>-14</v>
      </c>
      <c r="E38" s="384">
        <f t="shared" si="2"/>
        <v>-665</v>
      </c>
      <c r="F38" s="384">
        <f t="shared" si="2"/>
        <v>-28</v>
      </c>
      <c r="G38" s="384">
        <f t="shared" si="2"/>
        <v>-2</v>
      </c>
      <c r="H38" s="387">
        <f t="shared" si="2"/>
        <v>5.1493399515687321E-2</v>
      </c>
      <c r="I38" s="387">
        <f t="shared" si="2"/>
        <v>1.0598110887165668E-2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1.0912556588039076E-2</v>
      </c>
      <c r="D40" s="389">
        <f t="shared" si="3"/>
        <v>-3.2295271049596311E-4</v>
      </c>
      <c r="E40" s="389">
        <f t="shared" si="3"/>
        <v>-1.5335654820930286E-2</v>
      </c>
      <c r="F40" s="389">
        <f t="shared" si="3"/>
        <v>-4.1604754829123326E-2</v>
      </c>
      <c r="G40" s="389">
        <f t="shared" si="3"/>
        <v>-2.4937655860349127E-3</v>
      </c>
      <c r="H40" s="389">
        <f t="shared" si="3"/>
        <v>5.479713268798498E-2</v>
      </c>
      <c r="I40" s="389">
        <f t="shared" si="3"/>
        <v>1.3439837979509201E-2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867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FILING&amp;RHARTFORD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26939</v>
      </c>
      <c r="D12" s="409">
        <v>28984</v>
      </c>
      <c r="E12" s="409">
        <f>+D12-C12</f>
        <v>2045</v>
      </c>
      <c r="F12" s="410">
        <f>IF(C12=0,0,+E12/C12)</f>
        <v>7.5912246185827245E-2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5442</v>
      </c>
      <c r="D13" s="409">
        <v>5762</v>
      </c>
      <c r="E13" s="409">
        <f>+D13-C13</f>
        <v>320</v>
      </c>
      <c r="F13" s="410">
        <f>IF(C13=0,0,+E13/C13)</f>
        <v>5.8801911062109517E-2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14940</v>
      </c>
      <c r="D14" s="409">
        <v>16128</v>
      </c>
      <c r="E14" s="409">
        <f>+D14-C14</f>
        <v>1188</v>
      </c>
      <c r="F14" s="410">
        <f>IF(C14=0,0,+E14/C14)</f>
        <v>7.9518072289156624E-2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47321</v>
      </c>
      <c r="D16" s="401">
        <f>SUM(D12:D15)</f>
        <v>50874</v>
      </c>
      <c r="E16" s="401">
        <f>+D16-C16</f>
        <v>3553</v>
      </c>
      <c r="F16" s="402">
        <f>IF(C16=0,0,+E16/C16)</f>
        <v>7.5082944147418687E-2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5677</v>
      </c>
      <c r="D19" s="409">
        <v>5855</v>
      </c>
      <c r="E19" s="409">
        <f>+D19-C19</f>
        <v>178</v>
      </c>
      <c r="F19" s="410">
        <f>IF(C19=0,0,+E19/C19)</f>
        <v>3.1354588691210147E-2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4701</v>
      </c>
      <c r="D20" s="409">
        <v>4372</v>
      </c>
      <c r="E20" s="409">
        <f>+D20-C20</f>
        <v>-329</v>
      </c>
      <c r="F20" s="410">
        <f>IF(C20=0,0,+E20/C20)</f>
        <v>-6.998510955115933E-2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491</v>
      </c>
      <c r="D21" s="409">
        <v>457</v>
      </c>
      <c r="E21" s="409">
        <f>+D21-C21</f>
        <v>-34</v>
      </c>
      <c r="F21" s="410">
        <f>IF(C21=0,0,+E21/C21)</f>
        <v>-6.9246435845213852E-2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10869</v>
      </c>
      <c r="D23" s="401">
        <f>SUM(D19:D22)</f>
        <v>10684</v>
      </c>
      <c r="E23" s="401">
        <f>+D23-C23</f>
        <v>-185</v>
      </c>
      <c r="F23" s="402">
        <f>IF(C23=0,0,+E23/C23)</f>
        <v>-1.7020885086024472E-2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72</v>
      </c>
      <c r="D26" s="409">
        <v>63</v>
      </c>
      <c r="E26" s="409">
        <f>+D26-C26</f>
        <v>-9</v>
      </c>
      <c r="F26" s="410">
        <f>IF(C26=0,0,+E26/C26)</f>
        <v>-0.125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1197</v>
      </c>
      <c r="D27" s="409">
        <v>1175</v>
      </c>
      <c r="E27" s="409">
        <f>+D27-C27</f>
        <v>-22</v>
      </c>
      <c r="F27" s="410">
        <f>IF(C27=0,0,+E27/C27)</f>
        <v>-1.8379281537176273E-2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1269</v>
      </c>
      <c r="D30" s="401">
        <f>SUM(D26:D29)</f>
        <v>1238</v>
      </c>
      <c r="E30" s="401">
        <f>+D30-C30</f>
        <v>-31</v>
      </c>
      <c r="F30" s="402">
        <f>IF(C30=0,0,+E30/C30)</f>
        <v>-2.4428684003152089E-2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142</v>
      </c>
      <c r="D33" s="409">
        <v>163</v>
      </c>
      <c r="E33" s="409">
        <f>+D33-C33</f>
        <v>21</v>
      </c>
      <c r="F33" s="410">
        <f>IF(C33=0,0,+E33/C33)</f>
        <v>0.14788732394366197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123</v>
      </c>
      <c r="D34" s="409">
        <v>154</v>
      </c>
      <c r="E34" s="409">
        <f>+D34-C34</f>
        <v>31</v>
      </c>
      <c r="F34" s="410">
        <f>IF(C34=0,0,+E34/C34)</f>
        <v>0.25203252032520324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265</v>
      </c>
      <c r="D37" s="401">
        <f>SUM(D33:D36)</f>
        <v>317</v>
      </c>
      <c r="E37" s="401">
        <f>+D37-C37</f>
        <v>52</v>
      </c>
      <c r="F37" s="402">
        <f>IF(C37=0,0,+E37/C37)</f>
        <v>0.19622641509433963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2058</v>
      </c>
      <c r="D43" s="409">
        <v>2099</v>
      </c>
      <c r="E43" s="409">
        <f>+D43-C43</f>
        <v>41</v>
      </c>
      <c r="F43" s="410">
        <f>IF(C43=0,0,+E43/C43)</f>
        <v>1.9922254616132166E-2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44676</v>
      </c>
      <c r="D44" s="409">
        <v>43787</v>
      </c>
      <c r="E44" s="409">
        <f>+D44-C44</f>
        <v>-889</v>
      </c>
      <c r="F44" s="410">
        <f>IF(C44=0,0,+E44/C44)</f>
        <v>-1.9898827110752977E-2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46734</v>
      </c>
      <c r="D45" s="401">
        <f>SUM(D43:D44)</f>
        <v>45886</v>
      </c>
      <c r="E45" s="401">
        <f>+D45-C45</f>
        <v>-848</v>
      </c>
      <c r="F45" s="402">
        <f>IF(C45=0,0,+E45/C45)</f>
        <v>-1.8145247571361323E-2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1977</v>
      </c>
      <c r="D48" s="409">
        <v>1937</v>
      </c>
      <c r="E48" s="409">
        <f>+D48-C48</f>
        <v>-40</v>
      </c>
      <c r="F48" s="410">
        <f>IF(C48=0,0,+E48/C48)</f>
        <v>-2.0232675771370764E-2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1449</v>
      </c>
      <c r="D49" s="409">
        <v>1445</v>
      </c>
      <c r="E49" s="409">
        <f>+D49-C49</f>
        <v>-4</v>
      </c>
      <c r="F49" s="410">
        <f>IF(C49=0,0,+E49/C49)</f>
        <v>-2.7605244996549345E-3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3426</v>
      </c>
      <c r="D50" s="401">
        <f>SUM(D48:D49)</f>
        <v>3382</v>
      </c>
      <c r="E50" s="401">
        <f>+D50-C50</f>
        <v>-44</v>
      </c>
      <c r="F50" s="402">
        <f>IF(C50=0,0,+E50/C50)</f>
        <v>-1.284296555750146E-2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420</v>
      </c>
      <c r="D53" s="409">
        <v>395</v>
      </c>
      <c r="E53" s="409">
        <f>+D53-C53</f>
        <v>-25</v>
      </c>
      <c r="F53" s="410">
        <f>IF(C53=0,0,+E53/C53)</f>
        <v>-5.9523809523809521E-2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733</v>
      </c>
      <c r="D54" s="409">
        <v>765</v>
      </c>
      <c r="E54" s="409">
        <f>+D54-C54</f>
        <v>32</v>
      </c>
      <c r="F54" s="410">
        <f>IF(C54=0,0,+E54/C54)</f>
        <v>4.3656207366984993E-2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1153</v>
      </c>
      <c r="D55" s="401">
        <f>SUM(D53:D54)</f>
        <v>1160</v>
      </c>
      <c r="E55" s="401">
        <f>+D55-C55</f>
        <v>7</v>
      </c>
      <c r="F55" s="402">
        <f>IF(C55=0,0,+E55/C55)</f>
        <v>6.0711188204683438E-3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93</v>
      </c>
      <c r="D58" s="409">
        <v>92</v>
      </c>
      <c r="E58" s="409">
        <f>+D58-C58</f>
        <v>-1</v>
      </c>
      <c r="F58" s="410">
        <f>IF(C58=0,0,+E58/C58)</f>
        <v>-1.0752688172043012E-2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370</v>
      </c>
      <c r="D59" s="409">
        <v>389</v>
      </c>
      <c r="E59" s="409">
        <f>+D59-C59</f>
        <v>19</v>
      </c>
      <c r="F59" s="410">
        <f>IF(C59=0,0,+E59/C59)</f>
        <v>5.1351351351351354E-2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463</v>
      </c>
      <c r="D60" s="401">
        <f>SUM(D58:D59)</f>
        <v>481</v>
      </c>
      <c r="E60" s="401">
        <f>SUM(E58:E59)</f>
        <v>18</v>
      </c>
      <c r="F60" s="402">
        <f>IF(C60=0,0,+E60/C60)</f>
        <v>3.8876889848812095E-2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16754</v>
      </c>
      <c r="D63" s="409">
        <v>16682</v>
      </c>
      <c r="E63" s="409">
        <f>+D63-C63</f>
        <v>-72</v>
      </c>
      <c r="F63" s="410">
        <f>IF(C63=0,0,+E63/C63)</f>
        <v>-4.2974811985197568E-3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26101</v>
      </c>
      <c r="D64" s="409">
        <v>26551</v>
      </c>
      <c r="E64" s="409">
        <f>+D64-C64</f>
        <v>450</v>
      </c>
      <c r="F64" s="410">
        <f>IF(C64=0,0,+E64/C64)</f>
        <v>1.7240718746408184E-2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42855</v>
      </c>
      <c r="D65" s="401">
        <f>SUM(D63:D64)</f>
        <v>43233</v>
      </c>
      <c r="E65" s="401">
        <f>+D65-C65</f>
        <v>378</v>
      </c>
      <c r="F65" s="402">
        <f>IF(C65=0,0,+E65/C65)</f>
        <v>8.8204410220511023E-3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3721</v>
      </c>
      <c r="D68" s="409">
        <v>3738</v>
      </c>
      <c r="E68" s="409">
        <f>+D68-C68</f>
        <v>17</v>
      </c>
      <c r="F68" s="410">
        <f>IF(C68=0,0,+E68/C68)</f>
        <v>4.568664337543671E-3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19569</v>
      </c>
      <c r="D69" s="409">
        <v>20434</v>
      </c>
      <c r="E69" s="409">
        <f>+D69-C69</f>
        <v>865</v>
      </c>
      <c r="F69" s="412">
        <f>IF(C69=0,0,+E69/C69)</f>
        <v>4.4202565281823293E-2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23290</v>
      </c>
      <c r="D70" s="401">
        <f>SUM(D68:D69)</f>
        <v>24172</v>
      </c>
      <c r="E70" s="401">
        <f>+D70-C70</f>
        <v>882</v>
      </c>
      <c r="F70" s="402">
        <f>IF(C70=0,0,+E70/C70)</f>
        <v>3.7870330613997423E-2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24341</v>
      </c>
      <c r="D73" s="376">
        <v>20155</v>
      </c>
      <c r="E73" s="409">
        <f>+D73-C73</f>
        <v>-4186</v>
      </c>
      <c r="F73" s="410">
        <f>IF(C73=0,0,+E73/C73)</f>
        <v>-0.17197321391890227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82947</v>
      </c>
      <c r="D74" s="376">
        <v>85860</v>
      </c>
      <c r="E74" s="409">
        <f>+D74-C74</f>
        <v>2913</v>
      </c>
      <c r="F74" s="410">
        <f>IF(C74=0,0,+E74/C74)</f>
        <v>3.511881080690079E-2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107288</v>
      </c>
      <c r="D75" s="401">
        <f>SUM(D73:D74)</f>
        <v>106015</v>
      </c>
      <c r="E75" s="401">
        <f>SUM(E73:E74)</f>
        <v>-1273</v>
      </c>
      <c r="F75" s="402">
        <f>IF(C75=0,0,+E75/C75)</f>
        <v>-1.1865259861307882E-2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14830</v>
      </c>
      <c r="D80" s="376">
        <v>14887</v>
      </c>
      <c r="E80" s="409">
        <f t="shared" si="0"/>
        <v>57</v>
      </c>
      <c r="F80" s="410">
        <f t="shared" si="1"/>
        <v>3.8435603506405936E-3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11894</v>
      </c>
      <c r="D81" s="376">
        <v>10517</v>
      </c>
      <c r="E81" s="409">
        <f t="shared" si="0"/>
        <v>-1377</v>
      </c>
      <c r="F81" s="410">
        <f t="shared" si="1"/>
        <v>-0.11577265848326887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15303</v>
      </c>
      <c r="D85" s="376">
        <v>13987</v>
      </c>
      <c r="E85" s="409">
        <f t="shared" si="0"/>
        <v>-1316</v>
      </c>
      <c r="F85" s="410">
        <f t="shared" si="1"/>
        <v>-8.5996209893484943E-2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18227</v>
      </c>
      <c r="D90" s="376">
        <v>15919</v>
      </c>
      <c r="E90" s="409">
        <f t="shared" si="0"/>
        <v>-2308</v>
      </c>
      <c r="F90" s="410">
        <f t="shared" si="1"/>
        <v>-0.12662533603994075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20501</v>
      </c>
      <c r="D91" s="376">
        <v>18357</v>
      </c>
      <c r="E91" s="409">
        <f t="shared" si="0"/>
        <v>-2144</v>
      </c>
      <c r="F91" s="410">
        <f t="shared" si="1"/>
        <v>-0.10458026437734745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80755</v>
      </c>
      <c r="D92" s="381">
        <f>SUM(D79:D91)</f>
        <v>73667</v>
      </c>
      <c r="E92" s="401">
        <f t="shared" si="0"/>
        <v>-7088</v>
      </c>
      <c r="F92" s="402">
        <f t="shared" si="1"/>
        <v>-8.7771655005881993E-2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152745</v>
      </c>
      <c r="D95" s="414">
        <v>152455</v>
      </c>
      <c r="E95" s="415">
        <f t="shared" ref="E95:E100" si="2">+D95-C95</f>
        <v>-290</v>
      </c>
      <c r="F95" s="412">
        <f t="shared" ref="F95:F100" si="3">IF(C95=0,0,+E95/C95)</f>
        <v>-1.8985891518543978E-3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14240</v>
      </c>
      <c r="D96" s="414">
        <v>12638</v>
      </c>
      <c r="E96" s="409">
        <f t="shared" si="2"/>
        <v>-1602</v>
      </c>
      <c r="F96" s="410">
        <f t="shared" si="3"/>
        <v>-0.1125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1344</v>
      </c>
      <c r="D97" s="414">
        <v>3098</v>
      </c>
      <c r="E97" s="409">
        <f t="shared" si="2"/>
        <v>1754</v>
      </c>
      <c r="F97" s="410">
        <f t="shared" si="3"/>
        <v>1.3050595238095237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17790</v>
      </c>
      <c r="D98" s="414">
        <v>20434</v>
      </c>
      <c r="E98" s="409">
        <f t="shared" si="2"/>
        <v>2644</v>
      </c>
      <c r="F98" s="410">
        <f t="shared" si="3"/>
        <v>0.14862282181000563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18420</v>
      </c>
      <c r="D99" s="414">
        <v>19285</v>
      </c>
      <c r="E99" s="409">
        <f t="shared" si="2"/>
        <v>865</v>
      </c>
      <c r="F99" s="410">
        <f t="shared" si="3"/>
        <v>4.6959826275787188E-2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204539</v>
      </c>
      <c r="D100" s="381">
        <f>SUM(D95:D99)</f>
        <v>207910</v>
      </c>
      <c r="E100" s="401">
        <f t="shared" si="2"/>
        <v>3371</v>
      </c>
      <c r="F100" s="402">
        <f t="shared" si="3"/>
        <v>1.6480964510435663E-2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2010.1</v>
      </c>
      <c r="D104" s="416">
        <v>2037.1</v>
      </c>
      <c r="E104" s="417">
        <f>+D104-C104</f>
        <v>27</v>
      </c>
      <c r="F104" s="410">
        <f>IF(C104=0,0,+E104/C104)</f>
        <v>1.3432167553853043E-2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164.8</v>
      </c>
      <c r="D105" s="416">
        <v>173.4</v>
      </c>
      <c r="E105" s="417">
        <f>+D105-C105</f>
        <v>8.5999999999999943</v>
      </c>
      <c r="F105" s="410">
        <f>IF(C105=0,0,+E105/C105)</f>
        <v>5.2184466019417439E-2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3342.3</v>
      </c>
      <c r="D106" s="416">
        <v>3365.2</v>
      </c>
      <c r="E106" s="417">
        <f>+D106-C106</f>
        <v>22.899999999999636</v>
      </c>
      <c r="F106" s="410">
        <f>IF(C106=0,0,+E106/C106)</f>
        <v>6.8515692786403478E-3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5517.2000000000007</v>
      </c>
      <c r="D107" s="418">
        <f>SUM(D104:D106)</f>
        <v>5575.7</v>
      </c>
      <c r="E107" s="418">
        <f>+D107-C107</f>
        <v>58.499999999999091</v>
      </c>
      <c r="F107" s="402">
        <f>IF(C107=0,0,+E107/C107)</f>
        <v>1.0603204524033764E-2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64" orientation="portrait" horizontalDpi="1200" verticalDpi="1200" r:id="rId1"/>
  <headerFooter>
    <oddHeader>&amp;LOFFICE OF HEALTH CARE ACCESS&amp;CTWELVE MONTHS ACTUAL FILING&amp;RHARTFORD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zoomScale="75" zoomScaleNormal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10452</v>
      </c>
      <c r="D12" s="409">
        <v>10290</v>
      </c>
      <c r="E12" s="409">
        <f>+D12-C12</f>
        <v>-162</v>
      </c>
      <c r="F12" s="410">
        <f>IF(C12=0,0,+E12/C12)</f>
        <v>-1.5499425947187142E-2</v>
      </c>
    </row>
    <row r="13" spans="1:6" ht="15.75" customHeight="1" x14ac:dyDescent="0.2">
      <c r="A13" s="374">
        <v>2</v>
      </c>
      <c r="B13" s="408" t="s">
        <v>622</v>
      </c>
      <c r="C13" s="409">
        <v>13742</v>
      </c>
      <c r="D13" s="409">
        <v>14069</v>
      </c>
      <c r="E13" s="409">
        <f>+D13-C13</f>
        <v>327</v>
      </c>
      <c r="F13" s="410">
        <f>IF(C13=0,0,+E13/C13)</f>
        <v>2.3795662931159946E-2</v>
      </c>
    </row>
    <row r="14" spans="1:6" ht="15.75" customHeight="1" x14ac:dyDescent="0.2">
      <c r="A14" s="374">
        <v>3</v>
      </c>
      <c r="B14" s="408" t="s">
        <v>623</v>
      </c>
      <c r="C14" s="409">
        <v>1907</v>
      </c>
      <c r="D14" s="409">
        <v>2192</v>
      </c>
      <c r="E14" s="409">
        <f>+D14-C14</f>
        <v>285</v>
      </c>
      <c r="F14" s="410">
        <f>IF(C14=0,0,+E14/C14)</f>
        <v>0.14944939695857368</v>
      </c>
    </row>
    <row r="15" spans="1:6" ht="15.75" customHeight="1" x14ac:dyDescent="0.25">
      <c r="A15" s="374"/>
      <c r="B15" s="399" t="s">
        <v>624</v>
      </c>
      <c r="C15" s="401">
        <f>SUM(C11:C14)</f>
        <v>26101</v>
      </c>
      <c r="D15" s="401">
        <f>SUM(D11:D14)</f>
        <v>26551</v>
      </c>
      <c r="E15" s="401">
        <f>+D15-C15</f>
        <v>450</v>
      </c>
      <c r="F15" s="402">
        <f>IF(C15=0,0,+E15/C15)</f>
        <v>1.7240718746408184E-2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622</v>
      </c>
      <c r="C18" s="409">
        <v>11171</v>
      </c>
      <c r="D18" s="409">
        <v>11536</v>
      </c>
      <c r="E18" s="409">
        <f>+D18-C18</f>
        <v>365</v>
      </c>
      <c r="F18" s="410">
        <f>IF(C18=0,0,+E18/C18)</f>
        <v>3.2673887745054156E-2</v>
      </c>
    </row>
    <row r="19" spans="1:6" ht="15.75" customHeight="1" x14ac:dyDescent="0.2">
      <c r="A19" s="374">
        <v>2</v>
      </c>
      <c r="B19" s="408" t="s">
        <v>623</v>
      </c>
      <c r="C19" s="409">
        <v>1777</v>
      </c>
      <c r="D19" s="409">
        <v>1860</v>
      </c>
      <c r="E19" s="409">
        <f>+D19-C19</f>
        <v>83</v>
      </c>
      <c r="F19" s="410">
        <f>IF(C19=0,0,+E19/C19)</f>
        <v>4.6707934721440629E-2</v>
      </c>
    </row>
    <row r="20" spans="1:6" ht="15.75" customHeight="1" x14ac:dyDescent="0.2">
      <c r="A20" s="374">
        <v>3</v>
      </c>
      <c r="B20" s="408" t="s">
        <v>625</v>
      </c>
      <c r="C20" s="409">
        <v>6621</v>
      </c>
      <c r="D20" s="409">
        <v>7038</v>
      </c>
      <c r="E20" s="409">
        <f>+D20-C20</f>
        <v>417</v>
      </c>
      <c r="F20" s="410">
        <f>IF(C20=0,0,+E20/C20)</f>
        <v>6.2981422745808785E-2</v>
      </c>
    </row>
    <row r="21" spans="1:6" ht="15.75" customHeight="1" x14ac:dyDescent="0.25">
      <c r="A21" s="374"/>
      <c r="B21" s="399" t="s">
        <v>626</v>
      </c>
      <c r="C21" s="401">
        <f>SUM(C17:C20)</f>
        <v>19569</v>
      </c>
      <c r="D21" s="401">
        <f>SUM(D17:D20)</f>
        <v>20434</v>
      </c>
      <c r="E21" s="401">
        <f>+D21-C21</f>
        <v>865</v>
      </c>
      <c r="F21" s="402">
        <f>IF(C21=0,0,+E21/C21)</f>
        <v>4.4202565281823293E-2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A23" s="136" t="s">
        <v>36</v>
      </c>
      <c r="B23" s="406" t="s">
        <v>627</v>
      </c>
      <c r="C23" s="409"/>
      <c r="D23" s="409"/>
      <c r="E23" s="409"/>
      <c r="F23" s="410"/>
    </row>
    <row r="24" spans="1:6" ht="15.75" customHeight="1" x14ac:dyDescent="0.2">
      <c r="A24" s="374">
        <v>1</v>
      </c>
      <c r="B24" s="408" t="s">
        <v>622</v>
      </c>
      <c r="C24" s="409">
        <v>82947</v>
      </c>
      <c r="D24" s="409">
        <v>85860</v>
      </c>
      <c r="E24" s="409">
        <f>+D24-C24</f>
        <v>2913</v>
      </c>
      <c r="F24" s="410">
        <f>IF(C24=0,0,+E24/C24)</f>
        <v>3.511881080690079E-2</v>
      </c>
    </row>
    <row r="25" spans="1:6" ht="15.75" customHeight="1" x14ac:dyDescent="0.25">
      <c r="A25" s="374"/>
      <c r="B25" s="399" t="s">
        <v>628</v>
      </c>
      <c r="C25" s="401">
        <f>SUM(C23:C24)</f>
        <v>82947</v>
      </c>
      <c r="D25" s="401">
        <f>SUM(D23:D24)</f>
        <v>85860</v>
      </c>
      <c r="E25" s="401">
        <f>+D25-C25</f>
        <v>2913</v>
      </c>
      <c r="F25" s="402">
        <f>IF(C25=0,0,+E25/C25)</f>
        <v>3.511881080690079E-2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  <row r="31" spans="1:6" ht="15.75" customHeight="1" x14ac:dyDescent="0.25">
      <c r="B31" s="813" t="s">
        <v>631</v>
      </c>
      <c r="C31" s="814"/>
      <c r="D31" s="814"/>
      <c r="E31" s="814"/>
      <c r="F31" s="815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75" orientation="portrait" horizontalDpi="1200" verticalDpi="1200" r:id="rId1"/>
  <headerFooter>
    <oddHeader>&amp;LOFFICE OF HEALTH CARE ACCESS&amp;CTWELVE MONTHS ACTUAL FILING&amp;RHARTFORD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838574406</v>
      </c>
      <c r="D15" s="448">
        <v>864495030</v>
      </c>
      <c r="E15" s="448">
        <f t="shared" ref="E15:E24" si="0">D15-C15</f>
        <v>25920624</v>
      </c>
      <c r="F15" s="449">
        <f t="shared" ref="F15:F24" si="1">IF(C15=0,0,E15/C15)</f>
        <v>3.0910344764326136E-2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296209221</v>
      </c>
      <c r="D16" s="448">
        <v>286978433</v>
      </c>
      <c r="E16" s="448">
        <f t="shared" si="0"/>
        <v>-9230788</v>
      </c>
      <c r="F16" s="449">
        <f t="shared" si="1"/>
        <v>-3.1163067675060663E-2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0.35322950340556902</v>
      </c>
      <c r="D17" s="453">
        <f>IF(LN_IA1=0,0,LN_IA2/LN_IA1)</f>
        <v>0.33196076673801123</v>
      </c>
      <c r="E17" s="454">
        <f t="shared" si="0"/>
        <v>-2.1268736667557797E-2</v>
      </c>
      <c r="F17" s="449">
        <f t="shared" si="1"/>
        <v>-6.021223160155334E-2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17992</v>
      </c>
      <c r="D18" s="456">
        <v>17826</v>
      </c>
      <c r="E18" s="456">
        <f t="shared" si="0"/>
        <v>-166</v>
      </c>
      <c r="F18" s="449">
        <f t="shared" si="1"/>
        <v>-9.2263228101378391E-3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1.8848199999999999</v>
      </c>
      <c r="D19" s="459">
        <v>1.96007</v>
      </c>
      <c r="E19" s="460">
        <f t="shared" si="0"/>
        <v>7.5250000000000039E-2</v>
      </c>
      <c r="F19" s="449">
        <f t="shared" si="1"/>
        <v>3.9924236797147759E-2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33911.68144</v>
      </c>
      <c r="D20" s="463">
        <f>LN_IA4*LN_IA5</f>
        <v>34940.207819999996</v>
      </c>
      <c r="E20" s="463">
        <f t="shared" si="0"/>
        <v>1028.5263799999957</v>
      </c>
      <c r="F20" s="449">
        <f t="shared" si="1"/>
        <v>3.0329560090370904E-2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8734.7252752442691</v>
      </c>
      <c r="D21" s="465">
        <f>IF(LN_IA6=0,0,LN_IA2/LN_IA6)</f>
        <v>8213.4151713811989</v>
      </c>
      <c r="E21" s="465">
        <f t="shared" si="0"/>
        <v>-521.31010386307025</v>
      </c>
      <c r="F21" s="449">
        <f t="shared" si="1"/>
        <v>-5.9682484272350705E-2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111041</v>
      </c>
      <c r="D22" s="456">
        <v>109682</v>
      </c>
      <c r="E22" s="456">
        <f t="shared" si="0"/>
        <v>-1359</v>
      </c>
      <c r="F22" s="449">
        <f t="shared" si="1"/>
        <v>-1.2238722633982043E-2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2667.566223286894</v>
      </c>
      <c r="D23" s="465">
        <f>IF(LN_IA8=0,0,LN_IA2/LN_IA8)</f>
        <v>2616.4587899564194</v>
      </c>
      <c r="E23" s="465">
        <f t="shared" si="0"/>
        <v>-51.107433330474578</v>
      </c>
      <c r="F23" s="449">
        <f t="shared" si="1"/>
        <v>-1.915882458112007E-2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6.171687416629613</v>
      </c>
      <c r="D24" s="466">
        <f>IF(LN_IA4=0,0,LN_IA8/LN_IA4)</f>
        <v>6.1529226971838886</v>
      </c>
      <c r="E24" s="466">
        <f t="shared" si="0"/>
        <v>-1.8764719445724332E-2</v>
      </c>
      <c r="F24" s="449">
        <f t="shared" si="1"/>
        <v>-3.0404520156291116E-3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376598114</v>
      </c>
      <c r="D27" s="448">
        <v>389796873</v>
      </c>
      <c r="E27" s="448">
        <f t="shared" ref="E27:E32" si="2">D27-C27</f>
        <v>13198759</v>
      </c>
      <c r="F27" s="449">
        <f t="shared" ref="F27:F32" si="3">IF(C27=0,0,E27/C27)</f>
        <v>3.5047331649674697E-2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99976396</v>
      </c>
      <c r="D28" s="448">
        <v>109235514</v>
      </c>
      <c r="E28" s="448">
        <f t="shared" si="2"/>
        <v>9259118</v>
      </c>
      <c r="F28" s="449">
        <f t="shared" si="3"/>
        <v>9.2613040382051773E-2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0.26547237567950221</v>
      </c>
      <c r="D29" s="453">
        <f>IF(LN_IA11=0,0,LN_IA12/LN_IA11)</f>
        <v>0.28023701975669774</v>
      </c>
      <c r="E29" s="454">
        <f t="shared" si="2"/>
        <v>1.4764644077195521E-2</v>
      </c>
      <c r="F29" s="449">
        <f t="shared" si="3"/>
        <v>5.5616498851920042E-2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0.449093260306349</v>
      </c>
      <c r="D30" s="453">
        <f>IF(LN_IA1=0,0,LN_IA11/LN_IA1)</f>
        <v>0.4508954470218296</v>
      </c>
      <c r="E30" s="454">
        <f t="shared" si="2"/>
        <v>1.8021867154806026E-3</v>
      </c>
      <c r="F30" s="449">
        <f t="shared" si="3"/>
        <v>4.0129453607280607E-3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8080.0859394318313</v>
      </c>
      <c r="D31" s="463">
        <f>LN_IA14*LN_IA4</f>
        <v>8037.6622386111349</v>
      </c>
      <c r="E31" s="463">
        <f t="shared" si="2"/>
        <v>-42.423700820696467</v>
      </c>
      <c r="F31" s="449">
        <f t="shared" si="3"/>
        <v>-5.2504021787272703E-3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12373.184734595789</v>
      </c>
      <c r="D32" s="465">
        <f>IF(LN_IA15=0,0,LN_IA12/LN_IA15)</f>
        <v>13590.458364281218</v>
      </c>
      <c r="E32" s="465">
        <f t="shared" si="2"/>
        <v>1217.2736296854291</v>
      </c>
      <c r="F32" s="449">
        <f t="shared" si="3"/>
        <v>9.8379977006396446E-2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1215172520</v>
      </c>
      <c r="D35" s="448">
        <f>LN_IA1+LN_IA11</f>
        <v>1254291903</v>
      </c>
      <c r="E35" s="448">
        <f>D35-C35</f>
        <v>39119383</v>
      </c>
      <c r="F35" s="449">
        <f>IF(C35=0,0,E35/C35)</f>
        <v>3.2192451982044491E-2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396185617</v>
      </c>
      <c r="D36" s="448">
        <f>LN_IA2+LN_IA12</f>
        <v>396213947</v>
      </c>
      <c r="E36" s="448">
        <f>D36-C36</f>
        <v>28330</v>
      </c>
      <c r="F36" s="449">
        <f>IF(C36=0,0,E36/C36)</f>
        <v>7.1506886631878921E-5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818986903</v>
      </c>
      <c r="D37" s="448">
        <f>LN_IA17-LN_IA18</f>
        <v>858077956</v>
      </c>
      <c r="E37" s="448">
        <f>D37-C37</f>
        <v>39091053</v>
      </c>
      <c r="F37" s="449">
        <f>IF(C37=0,0,E37/C37)</f>
        <v>4.7730986731053991E-2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459927429</v>
      </c>
      <c r="D42" s="448">
        <v>488608700</v>
      </c>
      <c r="E42" s="448">
        <f t="shared" ref="E42:E53" si="4">D42-C42</f>
        <v>28681271</v>
      </c>
      <c r="F42" s="449">
        <f t="shared" ref="F42:F53" si="5">IF(C42=0,0,E42/C42)</f>
        <v>6.2360427301238433E-2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310160863</v>
      </c>
      <c r="D43" s="448">
        <v>338326734</v>
      </c>
      <c r="E43" s="448">
        <f t="shared" si="4"/>
        <v>28165871</v>
      </c>
      <c r="F43" s="449">
        <f t="shared" si="5"/>
        <v>9.0810525633596789E-2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0.67436913617952543</v>
      </c>
      <c r="D44" s="453">
        <f>IF(LN_IB1=0,0,LN_IB2/LN_IB1)</f>
        <v>0.69242879629445808</v>
      </c>
      <c r="E44" s="454">
        <f t="shared" si="4"/>
        <v>1.8059660114932652E-2</v>
      </c>
      <c r="F44" s="449">
        <f t="shared" si="5"/>
        <v>2.6780081035803729E-2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14392</v>
      </c>
      <c r="D45" s="456">
        <v>14621</v>
      </c>
      <c r="E45" s="456">
        <f t="shared" si="4"/>
        <v>229</v>
      </c>
      <c r="F45" s="449">
        <f t="shared" si="5"/>
        <v>1.5911617565314062E-2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1.50315</v>
      </c>
      <c r="D46" s="459">
        <v>1.53467</v>
      </c>
      <c r="E46" s="460">
        <f t="shared" si="4"/>
        <v>3.1519999999999992E-2</v>
      </c>
      <c r="F46" s="449">
        <f t="shared" si="5"/>
        <v>2.096929780793666E-2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21633.334800000001</v>
      </c>
      <c r="D47" s="463">
        <f>LN_IB4*LN_IB5</f>
        <v>22438.410069999998</v>
      </c>
      <c r="E47" s="463">
        <f t="shared" si="4"/>
        <v>805.07526999999754</v>
      </c>
      <c r="F47" s="449">
        <f t="shared" si="5"/>
        <v>3.721457082058368E-2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14337.17297251832</v>
      </c>
      <c r="D48" s="465">
        <f>IF(LN_IB6=0,0,LN_IB2/LN_IB6)</f>
        <v>15078.017245630988</v>
      </c>
      <c r="E48" s="465">
        <f t="shared" si="4"/>
        <v>740.84427311266882</v>
      </c>
      <c r="F48" s="449">
        <f t="shared" si="5"/>
        <v>5.1672967504314049E-2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-5602.4476972740504</v>
      </c>
      <c r="D49" s="465">
        <f>LN_IA7-LN_IB7</f>
        <v>-6864.6020742497894</v>
      </c>
      <c r="E49" s="465">
        <f t="shared" si="4"/>
        <v>-1262.1543769757391</v>
      </c>
      <c r="F49" s="449">
        <f t="shared" si="5"/>
        <v>0.22528624008214446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-121199626.73461859</v>
      </c>
      <c r="D50" s="479">
        <f>LN_IB8*LN_IB6</f>
        <v>-154030756.30938935</v>
      </c>
      <c r="E50" s="479">
        <f t="shared" si="4"/>
        <v>-32831129.574770764</v>
      </c>
      <c r="F50" s="449">
        <f t="shared" si="5"/>
        <v>0.27088474163916809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62565</v>
      </c>
      <c r="D51" s="456">
        <v>64790</v>
      </c>
      <c r="E51" s="456">
        <f t="shared" si="4"/>
        <v>2225</v>
      </c>
      <c r="F51" s="449">
        <f t="shared" si="5"/>
        <v>3.5563014464956445E-2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4957.4180931830897</v>
      </c>
      <c r="D52" s="465">
        <f>IF(LN_IB10=0,0,LN_IB2/LN_IB10)</f>
        <v>5221.8974224417352</v>
      </c>
      <c r="E52" s="465">
        <f t="shared" si="4"/>
        <v>264.47932925864552</v>
      </c>
      <c r="F52" s="449">
        <f t="shared" si="5"/>
        <v>5.3350216642475475E-2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4.347206781545303</v>
      </c>
      <c r="D53" s="466">
        <f>IF(LN_IB4=0,0,LN_IB10/LN_IB4)</f>
        <v>4.431297448874906</v>
      </c>
      <c r="E53" s="466">
        <f t="shared" si="4"/>
        <v>8.4090667329602908E-2</v>
      </c>
      <c r="F53" s="449">
        <f t="shared" si="5"/>
        <v>1.9343608794176376E-2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403524707</v>
      </c>
      <c r="D56" s="448">
        <v>420118303</v>
      </c>
      <c r="E56" s="448">
        <f t="shared" ref="E56:E63" si="6">D56-C56</f>
        <v>16593596</v>
      </c>
      <c r="F56" s="449">
        <f t="shared" ref="F56:F63" si="7">IF(C56=0,0,E56/C56)</f>
        <v>4.112163570693083E-2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214583288</v>
      </c>
      <c r="D57" s="448">
        <v>231744192</v>
      </c>
      <c r="E57" s="448">
        <f t="shared" si="6"/>
        <v>17160904</v>
      </c>
      <c r="F57" s="449">
        <f t="shared" si="7"/>
        <v>7.9973161749669897E-2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0.53177236555183227</v>
      </c>
      <c r="D58" s="453">
        <f>IF(LN_IB13=0,0,LN_IB14/LN_IB13)</f>
        <v>0.55161650979057675</v>
      </c>
      <c r="E58" s="454">
        <f t="shared" si="6"/>
        <v>1.9844144238744477E-2</v>
      </c>
      <c r="F58" s="449">
        <f t="shared" si="7"/>
        <v>3.7316990359496691E-2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0.8773660398497346</v>
      </c>
      <c r="D59" s="453">
        <f>IF(LN_IB1=0,0,LN_IB13/LN_IB1)</f>
        <v>0.85982567031655388</v>
      </c>
      <c r="E59" s="454">
        <f t="shared" si="6"/>
        <v>-1.7540369533180722E-2</v>
      </c>
      <c r="F59" s="449">
        <f t="shared" si="7"/>
        <v>-1.9992077122320394E-2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12627.052045517381</v>
      </c>
      <c r="D60" s="463">
        <f>LN_IB16*LN_IB4</f>
        <v>12571.511125698335</v>
      </c>
      <c r="E60" s="463">
        <f t="shared" si="6"/>
        <v>-55.540919819046394</v>
      </c>
      <c r="F60" s="449">
        <f t="shared" si="7"/>
        <v>-4.3985658425129788E-3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16993.933914779209</v>
      </c>
      <c r="D61" s="465">
        <f>IF(LN_IB17=0,0,LN_IB14/LN_IB17)</f>
        <v>18434.076037706793</v>
      </c>
      <c r="E61" s="465">
        <f t="shared" si="6"/>
        <v>1440.1421229275838</v>
      </c>
      <c r="F61" s="449">
        <f t="shared" si="7"/>
        <v>8.4744481775060179E-2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-4620.7491801834203</v>
      </c>
      <c r="D62" s="465">
        <f>LN_IA16-LN_IB18</f>
        <v>-4843.617673425575</v>
      </c>
      <c r="E62" s="465">
        <f t="shared" si="6"/>
        <v>-222.86849324215473</v>
      </c>
      <c r="F62" s="449">
        <f t="shared" si="7"/>
        <v>4.8232112272605106E-2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-58346440.387457818</v>
      </c>
      <c r="D63" s="448">
        <f>LN_IB19*LN_IB17</f>
        <v>-60891593.470098697</v>
      </c>
      <c r="E63" s="448">
        <f t="shared" si="6"/>
        <v>-2545153.0826408789</v>
      </c>
      <c r="F63" s="449">
        <f t="shared" si="7"/>
        <v>4.3621394308537564E-2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863452136</v>
      </c>
      <c r="D66" s="448">
        <f>LN_IB1+LN_IB13</f>
        <v>908727003</v>
      </c>
      <c r="E66" s="448">
        <f>D66-C66</f>
        <v>45274867</v>
      </c>
      <c r="F66" s="449">
        <f>IF(C66=0,0,E66/C66)</f>
        <v>5.2434715385312337E-2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524744151</v>
      </c>
      <c r="D67" s="448">
        <f>LN_IB2+LN_IB14</f>
        <v>570070926</v>
      </c>
      <c r="E67" s="448">
        <f>D67-C67</f>
        <v>45326775</v>
      </c>
      <c r="F67" s="449">
        <f>IF(C67=0,0,E67/C67)</f>
        <v>8.6378809394294709E-2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338707985</v>
      </c>
      <c r="D68" s="448">
        <f>LN_IB21-LN_IB22</f>
        <v>338656077</v>
      </c>
      <c r="E68" s="448">
        <f>D68-C68</f>
        <v>-51908</v>
      </c>
      <c r="F68" s="449">
        <f>IF(C68=0,0,E68/C68)</f>
        <v>-1.5325295623012843E-4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-179546067.12207639</v>
      </c>
      <c r="D70" s="441">
        <f>LN_IB9+LN_IB20</f>
        <v>-214922349.77948806</v>
      </c>
      <c r="E70" s="448">
        <f>D70-C70</f>
        <v>-35376282.657411665</v>
      </c>
      <c r="F70" s="449">
        <f>IF(C70=0,0,E70/C70)</f>
        <v>0.19703178813356426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794912520</v>
      </c>
      <c r="D73" s="488">
        <v>843088674</v>
      </c>
      <c r="E73" s="488">
        <f>D73-C73</f>
        <v>48176154</v>
      </c>
      <c r="F73" s="489">
        <f>IF(C73=0,0,E73/C73)</f>
        <v>6.0605604752583343E-2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486649207</v>
      </c>
      <c r="D74" s="488">
        <v>543858096</v>
      </c>
      <c r="E74" s="488">
        <f>D74-C74</f>
        <v>57208889</v>
      </c>
      <c r="F74" s="489">
        <f>IF(C74=0,0,E74/C74)</f>
        <v>0.11755672911226998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308263313</v>
      </c>
      <c r="D76" s="441">
        <f>LN_IB32-LN_IB33</f>
        <v>299230578</v>
      </c>
      <c r="E76" s="488">
        <f>D76-C76</f>
        <v>-9032735</v>
      </c>
      <c r="F76" s="489">
        <f>IF(E76=0,0,E76/C76)</f>
        <v>-2.9302011037557363E-2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0.38779526708171613</v>
      </c>
      <c r="D77" s="453">
        <f>IF(LN_IB32=0,0,LN_IB34/LN_IB32)</f>
        <v>0.35492183352471413</v>
      </c>
      <c r="E77" s="493">
        <f>D77-C77</f>
        <v>-3.2873433557002008E-2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13460763</v>
      </c>
      <c r="D83" s="448">
        <v>16722127</v>
      </c>
      <c r="E83" s="448">
        <f t="shared" ref="E83:E95" si="8">D83-C83</f>
        <v>3261364</v>
      </c>
      <c r="F83" s="449">
        <f t="shared" ref="F83:F95" si="9">IF(C83=0,0,E83/C83)</f>
        <v>0.24228671138478555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6290289</v>
      </c>
      <c r="D84" s="448">
        <v>7673864</v>
      </c>
      <c r="E84" s="448">
        <f t="shared" si="8"/>
        <v>1383575</v>
      </c>
      <c r="F84" s="449">
        <f t="shared" si="9"/>
        <v>0.21995412293457423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0.46730553089746846</v>
      </c>
      <c r="D85" s="453">
        <f>IF(LN_IC1=0,0,LN_IC2/LN_IC1)</f>
        <v>0.45890477927837769</v>
      </c>
      <c r="E85" s="454">
        <f t="shared" si="8"/>
        <v>-8.4007516190907627E-3</v>
      </c>
      <c r="F85" s="449">
        <f t="shared" si="9"/>
        <v>-1.7977000192907995E-2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406</v>
      </c>
      <c r="D86" s="456">
        <v>547</v>
      </c>
      <c r="E86" s="456">
        <f t="shared" si="8"/>
        <v>141</v>
      </c>
      <c r="F86" s="449">
        <f t="shared" si="9"/>
        <v>0.34729064039408869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1.1089</v>
      </c>
      <c r="D87" s="459">
        <v>1.2351300000000001</v>
      </c>
      <c r="E87" s="460">
        <f t="shared" si="8"/>
        <v>0.12623000000000006</v>
      </c>
      <c r="F87" s="449">
        <f t="shared" si="9"/>
        <v>0.11383352872215716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450.21339999999998</v>
      </c>
      <c r="D88" s="463">
        <f>LN_IC4*LN_IC5</f>
        <v>675.61611000000005</v>
      </c>
      <c r="E88" s="463">
        <f t="shared" si="8"/>
        <v>225.40271000000007</v>
      </c>
      <c r="F88" s="449">
        <f t="shared" si="9"/>
        <v>0.50065748820448275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13971.794264675375</v>
      </c>
      <c r="D89" s="465">
        <f>IF(LN_IC6=0,0,LN_IC2/LN_IC6)</f>
        <v>11358.320037691226</v>
      </c>
      <c r="E89" s="465">
        <f t="shared" si="8"/>
        <v>-2613.4742269841481</v>
      </c>
      <c r="F89" s="449">
        <f t="shared" si="9"/>
        <v>-0.18705358649545434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365.378707842945</v>
      </c>
      <c r="D90" s="465">
        <f>LN_IB7-LN_IC7</f>
        <v>3719.6972079397619</v>
      </c>
      <c r="E90" s="465">
        <f t="shared" si="8"/>
        <v>3354.3185000968169</v>
      </c>
      <c r="F90" s="449">
        <f t="shared" si="9"/>
        <v>9.1803885341305733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-5237.0689894311054</v>
      </c>
      <c r="D91" s="465">
        <f>LN_IA7-LN_IC7</f>
        <v>-3144.9048663100275</v>
      </c>
      <c r="E91" s="465">
        <f t="shared" si="8"/>
        <v>2092.1641231210779</v>
      </c>
      <c r="F91" s="449">
        <f t="shared" si="9"/>
        <v>-0.39949141921621817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-2357798.6357663418</v>
      </c>
      <c r="D92" s="441">
        <f>LN_IC9*LN_IC6</f>
        <v>-2124748.392096451</v>
      </c>
      <c r="E92" s="441">
        <f t="shared" si="8"/>
        <v>233050.2436698908</v>
      </c>
      <c r="F92" s="449">
        <f t="shared" si="9"/>
        <v>-9.8842301515771225E-2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1642</v>
      </c>
      <c r="D93" s="456">
        <v>2642</v>
      </c>
      <c r="E93" s="456">
        <f t="shared" si="8"/>
        <v>1000</v>
      </c>
      <c r="F93" s="449">
        <f t="shared" si="9"/>
        <v>0.60901339829476253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3830.8702801461632</v>
      </c>
      <c r="D94" s="499">
        <f>IF(LN_IC11=0,0,LN_IC2/LN_IC11)</f>
        <v>2904.5662376987129</v>
      </c>
      <c r="E94" s="499">
        <f t="shared" si="8"/>
        <v>-926.30404244745023</v>
      </c>
      <c r="F94" s="449">
        <f t="shared" si="9"/>
        <v>-0.24179989785822453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4.0443349753694582</v>
      </c>
      <c r="D95" s="466">
        <f>IF(LN_IC4=0,0,LN_IC11/LN_IC4)</f>
        <v>4.8299817184643512</v>
      </c>
      <c r="E95" s="466">
        <f t="shared" si="8"/>
        <v>0.78564674309489302</v>
      </c>
      <c r="F95" s="449">
        <f t="shared" si="9"/>
        <v>0.19425857350580181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28800715</v>
      </c>
      <c r="D98" s="448">
        <v>31190567</v>
      </c>
      <c r="E98" s="448">
        <f t="shared" ref="E98:E106" si="10">D98-C98</f>
        <v>2389852</v>
      </c>
      <c r="F98" s="449">
        <f t="shared" ref="F98:F106" si="11">IF(C98=0,0,E98/C98)</f>
        <v>8.2978912155479478E-2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9361750</v>
      </c>
      <c r="D99" s="448">
        <v>12548459</v>
      </c>
      <c r="E99" s="448">
        <f t="shared" si="10"/>
        <v>3186709</v>
      </c>
      <c r="F99" s="449">
        <f t="shared" si="11"/>
        <v>0.34039672069858734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0.32505269400429815</v>
      </c>
      <c r="D100" s="453">
        <f>IF(LN_IC14=0,0,LN_IC15/LN_IC14)</f>
        <v>0.40231583478427951</v>
      </c>
      <c r="E100" s="454">
        <f t="shared" si="10"/>
        <v>7.7263140779981365E-2</v>
      </c>
      <c r="F100" s="449">
        <f t="shared" si="11"/>
        <v>0.23769420221744023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2.1396049391850966</v>
      </c>
      <c r="D101" s="453">
        <f>IF(LN_IC1=0,0,LN_IC14/LN_IC1)</f>
        <v>1.865227252490069</v>
      </c>
      <c r="E101" s="454">
        <f t="shared" si="10"/>
        <v>-0.2743776866950276</v>
      </c>
      <c r="F101" s="449">
        <f t="shared" si="11"/>
        <v>-0.12823754594599543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868.67960530914922</v>
      </c>
      <c r="D102" s="463">
        <f>LN_IC17*LN_IC4</f>
        <v>1020.2793071120677</v>
      </c>
      <c r="E102" s="463">
        <f t="shared" si="10"/>
        <v>151.5997018029185</v>
      </c>
      <c r="F102" s="449">
        <f t="shared" si="11"/>
        <v>0.17451739499394209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10776.988365771869</v>
      </c>
      <c r="D103" s="465">
        <f>IF(LN_IC18=0,0,LN_IC15/LN_IC18)</f>
        <v>12299.042931213418</v>
      </c>
      <c r="E103" s="465">
        <f t="shared" si="10"/>
        <v>1522.0545654415491</v>
      </c>
      <c r="F103" s="449">
        <f t="shared" si="11"/>
        <v>0.14123190206604039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6216.9455490073397</v>
      </c>
      <c r="D104" s="465">
        <f>LN_IB18-LN_IC19</f>
        <v>6135.0331064933744</v>
      </c>
      <c r="E104" s="465">
        <f t="shared" si="10"/>
        <v>-81.912442513965289</v>
      </c>
      <c r="F104" s="449">
        <f t="shared" si="11"/>
        <v>-1.3175673144997105E-2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1596.1963688239193</v>
      </c>
      <c r="D105" s="465">
        <f>LN_IA16-LN_IC19</f>
        <v>1291.4154330677993</v>
      </c>
      <c r="E105" s="465">
        <f t="shared" si="10"/>
        <v>-304.78093575612002</v>
      </c>
      <c r="F105" s="449">
        <f t="shared" si="11"/>
        <v>-0.19094200545054693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1386583.2316658595</v>
      </c>
      <c r="D106" s="448">
        <f>LN_IC21*LN_IC18</f>
        <v>1317604.4432442451</v>
      </c>
      <c r="E106" s="448">
        <f t="shared" si="10"/>
        <v>-68978.788421614328</v>
      </c>
      <c r="F106" s="449">
        <f t="shared" si="11"/>
        <v>-4.9747311842753425E-2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42261478</v>
      </c>
      <c r="D109" s="448">
        <f>LN_IC1+LN_IC14</f>
        <v>47912694</v>
      </c>
      <c r="E109" s="448">
        <f>D109-C109</f>
        <v>5651216</v>
      </c>
      <c r="F109" s="449">
        <f>IF(C109=0,0,E109/C109)</f>
        <v>0.13372026411381069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15652039</v>
      </c>
      <c r="D110" s="448">
        <f>LN_IC2+LN_IC15</f>
        <v>20222323</v>
      </c>
      <c r="E110" s="448">
        <f>D110-C110</f>
        <v>4570284</v>
      </c>
      <c r="F110" s="449">
        <f>IF(C110=0,0,E110/C110)</f>
        <v>0.29199288348310404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26609439</v>
      </c>
      <c r="D111" s="448">
        <f>LN_IC23-LN_IC24</f>
        <v>27690371</v>
      </c>
      <c r="E111" s="448">
        <f>D111-C111</f>
        <v>1080932</v>
      </c>
      <c r="F111" s="449">
        <f>IF(C111=0,0,E111/C111)</f>
        <v>4.0622126607028429E-2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-971215.40410048235</v>
      </c>
      <c r="D113" s="448">
        <f>LN_IC10+LN_IC22</f>
        <v>-807143.94885220588</v>
      </c>
      <c r="E113" s="448">
        <f>D113-C113</f>
        <v>164071.45524827647</v>
      </c>
      <c r="F113" s="449">
        <f>IF(C113=0,0,E113/C113)</f>
        <v>-0.16893415668199346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313567661</v>
      </c>
      <c r="D118" s="448">
        <v>345375302</v>
      </c>
      <c r="E118" s="448">
        <f t="shared" ref="E118:E130" si="12">D118-C118</f>
        <v>31807641</v>
      </c>
      <c r="F118" s="449">
        <f t="shared" ref="F118:F130" si="13">IF(C118=0,0,E118/C118)</f>
        <v>0.10143788711680954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73957630</v>
      </c>
      <c r="D119" s="448">
        <v>74281238</v>
      </c>
      <c r="E119" s="448">
        <f t="shared" si="12"/>
        <v>323608</v>
      </c>
      <c r="F119" s="449">
        <f t="shared" si="13"/>
        <v>4.3755863999427784E-3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0.23585860150291454</v>
      </c>
      <c r="D120" s="453">
        <f>IF(LN_ID1=0,0,LN_1D2/LN_ID1)</f>
        <v>0.21507397190781175</v>
      </c>
      <c r="E120" s="454">
        <f t="shared" si="12"/>
        <v>-2.0784629595102799E-2</v>
      </c>
      <c r="F120" s="449">
        <f t="shared" si="13"/>
        <v>-8.8123263101964763E-2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10634</v>
      </c>
      <c r="D121" s="456">
        <v>10567</v>
      </c>
      <c r="E121" s="456">
        <f t="shared" si="12"/>
        <v>-67</v>
      </c>
      <c r="F121" s="449">
        <f t="shared" si="13"/>
        <v>-6.3005454203498212E-3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1.26519</v>
      </c>
      <c r="D122" s="459">
        <v>1.38947</v>
      </c>
      <c r="E122" s="460">
        <f t="shared" si="12"/>
        <v>0.12427999999999995</v>
      </c>
      <c r="F122" s="449">
        <f t="shared" si="13"/>
        <v>9.823030532963424E-2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13454.03046</v>
      </c>
      <c r="D123" s="463">
        <f>LN_ID4*LN_ID5</f>
        <v>14682.529489999999</v>
      </c>
      <c r="E123" s="463">
        <f t="shared" si="12"/>
        <v>1228.499029999999</v>
      </c>
      <c r="F123" s="449">
        <f t="shared" si="13"/>
        <v>9.1310855408900202E-2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5497.0612873133041</v>
      </c>
      <c r="D124" s="465">
        <f>IF(LN_ID6=0,0,LN_1D2/LN_ID6)</f>
        <v>5059.1581001483146</v>
      </c>
      <c r="E124" s="465">
        <f t="shared" si="12"/>
        <v>-437.9031871649895</v>
      </c>
      <c r="F124" s="449">
        <f t="shared" si="13"/>
        <v>-7.9661325256756468E-2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8840.1116852050145</v>
      </c>
      <c r="D125" s="465">
        <f>LN_IB7-LN_ID7</f>
        <v>10018.859145482675</v>
      </c>
      <c r="E125" s="465">
        <f t="shared" si="12"/>
        <v>1178.7474602776601</v>
      </c>
      <c r="F125" s="449">
        <f t="shared" si="13"/>
        <v>0.1333407882448403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3237.663987930965</v>
      </c>
      <c r="D126" s="465">
        <f>LN_IA7-LN_ID7</f>
        <v>3154.2570712328843</v>
      </c>
      <c r="E126" s="465">
        <f t="shared" si="12"/>
        <v>-83.406916698080749</v>
      </c>
      <c r="F126" s="449">
        <f t="shared" si="13"/>
        <v>-2.5761449306968415E-2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43559629.912868276</v>
      </c>
      <c r="D127" s="479">
        <f>LN_ID9*LN_ID6</f>
        <v>46312472.467417851</v>
      </c>
      <c r="E127" s="479">
        <f t="shared" si="12"/>
        <v>2752842.5545495749</v>
      </c>
      <c r="F127" s="449">
        <f t="shared" si="13"/>
        <v>6.3197106129139466E-2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55246</v>
      </c>
      <c r="D128" s="456">
        <v>56849</v>
      </c>
      <c r="E128" s="456">
        <f t="shared" si="12"/>
        <v>1603</v>
      </c>
      <c r="F128" s="449">
        <f t="shared" si="13"/>
        <v>2.9015675343011259E-2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1338.6965572168122</v>
      </c>
      <c r="D129" s="465">
        <f>IF(LN_ID11=0,0,LN_1D2/LN_ID11)</f>
        <v>1306.6410666854299</v>
      </c>
      <c r="E129" s="465">
        <f t="shared" si="12"/>
        <v>-32.055490531382247</v>
      </c>
      <c r="F129" s="449">
        <f t="shared" si="13"/>
        <v>-2.3945299895314975E-2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5.1952228700394958</v>
      </c>
      <c r="D130" s="466">
        <f>IF(LN_ID4=0,0,LN_ID11/LN_ID4)</f>
        <v>5.3798618340115452</v>
      </c>
      <c r="E130" s="466">
        <f t="shared" si="12"/>
        <v>0.18463896397204937</v>
      </c>
      <c r="F130" s="449">
        <f t="shared" si="13"/>
        <v>3.5540143048886308E-2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228280330</v>
      </c>
      <c r="D133" s="448">
        <v>246411380</v>
      </c>
      <c r="E133" s="448">
        <f t="shared" ref="E133:E141" si="14">D133-C133</f>
        <v>18131050</v>
      </c>
      <c r="F133" s="449">
        <f t="shared" ref="F133:F141" si="15">IF(C133=0,0,E133/C133)</f>
        <v>7.9424495312408208E-2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35147982</v>
      </c>
      <c r="D134" s="448">
        <v>60175639</v>
      </c>
      <c r="E134" s="448">
        <f t="shared" si="14"/>
        <v>25027657</v>
      </c>
      <c r="F134" s="449">
        <f t="shared" si="15"/>
        <v>0.71206526166993034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0.15396850880669394</v>
      </c>
      <c r="D135" s="453">
        <f>IF(LN_ID14=0,0,LN_ID15/LN_ID14)</f>
        <v>0.24420803535940588</v>
      </c>
      <c r="E135" s="454">
        <f t="shared" si="14"/>
        <v>9.0239526552711946E-2</v>
      </c>
      <c r="F135" s="449">
        <f t="shared" si="15"/>
        <v>0.58609080033376726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0.72800979945441502</v>
      </c>
      <c r="D136" s="453">
        <f>IF(LN_ID1=0,0,LN_ID14/LN_ID1)</f>
        <v>0.71345975978328646</v>
      </c>
      <c r="E136" s="454">
        <f t="shared" si="14"/>
        <v>-1.4550039671128556E-2</v>
      </c>
      <c r="F136" s="449">
        <f t="shared" si="15"/>
        <v>-1.9986049201580314E-2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7741.6562073982495</v>
      </c>
      <c r="D137" s="463">
        <f>LN_ID17*LN_ID4</f>
        <v>7539.1292816299883</v>
      </c>
      <c r="E137" s="463">
        <f t="shared" si="14"/>
        <v>-202.52692576826121</v>
      </c>
      <c r="F137" s="449">
        <f t="shared" si="15"/>
        <v>-2.6160671611162225E-2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4540.1114513986195</v>
      </c>
      <c r="D138" s="465">
        <f>IF(LN_ID18=0,0,LN_ID15/LN_ID18)</f>
        <v>7981.7757133606019</v>
      </c>
      <c r="E138" s="465">
        <f t="shared" si="14"/>
        <v>3441.6642619619824</v>
      </c>
      <c r="F138" s="449">
        <f t="shared" si="15"/>
        <v>0.75805721925653369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12453.822463380589</v>
      </c>
      <c r="D139" s="465">
        <f>LN_IB18-LN_ID19</f>
        <v>10452.30032434619</v>
      </c>
      <c r="E139" s="465">
        <f t="shared" si="14"/>
        <v>-2001.5221390343995</v>
      </c>
      <c r="F139" s="449">
        <f t="shared" si="15"/>
        <v>-0.16071548674470879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7833.0732831971691</v>
      </c>
      <c r="D140" s="465">
        <f>LN_IA16-LN_ID19</f>
        <v>5608.6826509206157</v>
      </c>
      <c r="E140" s="465">
        <f t="shared" si="14"/>
        <v>-2224.3906322765533</v>
      </c>
      <c r="F140" s="449">
        <f t="shared" si="15"/>
        <v>-0.28397418891102727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60640960.405868754</v>
      </c>
      <c r="D141" s="441">
        <f>LN_ID21*LN_ID18</f>
        <v>42284583.604925722</v>
      </c>
      <c r="E141" s="441">
        <f t="shared" si="14"/>
        <v>-18356376.800943032</v>
      </c>
      <c r="F141" s="449">
        <f t="shared" si="15"/>
        <v>-0.30270590502004197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541847991</v>
      </c>
      <c r="D144" s="448">
        <f>LN_ID1+LN_ID14</f>
        <v>591786682</v>
      </c>
      <c r="E144" s="448">
        <f>D144-C144</f>
        <v>49938691</v>
      </c>
      <c r="F144" s="449">
        <f>IF(C144=0,0,E144/C144)</f>
        <v>9.2163654437172213E-2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109105612</v>
      </c>
      <c r="D145" s="448">
        <f>LN_1D2+LN_ID15</f>
        <v>134456877</v>
      </c>
      <c r="E145" s="448">
        <f>D145-C145</f>
        <v>25351265</v>
      </c>
      <c r="F145" s="449">
        <f>IF(C145=0,0,E145/C145)</f>
        <v>0.23235527976324444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432742379</v>
      </c>
      <c r="D146" s="448">
        <f>LN_ID23-LN_ID24</f>
        <v>457329805</v>
      </c>
      <c r="E146" s="448">
        <f>D146-C146</f>
        <v>24587426</v>
      </c>
      <c r="F146" s="449">
        <f>IF(C146=0,0,E146/C146)</f>
        <v>5.681769845795482E-2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104200590.31873703</v>
      </c>
      <c r="D148" s="448">
        <f>LN_ID10+LN_ID22</f>
        <v>88597056.072343573</v>
      </c>
      <c r="E148" s="448">
        <f>D148-C148</f>
        <v>-15603534.246393457</v>
      </c>
      <c r="F148" s="503">
        <f>IF(C148=0,0,E148/C148)</f>
        <v>-0.14974516169883614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14337.17297251832</v>
      </c>
      <c r="D160" s="465">
        <f>LN_IB7-LN_IE7</f>
        <v>15078.017245630988</v>
      </c>
      <c r="E160" s="465">
        <f t="shared" si="16"/>
        <v>740.84427311266882</v>
      </c>
      <c r="F160" s="449">
        <f t="shared" si="17"/>
        <v>5.1672967504314049E-2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8734.7252752442691</v>
      </c>
      <c r="D161" s="465">
        <f>LN_IA7-LN_IE7</f>
        <v>8213.4151713811989</v>
      </c>
      <c r="E161" s="465">
        <f t="shared" si="16"/>
        <v>-521.31010386307025</v>
      </c>
      <c r="F161" s="449">
        <f t="shared" si="17"/>
        <v>-5.9682484272350705E-2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16993.933914779209</v>
      </c>
      <c r="D174" s="465">
        <f>LN_IB18-LN_IE19</f>
        <v>18434.076037706793</v>
      </c>
      <c r="E174" s="465">
        <f t="shared" si="18"/>
        <v>1440.1421229275838</v>
      </c>
      <c r="F174" s="449">
        <f t="shared" si="19"/>
        <v>8.4744481775060179E-2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12373.184734595789</v>
      </c>
      <c r="D175" s="465">
        <f>LN_IA16-LN_IE19</f>
        <v>13590.458364281218</v>
      </c>
      <c r="E175" s="465">
        <f t="shared" si="18"/>
        <v>1217.2736296854291</v>
      </c>
      <c r="F175" s="449">
        <f t="shared" si="19"/>
        <v>9.8379977006396446E-2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313567661</v>
      </c>
      <c r="D188" s="448">
        <f>LN_ID1+LN_IE1</f>
        <v>345375302</v>
      </c>
      <c r="E188" s="448">
        <f t="shared" ref="E188:E200" si="20">D188-C188</f>
        <v>31807641</v>
      </c>
      <c r="F188" s="449">
        <f t="shared" ref="F188:F200" si="21">IF(C188=0,0,E188/C188)</f>
        <v>0.10143788711680954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73957630</v>
      </c>
      <c r="D189" s="448">
        <f>LN_1D2+LN_IE2</f>
        <v>74281238</v>
      </c>
      <c r="E189" s="448">
        <f t="shared" si="20"/>
        <v>323608</v>
      </c>
      <c r="F189" s="449">
        <f t="shared" si="21"/>
        <v>4.3755863999427784E-3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0.23585860150291454</v>
      </c>
      <c r="D190" s="453">
        <f>IF(LN_IF1=0,0,LN_IF2/LN_IF1)</f>
        <v>0.21507397190781175</v>
      </c>
      <c r="E190" s="454">
        <f t="shared" si="20"/>
        <v>-2.0784629595102799E-2</v>
      </c>
      <c r="F190" s="449">
        <f t="shared" si="21"/>
        <v>-8.8123263101964763E-2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10634</v>
      </c>
      <c r="D191" s="456">
        <f>LN_ID4+LN_IE4</f>
        <v>10567</v>
      </c>
      <c r="E191" s="456">
        <f t="shared" si="20"/>
        <v>-67</v>
      </c>
      <c r="F191" s="449">
        <f t="shared" si="21"/>
        <v>-6.3005454203498212E-3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1.26519</v>
      </c>
      <c r="D192" s="459">
        <f>IF((LN_ID4+LN_IE4)=0,0,(LN_ID6+LN_IE6)/(LN_ID4+LN_IE4))</f>
        <v>1.38947</v>
      </c>
      <c r="E192" s="460">
        <f t="shared" si="20"/>
        <v>0.12427999999999995</v>
      </c>
      <c r="F192" s="449">
        <f t="shared" si="21"/>
        <v>9.823030532963424E-2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13454.03046</v>
      </c>
      <c r="D193" s="463">
        <f>LN_IF4*LN_IF5</f>
        <v>14682.529489999999</v>
      </c>
      <c r="E193" s="463">
        <f t="shared" si="20"/>
        <v>1228.499029999999</v>
      </c>
      <c r="F193" s="449">
        <f t="shared" si="21"/>
        <v>9.1310855408900202E-2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5497.0612873133041</v>
      </c>
      <c r="D194" s="465">
        <f>IF(LN_IF6=0,0,LN_IF2/LN_IF6)</f>
        <v>5059.1581001483146</v>
      </c>
      <c r="E194" s="465">
        <f t="shared" si="20"/>
        <v>-437.9031871649895</v>
      </c>
      <c r="F194" s="449">
        <f t="shared" si="21"/>
        <v>-7.9661325256756468E-2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8840.1116852050145</v>
      </c>
      <c r="D195" s="465">
        <f>LN_IB7-LN_IF7</f>
        <v>10018.859145482675</v>
      </c>
      <c r="E195" s="465">
        <f t="shared" si="20"/>
        <v>1178.7474602776601</v>
      </c>
      <c r="F195" s="449">
        <f t="shared" si="21"/>
        <v>0.1333407882448403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3237.663987930965</v>
      </c>
      <c r="D196" s="465">
        <f>LN_IA7-LN_IF7</f>
        <v>3154.2570712328843</v>
      </c>
      <c r="E196" s="465">
        <f t="shared" si="20"/>
        <v>-83.406916698080749</v>
      </c>
      <c r="F196" s="449">
        <f t="shared" si="21"/>
        <v>-2.5761449306968415E-2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43559629.912868276</v>
      </c>
      <c r="D197" s="479">
        <f>LN_IF9*LN_IF6</f>
        <v>46312472.467417851</v>
      </c>
      <c r="E197" s="479">
        <f t="shared" si="20"/>
        <v>2752842.5545495749</v>
      </c>
      <c r="F197" s="449">
        <f t="shared" si="21"/>
        <v>6.3197106129139466E-2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55246</v>
      </c>
      <c r="D198" s="456">
        <f>LN_ID11+LN_IE11</f>
        <v>56849</v>
      </c>
      <c r="E198" s="456">
        <f t="shared" si="20"/>
        <v>1603</v>
      </c>
      <c r="F198" s="449">
        <f t="shared" si="21"/>
        <v>2.9015675343011259E-2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1338.6965572168122</v>
      </c>
      <c r="D199" s="519">
        <f>IF(LN_IF11=0,0,LN_IF2/LN_IF11)</f>
        <v>1306.6410666854299</v>
      </c>
      <c r="E199" s="519">
        <f t="shared" si="20"/>
        <v>-32.055490531382247</v>
      </c>
      <c r="F199" s="449">
        <f t="shared" si="21"/>
        <v>-2.3945299895314975E-2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5.1952228700394958</v>
      </c>
      <c r="D200" s="466">
        <f>IF(LN_IF4=0,0,LN_IF11/LN_IF4)</f>
        <v>5.3798618340115452</v>
      </c>
      <c r="E200" s="466">
        <f t="shared" si="20"/>
        <v>0.18463896397204937</v>
      </c>
      <c r="F200" s="449">
        <f t="shared" si="21"/>
        <v>3.5540143048886308E-2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228280330</v>
      </c>
      <c r="D203" s="448">
        <f>LN_ID14+LN_IE14</f>
        <v>246411380</v>
      </c>
      <c r="E203" s="448">
        <f t="shared" ref="E203:E211" si="22">D203-C203</f>
        <v>18131050</v>
      </c>
      <c r="F203" s="449">
        <f t="shared" ref="F203:F211" si="23">IF(C203=0,0,E203/C203)</f>
        <v>7.9424495312408208E-2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35147982</v>
      </c>
      <c r="D204" s="448">
        <f>LN_ID15+LN_IE15</f>
        <v>60175639</v>
      </c>
      <c r="E204" s="448">
        <f t="shared" si="22"/>
        <v>25027657</v>
      </c>
      <c r="F204" s="449">
        <f t="shared" si="23"/>
        <v>0.71206526166993034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0.15396850880669394</v>
      </c>
      <c r="D205" s="453">
        <f>IF(LN_IF14=0,0,LN_IF15/LN_IF14)</f>
        <v>0.24420803535940588</v>
      </c>
      <c r="E205" s="454">
        <f t="shared" si="22"/>
        <v>9.0239526552711946E-2</v>
      </c>
      <c r="F205" s="449">
        <f t="shared" si="23"/>
        <v>0.58609080033376726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0.72800979945441502</v>
      </c>
      <c r="D206" s="453">
        <f>IF(LN_IF1=0,0,LN_IF14/LN_IF1)</f>
        <v>0.71345975978328646</v>
      </c>
      <c r="E206" s="454">
        <f t="shared" si="22"/>
        <v>-1.4550039671128556E-2</v>
      </c>
      <c r="F206" s="449">
        <f t="shared" si="23"/>
        <v>-1.9986049201580314E-2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7741.6562073982495</v>
      </c>
      <c r="D207" s="463">
        <f>LN_ID18+LN_IE18</f>
        <v>7539.1292816299883</v>
      </c>
      <c r="E207" s="463">
        <f t="shared" si="22"/>
        <v>-202.52692576826121</v>
      </c>
      <c r="F207" s="449">
        <f t="shared" si="23"/>
        <v>-2.6160671611162225E-2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4540.1114513986195</v>
      </c>
      <c r="D208" s="465">
        <f>IF(LN_IF18=0,0,LN_IF15/LN_IF18)</f>
        <v>7981.7757133606019</v>
      </c>
      <c r="E208" s="465">
        <f t="shared" si="22"/>
        <v>3441.6642619619824</v>
      </c>
      <c r="F208" s="449">
        <f t="shared" si="23"/>
        <v>0.75805721925653369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12453.822463380589</v>
      </c>
      <c r="D209" s="465">
        <f>LN_IB18-LN_IF19</f>
        <v>10452.30032434619</v>
      </c>
      <c r="E209" s="465">
        <f t="shared" si="22"/>
        <v>-2001.5221390343995</v>
      </c>
      <c r="F209" s="449">
        <f t="shared" si="23"/>
        <v>-0.16071548674470879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7833.0732831971691</v>
      </c>
      <c r="D210" s="465">
        <f>LN_IA16-LN_IF19</f>
        <v>5608.6826509206157</v>
      </c>
      <c r="E210" s="465">
        <f t="shared" si="22"/>
        <v>-2224.3906322765533</v>
      </c>
      <c r="F210" s="449">
        <f t="shared" si="23"/>
        <v>-0.28397418891102727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60640960.405868754</v>
      </c>
      <c r="D211" s="441">
        <f>LN_IF21*LN_IF18</f>
        <v>42284583.604925722</v>
      </c>
      <c r="E211" s="441">
        <f t="shared" si="22"/>
        <v>-18356376.800943032</v>
      </c>
      <c r="F211" s="449">
        <f t="shared" si="23"/>
        <v>-0.30270590502004197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541847991</v>
      </c>
      <c r="D214" s="448">
        <f>LN_IF1+LN_IF14</f>
        <v>591786682</v>
      </c>
      <c r="E214" s="448">
        <f>D214-C214</f>
        <v>49938691</v>
      </c>
      <c r="F214" s="449">
        <f>IF(C214=0,0,E214/C214)</f>
        <v>9.2163654437172213E-2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109105612</v>
      </c>
      <c r="D215" s="448">
        <f>LN_IF2+LN_IF15</f>
        <v>134456877</v>
      </c>
      <c r="E215" s="448">
        <f>D215-C215</f>
        <v>25351265</v>
      </c>
      <c r="F215" s="449">
        <f>IF(C215=0,0,E215/C215)</f>
        <v>0.23235527976324444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432742379</v>
      </c>
      <c r="D216" s="448">
        <f>LN_IF23-LN_IF24</f>
        <v>457329805</v>
      </c>
      <c r="E216" s="448">
        <f>D216-C216</f>
        <v>24587426</v>
      </c>
      <c r="F216" s="449">
        <f>IF(C216=0,0,E216/C216)</f>
        <v>5.681769845795482E-2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10920271</v>
      </c>
      <c r="D221" s="448">
        <v>13264479</v>
      </c>
      <c r="E221" s="448">
        <f t="shared" ref="E221:E230" si="24">D221-C221</f>
        <v>2344208</v>
      </c>
      <c r="F221" s="449">
        <f t="shared" ref="F221:F230" si="25">IF(C221=0,0,E221/C221)</f>
        <v>0.21466573494375735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4501295</v>
      </c>
      <c r="D222" s="448">
        <v>1824412</v>
      </c>
      <c r="E222" s="448">
        <f t="shared" si="24"/>
        <v>-2676883</v>
      </c>
      <c r="F222" s="449">
        <f t="shared" si="25"/>
        <v>-0.59469174981866335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0.41219627241851414</v>
      </c>
      <c r="D223" s="453">
        <f>IF(LN_IG1=0,0,LN_IG2/LN_IG1)</f>
        <v>0.13754117293261198</v>
      </c>
      <c r="E223" s="454">
        <f t="shared" si="24"/>
        <v>-0.27465509948590217</v>
      </c>
      <c r="F223" s="449">
        <f t="shared" si="25"/>
        <v>-0.66632116266941233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332</v>
      </c>
      <c r="D224" s="456">
        <v>322</v>
      </c>
      <c r="E224" s="456">
        <f t="shared" si="24"/>
        <v>-10</v>
      </c>
      <c r="F224" s="449">
        <f t="shared" si="25"/>
        <v>-3.0120481927710843E-2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1.3554200000000001</v>
      </c>
      <c r="D225" s="459">
        <v>1.47359</v>
      </c>
      <c r="E225" s="460">
        <f t="shared" si="24"/>
        <v>0.11816999999999989</v>
      </c>
      <c r="F225" s="449">
        <f t="shared" si="25"/>
        <v>8.7183308494783812E-2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449.99944000000005</v>
      </c>
      <c r="D226" s="463">
        <f>LN_IG3*LN_IG4</f>
        <v>474.49597999999997</v>
      </c>
      <c r="E226" s="463">
        <f t="shared" si="24"/>
        <v>24.496539999999925</v>
      </c>
      <c r="F226" s="449">
        <f t="shared" si="25"/>
        <v>5.4436823299157708E-2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10002.890225818946</v>
      </c>
      <c r="D227" s="465">
        <f>IF(LN_IG5=0,0,LN_IG2/LN_IG5)</f>
        <v>3844.9472216814147</v>
      </c>
      <c r="E227" s="465">
        <f t="shared" si="24"/>
        <v>-6157.9430041375317</v>
      </c>
      <c r="F227" s="449">
        <f t="shared" si="25"/>
        <v>-0.61561637338006225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1983</v>
      </c>
      <c r="D228" s="456">
        <v>2033</v>
      </c>
      <c r="E228" s="456">
        <f t="shared" si="24"/>
        <v>50</v>
      </c>
      <c r="F228" s="449">
        <f t="shared" si="25"/>
        <v>2.5214321734745335E-2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2269.9420070600099</v>
      </c>
      <c r="D229" s="465">
        <f>IF(LN_IG6=0,0,LN_IG2/LN_IG6)</f>
        <v>897.39891785538612</v>
      </c>
      <c r="E229" s="465">
        <f t="shared" si="24"/>
        <v>-1372.5430892046238</v>
      </c>
      <c r="F229" s="449">
        <f t="shared" si="25"/>
        <v>-0.60465998027073742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5.9728915662650603</v>
      </c>
      <c r="D230" s="466">
        <f>IF(LN_IG3=0,0,LN_IG6/LN_IG3)</f>
        <v>6.3136645962732922</v>
      </c>
      <c r="E230" s="466">
        <f t="shared" si="24"/>
        <v>0.34077303000823189</v>
      </c>
      <c r="F230" s="449">
        <f t="shared" si="25"/>
        <v>5.7053275825886526E-2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5310131</v>
      </c>
      <c r="D233" s="448">
        <v>5701538</v>
      </c>
      <c r="E233" s="448">
        <f>D233-C233</f>
        <v>391407</v>
      </c>
      <c r="F233" s="449">
        <f>IF(C233=0,0,E233/C233)</f>
        <v>7.3709480990205328E-2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3177110</v>
      </c>
      <c r="D234" s="448">
        <v>0</v>
      </c>
      <c r="E234" s="448">
        <f>D234-C234</f>
        <v>-3177110</v>
      </c>
      <c r="F234" s="449">
        <f>IF(C234=0,0,E234/C234)</f>
        <v>-1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16230402</v>
      </c>
      <c r="D237" s="448">
        <f>LN_IG1+LN_IG9</f>
        <v>18966017</v>
      </c>
      <c r="E237" s="448">
        <f>D237-C237</f>
        <v>2735615</v>
      </c>
      <c r="F237" s="449">
        <f>IF(C237=0,0,E237/C237)</f>
        <v>0.16854881351675702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7678405</v>
      </c>
      <c r="D238" s="448">
        <f>LN_IG2+LN_IG10</f>
        <v>1824412</v>
      </c>
      <c r="E238" s="448">
        <f>D238-C238</f>
        <v>-5853993</v>
      </c>
      <c r="F238" s="449">
        <f>IF(C238=0,0,E238/C238)</f>
        <v>-0.76239700823282963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8551997</v>
      </c>
      <c r="D239" s="448">
        <f>LN_IG13-LN_IG14</f>
        <v>17141605</v>
      </c>
      <c r="E239" s="448">
        <f>D239-C239</f>
        <v>8589608</v>
      </c>
      <c r="F239" s="449">
        <f>IF(C239=0,0,E239/C239)</f>
        <v>1.0043979201582975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114392501</v>
      </c>
      <c r="D243" s="448">
        <v>105622852</v>
      </c>
      <c r="E243" s="441">
        <f>D243-C243</f>
        <v>-8769649</v>
      </c>
      <c r="F243" s="503">
        <f>IF(C243=0,0,E243/C243)</f>
        <v>-7.6662796278927414E-2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1033299408</v>
      </c>
      <c r="D244" s="448">
        <v>1082920481</v>
      </c>
      <c r="E244" s="441">
        <f>D244-C244</f>
        <v>49621073</v>
      </c>
      <c r="F244" s="503">
        <f>IF(C244=0,0,E244/C244)</f>
        <v>4.8021969833548964E-2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24219691</v>
      </c>
      <c r="D248" s="441">
        <v>20579150</v>
      </c>
      <c r="E248" s="441">
        <f>D248-C248</f>
        <v>-3640541</v>
      </c>
      <c r="F248" s="449">
        <f>IF(C248=0,0,E248/C248)</f>
        <v>-0.15031327195710301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14132654</v>
      </c>
      <c r="D249" s="441">
        <v>4020775</v>
      </c>
      <c r="E249" s="441">
        <f>D249-C249</f>
        <v>-10111879</v>
      </c>
      <c r="F249" s="449">
        <f>IF(C249=0,0,E249/C249)</f>
        <v>-0.71549752792362986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38352345</v>
      </c>
      <c r="D250" s="441">
        <f>LN_IH4+LN_IH5</f>
        <v>24599925</v>
      </c>
      <c r="E250" s="441">
        <f>D250-C250</f>
        <v>-13752420</v>
      </c>
      <c r="F250" s="449">
        <f>IF(C250=0,0,E250/C250)</f>
        <v>-0.35858094205191365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14853688.455272544</v>
      </c>
      <c r="D251" s="441">
        <f>LN_IH6*LN_III10</f>
        <v>9865030.8558916301</v>
      </c>
      <c r="E251" s="441">
        <f>D251-C251</f>
        <v>-4988657.5993809141</v>
      </c>
      <c r="F251" s="449">
        <f>IF(C251=0,0,E251/C251)</f>
        <v>-0.33585311920354122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541847991</v>
      </c>
      <c r="D254" s="441">
        <f>LN_IF23</f>
        <v>591786682</v>
      </c>
      <c r="E254" s="441">
        <f>D254-C254</f>
        <v>49938691</v>
      </c>
      <c r="F254" s="449">
        <f>IF(C254=0,0,E254/C254)</f>
        <v>9.2163654437172213E-2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109105612</v>
      </c>
      <c r="D255" s="441">
        <f>LN_IF24</f>
        <v>134456877</v>
      </c>
      <c r="E255" s="441">
        <f>D255-C255</f>
        <v>25351265</v>
      </c>
      <c r="F255" s="449">
        <f>IF(C255=0,0,E255/C255)</f>
        <v>0.23235527976324444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209855257.8318046</v>
      </c>
      <c r="D256" s="441">
        <f>LN_IH8*LN_III10</f>
        <v>237317547.83950469</v>
      </c>
      <c r="E256" s="441">
        <f>D256-C256</f>
        <v>27462290.007700086</v>
      </c>
      <c r="F256" s="449">
        <f>IF(C256=0,0,E256/C256)</f>
        <v>0.1308630066810651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100749645.8318046</v>
      </c>
      <c r="D257" s="441">
        <f>LN_IH10-LN_IH9</f>
        <v>102860670.83950469</v>
      </c>
      <c r="E257" s="441">
        <f>D257-C257</f>
        <v>2111025.0077000856</v>
      </c>
      <c r="F257" s="449">
        <f>IF(C257=0,0,E257/C257)</f>
        <v>2.095317547045588E-2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1622989767</v>
      </c>
      <c r="D261" s="448">
        <f>LN_IA1+LN_IB1+LN_IF1+LN_IG1</f>
        <v>1711743511</v>
      </c>
      <c r="E261" s="448">
        <f t="shared" ref="E261:E274" si="26">D261-C261</f>
        <v>88753744</v>
      </c>
      <c r="F261" s="503">
        <f t="shared" ref="F261:F274" si="27">IF(C261=0,0,E261/C261)</f>
        <v>5.4685338012978368E-2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684829009</v>
      </c>
      <c r="D262" s="448">
        <f>+LN_IA2+LN_IB2+LN_IF2+LN_IG2</f>
        <v>701410817</v>
      </c>
      <c r="E262" s="448">
        <f t="shared" si="26"/>
        <v>16581808</v>
      </c>
      <c r="F262" s="503">
        <f t="shared" si="27"/>
        <v>2.421306308886223E-2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0.42195522296228993</v>
      </c>
      <c r="D263" s="453">
        <f>IF(LN_IIA1=0,0,LN_IIA2/LN_IIA1)</f>
        <v>0.40976397018162847</v>
      </c>
      <c r="E263" s="454">
        <f t="shared" si="26"/>
        <v>-1.2191252780661466E-2</v>
      </c>
      <c r="F263" s="458">
        <f t="shared" si="27"/>
        <v>-2.8892290265005196E-2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43350</v>
      </c>
      <c r="D264" s="456">
        <f>LN_IA4+LN_IB4+LN_IF4+LN_IG3</f>
        <v>43336</v>
      </c>
      <c r="E264" s="456">
        <f t="shared" si="26"/>
        <v>-14</v>
      </c>
      <c r="F264" s="503">
        <f t="shared" si="27"/>
        <v>-3.2295271049596311E-4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1.6020541208765857</v>
      </c>
      <c r="D265" s="525">
        <f>IF(LN_IIA4=0,0,LN_IIA6/LN_IIA4)</f>
        <v>1.6737964592948127</v>
      </c>
      <c r="E265" s="525">
        <f t="shared" si="26"/>
        <v>7.174233841822697E-2</v>
      </c>
      <c r="F265" s="503">
        <f t="shared" si="27"/>
        <v>4.4781469916242385E-2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69449.046139999991</v>
      </c>
      <c r="D266" s="463">
        <f>LN_IA6+LN_IB6+LN_IF6+LN_IG5</f>
        <v>72535.643360000002</v>
      </c>
      <c r="E266" s="463">
        <f t="shared" si="26"/>
        <v>3086.5972200000106</v>
      </c>
      <c r="F266" s="503">
        <f t="shared" si="27"/>
        <v>4.4444054908656966E-2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1013713282</v>
      </c>
      <c r="D267" s="448">
        <f>LN_IA11+LN_IB13+LN_IF14+LN_IG9</f>
        <v>1062028094</v>
      </c>
      <c r="E267" s="448">
        <f t="shared" si="26"/>
        <v>48314812</v>
      </c>
      <c r="F267" s="503">
        <f t="shared" si="27"/>
        <v>4.7661220246298402E-2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0.62459622519603974</v>
      </c>
      <c r="D268" s="453">
        <f>IF(LN_IIA1=0,0,LN_IIA7/LN_IIA1)</f>
        <v>0.62043646561251664</v>
      </c>
      <c r="E268" s="454">
        <f t="shared" si="26"/>
        <v>-4.1597595835231038E-3</v>
      </c>
      <c r="F268" s="458">
        <f t="shared" si="27"/>
        <v>-6.6599179049112809E-3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352884776</v>
      </c>
      <c r="D269" s="448">
        <f>LN_IA12+LN_IB14+LN_IF15+LN_IG10</f>
        <v>401155345</v>
      </c>
      <c r="E269" s="448">
        <f t="shared" si="26"/>
        <v>48270569</v>
      </c>
      <c r="F269" s="503">
        <f t="shared" si="27"/>
        <v>0.13678847114674053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0.34811103126100701</v>
      </c>
      <c r="D270" s="453">
        <f>IF(LN_IIA7=0,0,LN_IIA9/LN_IIA7)</f>
        <v>0.37772573745116012</v>
      </c>
      <c r="E270" s="454">
        <f t="shared" si="26"/>
        <v>2.9614706190153106E-2</v>
      </c>
      <c r="F270" s="458">
        <f t="shared" si="27"/>
        <v>8.5072587567466551E-2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2636703049</v>
      </c>
      <c r="D271" s="441">
        <f>LN_IIA1+LN_IIA7</f>
        <v>2773771605</v>
      </c>
      <c r="E271" s="441">
        <f t="shared" si="26"/>
        <v>137068556</v>
      </c>
      <c r="F271" s="503">
        <f t="shared" si="27"/>
        <v>5.1984828572934988E-2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1037713785</v>
      </c>
      <c r="D272" s="441">
        <f>LN_IIA2+LN_IIA9</f>
        <v>1102566162</v>
      </c>
      <c r="E272" s="441">
        <f t="shared" si="26"/>
        <v>64852377</v>
      </c>
      <c r="F272" s="503">
        <f t="shared" si="27"/>
        <v>6.2495437506402594E-2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0.39356490500269453</v>
      </c>
      <c r="D273" s="453">
        <f>IF(LN_IIA11=0,0,LN_IIA12/LN_IIA11)</f>
        <v>0.39749709745839007</v>
      </c>
      <c r="E273" s="454">
        <f t="shared" si="26"/>
        <v>3.9321924556955379E-3</v>
      </c>
      <c r="F273" s="458">
        <f t="shared" si="27"/>
        <v>9.9912172190978667E-3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230835</v>
      </c>
      <c r="D274" s="508">
        <f>LN_IA8+LN_IB10+LN_IF11+LN_IG6</f>
        <v>233354</v>
      </c>
      <c r="E274" s="528">
        <f t="shared" si="26"/>
        <v>2519</v>
      </c>
      <c r="F274" s="458">
        <f t="shared" si="27"/>
        <v>1.0912556588039076E-2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1163062338</v>
      </c>
      <c r="D277" s="448">
        <f>LN_IA1+LN_IF1+LN_IG1</f>
        <v>1223134811</v>
      </c>
      <c r="E277" s="448">
        <f t="shared" ref="E277:E291" si="28">D277-C277</f>
        <v>60072473</v>
      </c>
      <c r="F277" s="503">
        <f t="shared" ref="F277:F291" si="29">IF(C277=0,0,E277/C277)</f>
        <v>5.1650260727469276E-2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374668146</v>
      </c>
      <c r="D278" s="448">
        <f>LN_IA2+LN_IF2+LN_IG2</f>
        <v>363084083</v>
      </c>
      <c r="E278" s="448">
        <f t="shared" si="28"/>
        <v>-11584063</v>
      </c>
      <c r="F278" s="503">
        <f t="shared" si="29"/>
        <v>-3.0918195538299113E-2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0.32213935036730595</v>
      </c>
      <c r="D279" s="453">
        <f>IF(D277=0,0,LN_IIB2/D277)</f>
        <v>0.29684715023616476</v>
      </c>
      <c r="E279" s="454">
        <f t="shared" si="28"/>
        <v>-2.5292200131141196E-2</v>
      </c>
      <c r="F279" s="458">
        <f t="shared" si="29"/>
        <v>-7.851322759018052E-2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28958</v>
      </c>
      <c r="D280" s="456">
        <f>LN_IA4+LN_IF4+LN_IG3</f>
        <v>28715</v>
      </c>
      <c r="E280" s="456">
        <f t="shared" si="28"/>
        <v>-243</v>
      </c>
      <c r="F280" s="503">
        <f t="shared" si="29"/>
        <v>-8.3914634988604183E-3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1.6512090386076388</v>
      </c>
      <c r="D281" s="525">
        <f>IF(LN_IIB4=0,0,LN_IIB6/LN_IIB4)</f>
        <v>1.7446363674037959</v>
      </c>
      <c r="E281" s="525">
        <f t="shared" si="28"/>
        <v>9.3427328796157116E-2</v>
      </c>
      <c r="F281" s="503">
        <f t="shared" si="29"/>
        <v>5.6581163627191948E-2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47815.711340000002</v>
      </c>
      <c r="D282" s="463">
        <f>LN_IA6+LN_IF6+LN_IG5</f>
        <v>50097.233289999996</v>
      </c>
      <c r="E282" s="463">
        <f t="shared" si="28"/>
        <v>2281.5219499999948</v>
      </c>
      <c r="F282" s="503">
        <f t="shared" si="29"/>
        <v>4.7714901359030892E-2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610188575</v>
      </c>
      <c r="D283" s="448">
        <f>LN_IA11+LN_IF14+LN_IG9</f>
        <v>641909791</v>
      </c>
      <c r="E283" s="448">
        <f t="shared" si="28"/>
        <v>31721216</v>
      </c>
      <c r="F283" s="503">
        <f t="shared" si="29"/>
        <v>5.19859225486154E-2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0.5246396130832327</v>
      </c>
      <c r="D284" s="453">
        <f>IF(D277=0,0,LN_IIB7/D277)</f>
        <v>0.52480706560480683</v>
      </c>
      <c r="E284" s="454">
        <f t="shared" si="28"/>
        <v>1.674525215741296E-4</v>
      </c>
      <c r="F284" s="458">
        <f t="shared" si="29"/>
        <v>3.191762829154948E-4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138301488</v>
      </c>
      <c r="D285" s="448">
        <f>LN_IA12+LN_IF15+LN_IG10</f>
        <v>169411153</v>
      </c>
      <c r="E285" s="448">
        <f t="shared" si="28"/>
        <v>31109665</v>
      </c>
      <c r="F285" s="503">
        <f t="shared" si="29"/>
        <v>0.22494092760592713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0.22665368324865801</v>
      </c>
      <c r="D286" s="453">
        <f>IF(LN_IIB7=0,0,LN_IIB9/LN_IIB7)</f>
        <v>0.26391738430423783</v>
      </c>
      <c r="E286" s="454">
        <f t="shared" si="28"/>
        <v>3.7263701055579829E-2</v>
      </c>
      <c r="F286" s="458">
        <f t="shared" si="29"/>
        <v>0.16440809838814063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1773250913</v>
      </c>
      <c r="D287" s="441">
        <f>D277+LN_IIB7</f>
        <v>1865044602</v>
      </c>
      <c r="E287" s="441">
        <f t="shared" si="28"/>
        <v>91793689</v>
      </c>
      <c r="F287" s="503">
        <f t="shared" si="29"/>
        <v>5.1765764408773209E-2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512969634</v>
      </c>
      <c r="D288" s="441">
        <f>LN_IIB2+LN_IIB9</f>
        <v>532495236</v>
      </c>
      <c r="E288" s="441">
        <f t="shared" si="28"/>
        <v>19525602</v>
      </c>
      <c r="F288" s="503">
        <f t="shared" si="29"/>
        <v>3.8063855452309288E-2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0.28928203574538353</v>
      </c>
      <c r="D289" s="453">
        <f>IF(LN_IIB11=0,0,LN_IIB12/LN_IIB11)</f>
        <v>0.28551340564669242</v>
      </c>
      <c r="E289" s="454">
        <f t="shared" si="28"/>
        <v>-3.7686300986911059E-3</v>
      </c>
      <c r="F289" s="458">
        <f t="shared" si="29"/>
        <v>-1.302752896141857E-2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168270</v>
      </c>
      <c r="D290" s="508">
        <f>LN_IA8+LN_IF11+LN_IG6</f>
        <v>168564</v>
      </c>
      <c r="E290" s="528">
        <f t="shared" si="28"/>
        <v>294</v>
      </c>
      <c r="F290" s="458">
        <f t="shared" si="29"/>
        <v>1.7471920128365127E-3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1260281279</v>
      </c>
      <c r="D291" s="516">
        <f>LN_IIB11-LN_IIB12</f>
        <v>1332549366</v>
      </c>
      <c r="E291" s="441">
        <f t="shared" si="28"/>
        <v>72268087</v>
      </c>
      <c r="F291" s="503">
        <f t="shared" si="29"/>
        <v>5.7342823545980803E-2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6.171687416629613</v>
      </c>
      <c r="D294" s="466">
        <f>IF(LN_IA4=0,0,LN_IA8/LN_IA4)</f>
        <v>6.1529226971838886</v>
      </c>
      <c r="E294" s="466">
        <f t="shared" ref="E294:E300" si="30">D294-C294</f>
        <v>-1.8764719445724332E-2</v>
      </c>
      <c r="F294" s="503">
        <f t="shared" ref="F294:F300" si="31">IF(C294=0,0,E294/C294)</f>
        <v>-3.0404520156291116E-3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4.347206781545303</v>
      </c>
      <c r="D295" s="466">
        <f>IF(LN_IB4=0,0,(LN_IB10)/(LN_IB4))</f>
        <v>4.431297448874906</v>
      </c>
      <c r="E295" s="466">
        <f t="shared" si="30"/>
        <v>8.4090667329602908E-2</v>
      </c>
      <c r="F295" s="503">
        <f t="shared" si="31"/>
        <v>1.9343608794176376E-2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4.0443349753694582</v>
      </c>
      <c r="D296" s="466">
        <f>IF(LN_IC4=0,0,LN_IC11/LN_IC4)</f>
        <v>4.8299817184643512</v>
      </c>
      <c r="E296" s="466">
        <f t="shared" si="30"/>
        <v>0.78564674309489302</v>
      </c>
      <c r="F296" s="503">
        <f t="shared" si="31"/>
        <v>0.19425857350580181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5.1952228700394958</v>
      </c>
      <c r="D297" s="466">
        <f>IF(LN_ID4=0,0,LN_ID11/LN_ID4)</f>
        <v>5.3798618340115452</v>
      </c>
      <c r="E297" s="466">
        <f t="shared" si="30"/>
        <v>0.18463896397204937</v>
      </c>
      <c r="F297" s="503">
        <f t="shared" si="31"/>
        <v>3.5540143048886308E-2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5.9728915662650603</v>
      </c>
      <c r="D299" s="466">
        <f>IF(LN_IG3=0,0,LN_IG6/LN_IG3)</f>
        <v>6.3136645962732922</v>
      </c>
      <c r="E299" s="466">
        <f t="shared" si="30"/>
        <v>0.34077303000823189</v>
      </c>
      <c r="F299" s="503">
        <f t="shared" si="31"/>
        <v>5.7053275825886526E-2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5.3249134948096888</v>
      </c>
      <c r="D300" s="466">
        <f>IF(LN_IIA4=0,0,LN_IIA14/LN_IIA4)</f>
        <v>5.3847609377884442</v>
      </c>
      <c r="E300" s="466">
        <f t="shared" si="30"/>
        <v>5.9847442978755439E-2</v>
      </c>
      <c r="F300" s="503">
        <f t="shared" si="31"/>
        <v>1.123913900894166E-2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2636703049</v>
      </c>
      <c r="D304" s="441">
        <f>LN_IIA11</f>
        <v>2773771605</v>
      </c>
      <c r="E304" s="441">
        <f t="shared" ref="E304:E316" si="32">D304-C304</f>
        <v>137068556</v>
      </c>
      <c r="F304" s="449">
        <f>IF(C304=0,0,E304/C304)</f>
        <v>5.1984828572934988E-2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1260281279</v>
      </c>
      <c r="D305" s="441">
        <f>LN_IIB14</f>
        <v>1332549366</v>
      </c>
      <c r="E305" s="441">
        <f t="shared" si="32"/>
        <v>72268087</v>
      </c>
      <c r="F305" s="449">
        <f>IF(C305=0,0,E305/C305)</f>
        <v>5.7342823545980803E-2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38352345</v>
      </c>
      <c r="D306" s="441">
        <f>LN_IH6</f>
        <v>24599925</v>
      </c>
      <c r="E306" s="441">
        <f t="shared" si="32"/>
        <v>-13752420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308263313</v>
      </c>
      <c r="D307" s="441">
        <f>LN_IB32-LN_IB33</f>
        <v>299230578</v>
      </c>
      <c r="E307" s="441">
        <f t="shared" si="32"/>
        <v>-9032735</v>
      </c>
      <c r="F307" s="449">
        <f t="shared" ref="F307:F316" si="33">IF(C307=0,0,E307/C307)</f>
        <v>-2.9302011037557363E-2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8623036</v>
      </c>
      <c r="D308" s="441">
        <v>5057350</v>
      </c>
      <c r="E308" s="441">
        <f t="shared" si="32"/>
        <v>-3565686</v>
      </c>
      <c r="F308" s="449">
        <f t="shared" si="33"/>
        <v>-0.41350702931079031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1615519973</v>
      </c>
      <c r="D309" s="441">
        <f>LN_III2+LN_III3+LN_III4+LN_III5</f>
        <v>1661437219</v>
      </c>
      <c r="E309" s="441">
        <f t="shared" si="32"/>
        <v>45917246</v>
      </c>
      <c r="F309" s="449">
        <f t="shared" si="33"/>
        <v>2.8422580201674794E-2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1021183076</v>
      </c>
      <c r="D310" s="441">
        <f>LN_III1-LN_III6</f>
        <v>1112334386</v>
      </c>
      <c r="E310" s="441">
        <f t="shared" si="32"/>
        <v>91151310</v>
      </c>
      <c r="F310" s="449">
        <f t="shared" si="33"/>
        <v>8.9260498085262041E-2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1021183076</v>
      </c>
      <c r="D312" s="441">
        <f>LN_III7+LN_III8</f>
        <v>1112334386</v>
      </c>
      <c r="E312" s="441">
        <f t="shared" si="32"/>
        <v>91151310</v>
      </c>
      <c r="F312" s="449">
        <f t="shared" si="33"/>
        <v>8.9260498085262041E-2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0.38729544321924891</v>
      </c>
      <c r="D313" s="532">
        <f>IF(LN_III1=0,0,LN_III9/LN_III1)</f>
        <v>0.40101873708524027</v>
      </c>
      <c r="E313" s="532">
        <f t="shared" si="32"/>
        <v>1.3723293865991359E-2</v>
      </c>
      <c r="F313" s="449">
        <f t="shared" si="33"/>
        <v>3.5433656931053971E-2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14853688.455272544</v>
      </c>
      <c r="D314" s="441">
        <f>D313*LN_III5</f>
        <v>9865030.8558916301</v>
      </c>
      <c r="E314" s="441">
        <f t="shared" si="32"/>
        <v>-4988657.5993809141</v>
      </c>
      <c r="F314" s="449">
        <f t="shared" si="33"/>
        <v>-0.33585311920354122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100749645.8318046</v>
      </c>
      <c r="D315" s="441">
        <f>D313*LN_IH8-LN_IH9</f>
        <v>102860670.83950469</v>
      </c>
      <c r="E315" s="441">
        <f t="shared" si="32"/>
        <v>2111025.0077000856</v>
      </c>
      <c r="F315" s="449">
        <f t="shared" si="33"/>
        <v>2.095317547045588E-2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115603334.28707714</v>
      </c>
      <c r="D318" s="441">
        <f>D314+D315+D316</f>
        <v>112725701.69539632</v>
      </c>
      <c r="E318" s="441">
        <f>D318-C318</f>
        <v>-2877632.5916808248</v>
      </c>
      <c r="F318" s="449">
        <f>IF(C318=0,0,E318/C318)</f>
        <v>-2.4892297522620024E-2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60640960.405868754</v>
      </c>
      <c r="D322" s="441">
        <f>LN_ID22</f>
        <v>42284583.604925722</v>
      </c>
      <c r="E322" s="441">
        <f>LN_IV2-C322</f>
        <v>-18356376.800943032</v>
      </c>
      <c r="F322" s="449">
        <f>IF(C322=0,0,E322/C322)</f>
        <v>-0.30270590502004197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-971215.40410048235</v>
      </c>
      <c r="D324" s="441">
        <f>LN_IC10+LN_IC22</f>
        <v>-807143.94885220588</v>
      </c>
      <c r="E324" s="441">
        <f>LN_IV1-C324</f>
        <v>164071.45524827647</v>
      </c>
      <c r="F324" s="449">
        <f>IF(C324=0,0,E324/C324)</f>
        <v>-0.16893415668199346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59669745.001768269</v>
      </c>
      <c r="D325" s="516">
        <f>LN_IV1+LN_IV2+LN_IV3</f>
        <v>41477439.656073518</v>
      </c>
      <c r="E325" s="441">
        <f>LN_IV4-C325</f>
        <v>-18192305.345694751</v>
      </c>
      <c r="F325" s="449">
        <f>IF(C325=0,0,E325/C325)</f>
        <v>-0.30488324267441791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13950310</v>
      </c>
      <c r="D329" s="518">
        <v>9189127</v>
      </c>
      <c r="E329" s="518">
        <f t="shared" ref="E329:E335" si="34">D329-C329</f>
        <v>-4761183</v>
      </c>
      <c r="F329" s="542">
        <f t="shared" ref="F329:F335" si="35">IF(C329=0,0,E329/C329)</f>
        <v>-0.34129585650784822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-57278965</v>
      </c>
      <c r="D330" s="516">
        <v>-80874785</v>
      </c>
      <c r="E330" s="518">
        <f t="shared" si="34"/>
        <v>-23595820</v>
      </c>
      <c r="F330" s="543">
        <f t="shared" si="35"/>
        <v>0.41194564182505744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980435000</v>
      </c>
      <c r="D331" s="516">
        <v>1021691377</v>
      </c>
      <c r="E331" s="518">
        <f t="shared" si="34"/>
        <v>41256377</v>
      </c>
      <c r="F331" s="542">
        <f t="shared" si="35"/>
        <v>4.2079665658610717E-2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309166</v>
      </c>
      <c r="D332" s="516">
        <v>0</v>
      </c>
      <c r="E332" s="518">
        <f t="shared" si="34"/>
        <v>-309166</v>
      </c>
      <c r="F332" s="543">
        <f t="shared" si="35"/>
        <v>-1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2637012215</v>
      </c>
      <c r="D333" s="516">
        <v>2773771606</v>
      </c>
      <c r="E333" s="518">
        <f t="shared" si="34"/>
        <v>136759391</v>
      </c>
      <c r="F333" s="542">
        <f t="shared" si="35"/>
        <v>5.186149317855928E-2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1734985</v>
      </c>
      <c r="D334" s="516">
        <v>5658146</v>
      </c>
      <c r="E334" s="516">
        <f t="shared" si="34"/>
        <v>3923161</v>
      </c>
      <c r="F334" s="543">
        <f t="shared" si="35"/>
        <v>2.2612074455975124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40087330</v>
      </c>
      <c r="D335" s="516">
        <v>30258072</v>
      </c>
      <c r="E335" s="516">
        <f t="shared" si="34"/>
        <v>-9829258</v>
      </c>
      <c r="F335" s="542">
        <f t="shared" si="35"/>
        <v>-0.2451961255588736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FILING&amp;RHARTFORD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459927429</v>
      </c>
      <c r="D14" s="589">
        <v>488608700</v>
      </c>
      <c r="E14" s="590">
        <f t="shared" ref="E14:E22" si="0">D14-C14</f>
        <v>28681271</v>
      </c>
    </row>
    <row r="15" spans="1:5" s="421" customFormat="1" x14ac:dyDescent="0.2">
      <c r="A15" s="588">
        <v>2</v>
      </c>
      <c r="B15" s="587" t="s">
        <v>638</v>
      </c>
      <c r="C15" s="589">
        <v>838574406</v>
      </c>
      <c r="D15" s="591">
        <v>864495030</v>
      </c>
      <c r="E15" s="590">
        <f t="shared" si="0"/>
        <v>25920624</v>
      </c>
    </row>
    <row r="16" spans="1:5" s="421" customFormat="1" x14ac:dyDescent="0.2">
      <c r="A16" s="588">
        <v>3</v>
      </c>
      <c r="B16" s="587" t="s">
        <v>780</v>
      </c>
      <c r="C16" s="589">
        <v>313567661</v>
      </c>
      <c r="D16" s="591">
        <v>345375302</v>
      </c>
      <c r="E16" s="590">
        <f t="shared" si="0"/>
        <v>31807641</v>
      </c>
    </row>
    <row r="17" spans="1:5" s="421" customFormat="1" x14ac:dyDescent="0.2">
      <c r="A17" s="588">
        <v>4</v>
      </c>
      <c r="B17" s="587" t="s">
        <v>115</v>
      </c>
      <c r="C17" s="589">
        <v>313567661</v>
      </c>
      <c r="D17" s="591">
        <v>345375302</v>
      </c>
      <c r="E17" s="590">
        <f t="shared" si="0"/>
        <v>31807641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10920271</v>
      </c>
      <c r="D19" s="591">
        <v>13264479</v>
      </c>
      <c r="E19" s="590">
        <f t="shared" si="0"/>
        <v>2344208</v>
      </c>
    </row>
    <row r="20" spans="1:5" s="421" customFormat="1" x14ac:dyDescent="0.2">
      <c r="A20" s="588">
        <v>7</v>
      </c>
      <c r="B20" s="587" t="s">
        <v>761</v>
      </c>
      <c r="C20" s="589">
        <v>13460763</v>
      </c>
      <c r="D20" s="591">
        <v>16722127</v>
      </c>
      <c r="E20" s="590">
        <f t="shared" si="0"/>
        <v>3261364</v>
      </c>
    </row>
    <row r="21" spans="1:5" s="421" customFormat="1" x14ac:dyDescent="0.2">
      <c r="A21" s="588"/>
      <c r="B21" s="592" t="s">
        <v>781</v>
      </c>
      <c r="C21" s="593">
        <f>SUM(C15+C16+C19)</f>
        <v>1163062338</v>
      </c>
      <c r="D21" s="593">
        <f>SUM(D15+D16+D19)</f>
        <v>1223134811</v>
      </c>
      <c r="E21" s="593">
        <f t="shared" si="0"/>
        <v>60072473</v>
      </c>
    </row>
    <row r="22" spans="1:5" s="421" customFormat="1" x14ac:dyDescent="0.2">
      <c r="A22" s="588"/>
      <c r="B22" s="592" t="s">
        <v>465</v>
      </c>
      <c r="C22" s="593">
        <f>SUM(C14+C21)</f>
        <v>1622989767</v>
      </c>
      <c r="D22" s="593">
        <f>SUM(D14+D21)</f>
        <v>1711743511</v>
      </c>
      <c r="E22" s="593">
        <f t="shared" si="0"/>
        <v>88753744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403524707</v>
      </c>
      <c r="D25" s="589">
        <v>420118303</v>
      </c>
      <c r="E25" s="590">
        <f t="shared" ref="E25:E33" si="1">D25-C25</f>
        <v>16593596</v>
      </c>
    </row>
    <row r="26" spans="1:5" s="421" customFormat="1" x14ac:dyDescent="0.2">
      <c r="A26" s="588">
        <v>2</v>
      </c>
      <c r="B26" s="587" t="s">
        <v>638</v>
      </c>
      <c r="C26" s="589">
        <v>376598114</v>
      </c>
      <c r="D26" s="591">
        <v>389796873</v>
      </c>
      <c r="E26" s="590">
        <f t="shared" si="1"/>
        <v>13198759</v>
      </c>
    </row>
    <row r="27" spans="1:5" s="421" customFormat="1" x14ac:dyDescent="0.2">
      <c r="A27" s="588">
        <v>3</v>
      </c>
      <c r="B27" s="587" t="s">
        <v>780</v>
      </c>
      <c r="C27" s="589">
        <v>228280330</v>
      </c>
      <c r="D27" s="591">
        <v>246411380</v>
      </c>
      <c r="E27" s="590">
        <f t="shared" si="1"/>
        <v>18131050</v>
      </c>
    </row>
    <row r="28" spans="1:5" s="421" customFormat="1" x14ac:dyDescent="0.2">
      <c r="A28" s="588">
        <v>4</v>
      </c>
      <c r="B28" s="587" t="s">
        <v>115</v>
      </c>
      <c r="C28" s="589">
        <v>228280330</v>
      </c>
      <c r="D28" s="591">
        <v>246411380</v>
      </c>
      <c r="E28" s="590">
        <f t="shared" si="1"/>
        <v>18131050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5310131</v>
      </c>
      <c r="D30" s="591">
        <v>5701538</v>
      </c>
      <c r="E30" s="590">
        <f t="shared" si="1"/>
        <v>391407</v>
      </c>
    </row>
    <row r="31" spans="1:5" s="421" customFormat="1" x14ac:dyDescent="0.2">
      <c r="A31" s="588">
        <v>7</v>
      </c>
      <c r="B31" s="587" t="s">
        <v>761</v>
      </c>
      <c r="C31" s="590">
        <v>28800715</v>
      </c>
      <c r="D31" s="594">
        <v>31190567</v>
      </c>
      <c r="E31" s="590">
        <f t="shared" si="1"/>
        <v>2389852</v>
      </c>
    </row>
    <row r="32" spans="1:5" s="421" customFormat="1" x14ac:dyDescent="0.2">
      <c r="A32" s="588"/>
      <c r="B32" s="592" t="s">
        <v>783</v>
      </c>
      <c r="C32" s="593">
        <f>SUM(C26+C27+C30)</f>
        <v>610188575</v>
      </c>
      <c r="D32" s="593">
        <f>SUM(D26+D27+D30)</f>
        <v>641909791</v>
      </c>
      <c r="E32" s="593">
        <f t="shared" si="1"/>
        <v>31721216</v>
      </c>
    </row>
    <row r="33" spans="1:5" s="421" customFormat="1" x14ac:dyDescent="0.2">
      <c r="A33" s="588"/>
      <c r="B33" s="592" t="s">
        <v>467</v>
      </c>
      <c r="C33" s="593">
        <f>SUM(C25+C32)</f>
        <v>1013713282</v>
      </c>
      <c r="D33" s="593">
        <f>SUM(D25+D32)</f>
        <v>1062028094</v>
      </c>
      <c r="E33" s="593">
        <f t="shared" si="1"/>
        <v>48314812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863452136</v>
      </c>
      <c r="D36" s="590">
        <f t="shared" si="2"/>
        <v>908727003</v>
      </c>
      <c r="E36" s="590">
        <f t="shared" ref="E36:E44" si="3">D36-C36</f>
        <v>45274867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1215172520</v>
      </c>
      <c r="D37" s="590">
        <f t="shared" si="2"/>
        <v>1254291903</v>
      </c>
      <c r="E37" s="590">
        <f t="shared" si="3"/>
        <v>39119383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541847991</v>
      </c>
      <c r="D38" s="590">
        <f t="shared" si="2"/>
        <v>591786682</v>
      </c>
      <c r="E38" s="590">
        <f t="shared" si="3"/>
        <v>49938691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541847991</v>
      </c>
      <c r="D39" s="590">
        <f t="shared" si="2"/>
        <v>591786682</v>
      </c>
      <c r="E39" s="590">
        <f t="shared" si="3"/>
        <v>49938691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16230402</v>
      </c>
      <c r="D41" s="590">
        <f t="shared" si="2"/>
        <v>18966017</v>
      </c>
      <c r="E41" s="590">
        <f t="shared" si="3"/>
        <v>2735615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42261478</v>
      </c>
      <c r="D42" s="590">
        <f t="shared" si="2"/>
        <v>47912694</v>
      </c>
      <c r="E42" s="590">
        <f t="shared" si="3"/>
        <v>5651216</v>
      </c>
    </row>
    <row r="43" spans="1:5" s="421" customFormat="1" x14ac:dyDescent="0.2">
      <c r="A43" s="588"/>
      <c r="B43" s="592" t="s">
        <v>791</v>
      </c>
      <c r="C43" s="593">
        <f>SUM(C37+C38+C41)</f>
        <v>1773250913</v>
      </c>
      <c r="D43" s="593">
        <f>SUM(D37+D38+D41)</f>
        <v>1865044602</v>
      </c>
      <c r="E43" s="593">
        <f t="shared" si="3"/>
        <v>91793689</v>
      </c>
    </row>
    <row r="44" spans="1:5" s="421" customFormat="1" x14ac:dyDescent="0.2">
      <c r="A44" s="588"/>
      <c r="B44" s="592" t="s">
        <v>728</v>
      </c>
      <c r="C44" s="593">
        <f>SUM(C36+C43)</f>
        <v>2636703049</v>
      </c>
      <c r="D44" s="593">
        <f>SUM(D36+D43)</f>
        <v>2773771605</v>
      </c>
      <c r="E44" s="593">
        <f t="shared" si="3"/>
        <v>137068556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310160863</v>
      </c>
      <c r="D47" s="589">
        <v>338326734</v>
      </c>
      <c r="E47" s="590">
        <f t="shared" ref="E47:E55" si="4">D47-C47</f>
        <v>28165871</v>
      </c>
    </row>
    <row r="48" spans="1:5" s="421" customFormat="1" x14ac:dyDescent="0.2">
      <c r="A48" s="588">
        <v>2</v>
      </c>
      <c r="B48" s="587" t="s">
        <v>638</v>
      </c>
      <c r="C48" s="589">
        <v>296209221</v>
      </c>
      <c r="D48" s="591">
        <v>286978433</v>
      </c>
      <c r="E48" s="590">
        <f t="shared" si="4"/>
        <v>-9230788</v>
      </c>
    </row>
    <row r="49" spans="1:5" s="421" customFormat="1" x14ac:dyDescent="0.2">
      <c r="A49" s="588">
        <v>3</v>
      </c>
      <c r="B49" s="587" t="s">
        <v>780</v>
      </c>
      <c r="C49" s="589">
        <v>73957630</v>
      </c>
      <c r="D49" s="591">
        <v>74281238</v>
      </c>
      <c r="E49" s="590">
        <f t="shared" si="4"/>
        <v>323608</v>
      </c>
    </row>
    <row r="50" spans="1:5" s="421" customFormat="1" x14ac:dyDescent="0.2">
      <c r="A50" s="588">
        <v>4</v>
      </c>
      <c r="B50" s="587" t="s">
        <v>115</v>
      </c>
      <c r="C50" s="589">
        <v>73957630</v>
      </c>
      <c r="D50" s="591">
        <v>74281238</v>
      </c>
      <c r="E50" s="590">
        <f t="shared" si="4"/>
        <v>323608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4501295</v>
      </c>
      <c r="D52" s="591">
        <v>1824412</v>
      </c>
      <c r="E52" s="590">
        <f t="shared" si="4"/>
        <v>-2676883</v>
      </c>
    </row>
    <row r="53" spans="1:5" s="421" customFormat="1" x14ac:dyDescent="0.2">
      <c r="A53" s="588">
        <v>7</v>
      </c>
      <c r="B53" s="587" t="s">
        <v>761</v>
      </c>
      <c r="C53" s="589">
        <v>6290289</v>
      </c>
      <c r="D53" s="591">
        <v>7673864</v>
      </c>
      <c r="E53" s="590">
        <f t="shared" si="4"/>
        <v>1383575</v>
      </c>
    </row>
    <row r="54" spans="1:5" s="421" customFormat="1" x14ac:dyDescent="0.2">
      <c r="A54" s="588"/>
      <c r="B54" s="592" t="s">
        <v>793</v>
      </c>
      <c r="C54" s="593">
        <f>SUM(C48+C49+C52)</f>
        <v>374668146</v>
      </c>
      <c r="D54" s="593">
        <f>SUM(D48+D49+D52)</f>
        <v>363084083</v>
      </c>
      <c r="E54" s="593">
        <f t="shared" si="4"/>
        <v>-11584063</v>
      </c>
    </row>
    <row r="55" spans="1:5" s="421" customFormat="1" x14ac:dyDescent="0.2">
      <c r="A55" s="588"/>
      <c r="B55" s="592" t="s">
        <v>466</v>
      </c>
      <c r="C55" s="593">
        <f>SUM(C47+C54)</f>
        <v>684829009</v>
      </c>
      <c r="D55" s="593">
        <f>SUM(D47+D54)</f>
        <v>701410817</v>
      </c>
      <c r="E55" s="593">
        <f t="shared" si="4"/>
        <v>16581808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214583288</v>
      </c>
      <c r="D58" s="589">
        <v>231744192</v>
      </c>
      <c r="E58" s="590">
        <f t="shared" ref="E58:E66" si="5">D58-C58</f>
        <v>17160904</v>
      </c>
    </row>
    <row r="59" spans="1:5" s="421" customFormat="1" x14ac:dyDescent="0.2">
      <c r="A59" s="588">
        <v>2</v>
      </c>
      <c r="B59" s="587" t="s">
        <v>638</v>
      </c>
      <c r="C59" s="589">
        <v>99976396</v>
      </c>
      <c r="D59" s="591">
        <v>109235514</v>
      </c>
      <c r="E59" s="590">
        <f t="shared" si="5"/>
        <v>9259118</v>
      </c>
    </row>
    <row r="60" spans="1:5" s="421" customFormat="1" x14ac:dyDescent="0.2">
      <c r="A60" s="588">
        <v>3</v>
      </c>
      <c r="B60" s="587" t="s">
        <v>780</v>
      </c>
      <c r="C60" s="589">
        <f>C61+C62</f>
        <v>35147982</v>
      </c>
      <c r="D60" s="591">
        <f>D61+D62</f>
        <v>60175639</v>
      </c>
      <c r="E60" s="590">
        <f t="shared" si="5"/>
        <v>25027657</v>
      </c>
    </row>
    <row r="61" spans="1:5" s="421" customFormat="1" x14ac:dyDescent="0.2">
      <c r="A61" s="588">
        <v>4</v>
      </c>
      <c r="B61" s="587" t="s">
        <v>115</v>
      </c>
      <c r="C61" s="589">
        <v>35147982</v>
      </c>
      <c r="D61" s="591">
        <v>60175639</v>
      </c>
      <c r="E61" s="590">
        <f t="shared" si="5"/>
        <v>25027657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3177110</v>
      </c>
      <c r="D63" s="591">
        <v>0</v>
      </c>
      <c r="E63" s="590">
        <f t="shared" si="5"/>
        <v>-3177110</v>
      </c>
    </row>
    <row r="64" spans="1:5" s="421" customFormat="1" x14ac:dyDescent="0.2">
      <c r="A64" s="588">
        <v>7</v>
      </c>
      <c r="B64" s="587" t="s">
        <v>761</v>
      </c>
      <c r="C64" s="589">
        <v>9361750</v>
      </c>
      <c r="D64" s="591">
        <v>12548459</v>
      </c>
      <c r="E64" s="590">
        <f t="shared" si="5"/>
        <v>3186709</v>
      </c>
    </row>
    <row r="65" spans="1:5" s="421" customFormat="1" x14ac:dyDescent="0.2">
      <c r="A65" s="588"/>
      <c r="B65" s="592" t="s">
        <v>795</v>
      </c>
      <c r="C65" s="593">
        <f>SUM(C59+C60+C63)</f>
        <v>138301488</v>
      </c>
      <c r="D65" s="593">
        <f>SUM(D59+D60+D63)</f>
        <v>169411153</v>
      </c>
      <c r="E65" s="593">
        <f t="shared" si="5"/>
        <v>31109665</v>
      </c>
    </row>
    <row r="66" spans="1:5" s="421" customFormat="1" x14ac:dyDescent="0.2">
      <c r="A66" s="588"/>
      <c r="B66" s="592" t="s">
        <v>468</v>
      </c>
      <c r="C66" s="593">
        <f>SUM(C58+C65)</f>
        <v>352884776</v>
      </c>
      <c r="D66" s="593">
        <f>SUM(D58+D65)</f>
        <v>401155345</v>
      </c>
      <c r="E66" s="593">
        <f t="shared" si="5"/>
        <v>48270569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524744151</v>
      </c>
      <c r="D69" s="590">
        <f t="shared" si="6"/>
        <v>570070926</v>
      </c>
      <c r="E69" s="590">
        <f t="shared" ref="E69:E77" si="7">D69-C69</f>
        <v>45326775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396185617</v>
      </c>
      <c r="D70" s="590">
        <f t="shared" si="6"/>
        <v>396213947</v>
      </c>
      <c r="E70" s="590">
        <f t="shared" si="7"/>
        <v>28330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109105612</v>
      </c>
      <c r="D71" s="590">
        <f t="shared" si="6"/>
        <v>134456877</v>
      </c>
      <c r="E71" s="590">
        <f t="shared" si="7"/>
        <v>25351265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109105612</v>
      </c>
      <c r="D72" s="590">
        <f t="shared" si="6"/>
        <v>134456877</v>
      </c>
      <c r="E72" s="590">
        <f t="shared" si="7"/>
        <v>25351265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7678405</v>
      </c>
      <c r="D74" s="590">
        <f t="shared" si="6"/>
        <v>1824412</v>
      </c>
      <c r="E74" s="590">
        <f t="shared" si="7"/>
        <v>-5853993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15652039</v>
      </c>
      <c r="D75" s="590">
        <f t="shared" si="6"/>
        <v>20222323</v>
      </c>
      <c r="E75" s="590">
        <f t="shared" si="7"/>
        <v>4570284</v>
      </c>
    </row>
    <row r="76" spans="1:5" s="421" customFormat="1" x14ac:dyDescent="0.2">
      <c r="A76" s="588"/>
      <c r="B76" s="592" t="s">
        <v>796</v>
      </c>
      <c r="C76" s="593">
        <f>SUM(C70+C71+C74)</f>
        <v>512969634</v>
      </c>
      <c r="D76" s="593">
        <f>SUM(D70+D71+D74)</f>
        <v>532495236</v>
      </c>
      <c r="E76" s="593">
        <f t="shared" si="7"/>
        <v>19525602</v>
      </c>
    </row>
    <row r="77" spans="1:5" s="421" customFormat="1" x14ac:dyDescent="0.2">
      <c r="A77" s="588"/>
      <c r="B77" s="592" t="s">
        <v>729</v>
      </c>
      <c r="C77" s="593">
        <f>SUM(C69+C76)</f>
        <v>1037713785</v>
      </c>
      <c r="D77" s="593">
        <f>SUM(D69+D76)</f>
        <v>1102566162</v>
      </c>
      <c r="E77" s="593">
        <f t="shared" si="7"/>
        <v>64852377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0.17443277473905633</v>
      </c>
      <c r="D83" s="599">
        <f t="shared" si="8"/>
        <v>0.17615318403261251</v>
      </c>
      <c r="E83" s="599">
        <f t="shared" ref="E83:E91" si="9">D83-C83</f>
        <v>1.7204092935561854E-3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0.31803900189596207</v>
      </c>
      <c r="D84" s="599">
        <f t="shared" si="8"/>
        <v>0.31166770488300533</v>
      </c>
      <c r="E84" s="599">
        <f t="shared" si="9"/>
        <v>-6.3712970129567448E-3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0.11892414700203884</v>
      </c>
      <c r="D85" s="599">
        <f t="shared" si="8"/>
        <v>0.12451468656519037</v>
      </c>
      <c r="E85" s="599">
        <f t="shared" si="9"/>
        <v>5.5905395631515309E-3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0.11892414700203884</v>
      </c>
      <c r="D86" s="599">
        <f t="shared" si="8"/>
        <v>0.12451468656519037</v>
      </c>
      <c r="E86" s="599">
        <f t="shared" si="9"/>
        <v>5.5905395631515309E-3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4.1416385527910087E-3</v>
      </c>
      <c r="D88" s="599">
        <f t="shared" si="8"/>
        <v>4.7821093042013461E-3</v>
      </c>
      <c r="E88" s="599">
        <f t="shared" si="9"/>
        <v>6.4047075141033735E-4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5.1051494043309687E-3</v>
      </c>
      <c r="D89" s="599">
        <f t="shared" si="8"/>
        <v>6.0286603878476142E-3</v>
      </c>
      <c r="E89" s="599">
        <f t="shared" si="9"/>
        <v>9.2351098351664551E-4</v>
      </c>
    </row>
    <row r="90" spans="1:5" s="421" customFormat="1" x14ac:dyDescent="0.2">
      <c r="A90" s="588"/>
      <c r="B90" s="592" t="s">
        <v>799</v>
      </c>
      <c r="C90" s="600">
        <f>SUM(C84+C85+C88)</f>
        <v>0.4411047874507919</v>
      </c>
      <c r="D90" s="600">
        <f>SUM(D84+D85+D88)</f>
        <v>0.44096450075239707</v>
      </c>
      <c r="E90" s="601">
        <f t="shared" si="9"/>
        <v>-1.4028669839483143E-4</v>
      </c>
    </row>
    <row r="91" spans="1:5" s="421" customFormat="1" x14ac:dyDescent="0.2">
      <c r="A91" s="588"/>
      <c r="B91" s="592" t="s">
        <v>800</v>
      </c>
      <c r="C91" s="600">
        <f>SUM(C83+C90)</f>
        <v>0.61553756218984823</v>
      </c>
      <c r="D91" s="600">
        <f>SUM(D83+D90)</f>
        <v>0.61711768478500961</v>
      </c>
      <c r="E91" s="601">
        <f t="shared" si="9"/>
        <v>1.5801225951613818E-3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0.15304139279280668</v>
      </c>
      <c r="D95" s="599">
        <f t="shared" si="10"/>
        <v>0.15146102953923635</v>
      </c>
      <c r="E95" s="599">
        <f t="shared" ref="E95:E103" si="11">D95-C95</f>
        <v>-1.5803632535703327E-3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0.14282917226603473</v>
      </c>
      <c r="D96" s="599">
        <f t="shared" si="10"/>
        <v>0.14052954911549034</v>
      </c>
      <c r="E96" s="599">
        <f t="shared" si="11"/>
        <v>-2.2996231505443832E-3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8.6577944409241658E-2</v>
      </c>
      <c r="D97" s="599">
        <f t="shared" si="10"/>
        <v>8.8836218366291908E-2</v>
      </c>
      <c r="E97" s="599">
        <f t="shared" si="11"/>
        <v>2.2582739570502497E-3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8.6577944409241658E-2</v>
      </c>
      <c r="D98" s="599">
        <f t="shared" si="10"/>
        <v>8.8836218366291908E-2</v>
      </c>
      <c r="E98" s="599">
        <f t="shared" si="11"/>
        <v>2.2582739570502497E-3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2.0139283420686788E-3</v>
      </c>
      <c r="D100" s="599">
        <f t="shared" si="10"/>
        <v>2.05551819397185E-3</v>
      </c>
      <c r="E100" s="599">
        <f t="shared" si="11"/>
        <v>4.1589851903171132E-5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1.0923002880784396E-2</v>
      </c>
      <c r="D101" s="599">
        <f t="shared" si="10"/>
        <v>1.124482165142072E-2</v>
      </c>
      <c r="E101" s="599">
        <f t="shared" si="11"/>
        <v>3.2181877063632361E-4</v>
      </c>
    </row>
    <row r="102" spans="1:5" s="421" customFormat="1" x14ac:dyDescent="0.2">
      <c r="A102" s="588"/>
      <c r="B102" s="592" t="s">
        <v>802</v>
      </c>
      <c r="C102" s="600">
        <f>SUM(C96+C97+C100)</f>
        <v>0.23142104501734506</v>
      </c>
      <c r="D102" s="600">
        <f>SUM(D96+D97+D100)</f>
        <v>0.2314212856757541</v>
      </c>
      <c r="E102" s="601">
        <f t="shared" si="11"/>
        <v>2.406584090342001E-7</v>
      </c>
    </row>
    <row r="103" spans="1:5" s="421" customFormat="1" x14ac:dyDescent="0.2">
      <c r="A103" s="588"/>
      <c r="B103" s="592" t="s">
        <v>803</v>
      </c>
      <c r="C103" s="600">
        <f>SUM(C95+C102)</f>
        <v>0.38446243781015177</v>
      </c>
      <c r="D103" s="600">
        <f>SUM(D95+D102)</f>
        <v>0.38288231521499044</v>
      </c>
      <c r="E103" s="601">
        <f t="shared" si="11"/>
        <v>-1.5801225951613262E-3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0.29888864105240731</v>
      </c>
      <c r="D109" s="599">
        <f t="shared" si="12"/>
        <v>0.30685390651413808</v>
      </c>
      <c r="E109" s="599">
        <f t="shared" ref="E109:E117" si="13">D109-C109</f>
        <v>7.9652654617307639E-3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0.28544404563344988</v>
      </c>
      <c r="D110" s="599">
        <f t="shared" si="12"/>
        <v>0.26028227864297543</v>
      </c>
      <c r="E110" s="599">
        <f t="shared" si="13"/>
        <v>-2.5161766990474455E-2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7.1269776954924036E-2</v>
      </c>
      <c r="D111" s="599">
        <f t="shared" si="12"/>
        <v>6.7371229555292664E-2</v>
      </c>
      <c r="E111" s="599">
        <f t="shared" si="13"/>
        <v>-3.8985473996313719E-3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7.1269776954924036E-2</v>
      </c>
      <c r="D112" s="599">
        <f t="shared" si="12"/>
        <v>6.7371229555292664E-2</v>
      </c>
      <c r="E112" s="599">
        <f t="shared" si="13"/>
        <v>-3.8985473996313719E-3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4.3377037725291466E-3</v>
      </c>
      <c r="D114" s="599">
        <f t="shared" si="12"/>
        <v>1.654696165072405E-3</v>
      </c>
      <c r="E114" s="599">
        <f t="shared" si="13"/>
        <v>-2.6830076074567414E-3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6.0616800999709185E-3</v>
      </c>
      <c r="D115" s="599">
        <f t="shared" si="12"/>
        <v>6.9600031857317236E-3</v>
      </c>
      <c r="E115" s="599">
        <f t="shared" si="13"/>
        <v>8.9832308576080506E-4</v>
      </c>
    </row>
    <row r="116" spans="1:5" s="421" customFormat="1" x14ac:dyDescent="0.2">
      <c r="A116" s="588"/>
      <c r="B116" s="592" t="s">
        <v>799</v>
      </c>
      <c r="C116" s="600">
        <f>SUM(C110+C111+C114)</f>
        <v>0.36105152636090304</v>
      </c>
      <c r="D116" s="600">
        <f>SUM(D110+D111+D114)</f>
        <v>0.32930820436334052</v>
      </c>
      <c r="E116" s="601">
        <f t="shared" si="13"/>
        <v>-3.1743321997562524E-2</v>
      </c>
    </row>
    <row r="117" spans="1:5" s="421" customFormat="1" x14ac:dyDescent="0.2">
      <c r="A117" s="588"/>
      <c r="B117" s="592" t="s">
        <v>800</v>
      </c>
      <c r="C117" s="600">
        <f>SUM(C109+C116)</f>
        <v>0.6599401674133103</v>
      </c>
      <c r="D117" s="600">
        <f>SUM(D109+D116)</f>
        <v>0.63616211087747865</v>
      </c>
      <c r="E117" s="601">
        <f t="shared" si="13"/>
        <v>-2.3778056535831649E-2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0.20678465594441342</v>
      </c>
      <c r="D121" s="599">
        <f t="shared" si="14"/>
        <v>0.21018620014569248</v>
      </c>
      <c r="E121" s="599">
        <f t="shared" ref="E121:E129" si="15">D121-C121</f>
        <v>3.4015442012790553E-3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9.6342939108205058E-2</v>
      </c>
      <c r="D122" s="599">
        <f t="shared" si="14"/>
        <v>9.907388578101492E-2</v>
      </c>
      <c r="E122" s="599">
        <f t="shared" si="15"/>
        <v>2.7309466728098614E-3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3.3870593710962411E-2</v>
      </c>
      <c r="D123" s="599">
        <f t="shared" si="14"/>
        <v>5.4577803195814019E-2</v>
      </c>
      <c r="E123" s="599">
        <f t="shared" si="15"/>
        <v>2.0707209484851608E-2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3.3870593710962411E-2</v>
      </c>
      <c r="D124" s="599">
        <f t="shared" si="14"/>
        <v>5.4577803195814019E-2</v>
      </c>
      <c r="E124" s="599">
        <f t="shared" si="15"/>
        <v>2.0707209484851608E-2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3.0616438231087003E-3</v>
      </c>
      <c r="D126" s="599">
        <f t="shared" si="14"/>
        <v>0</v>
      </c>
      <c r="E126" s="599">
        <f t="shared" si="15"/>
        <v>-3.0616438231087003E-3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9.0215145402544692E-3</v>
      </c>
      <c r="D127" s="599">
        <f t="shared" si="14"/>
        <v>1.1381139229992078E-2</v>
      </c>
      <c r="E127" s="599">
        <f t="shared" si="15"/>
        <v>2.3596246897376084E-3</v>
      </c>
    </row>
    <row r="128" spans="1:5" s="421" customFormat="1" x14ac:dyDescent="0.2">
      <c r="A128" s="588"/>
      <c r="B128" s="592" t="s">
        <v>802</v>
      </c>
      <c r="C128" s="600">
        <f>SUM(C122+C123+C126)</f>
        <v>0.13327517664227617</v>
      </c>
      <c r="D128" s="600">
        <f>SUM(D122+D123+D126)</f>
        <v>0.15365168897682893</v>
      </c>
      <c r="E128" s="601">
        <f t="shared" si="15"/>
        <v>2.037651233455276E-2</v>
      </c>
    </row>
    <row r="129" spans="1:5" s="421" customFormat="1" x14ac:dyDescent="0.2">
      <c r="A129" s="588"/>
      <c r="B129" s="592" t="s">
        <v>803</v>
      </c>
      <c r="C129" s="600">
        <f>SUM(C121+C128)</f>
        <v>0.34005983258668959</v>
      </c>
      <c r="D129" s="600">
        <f>SUM(D121+D128)</f>
        <v>0.36383788912252141</v>
      </c>
      <c r="E129" s="601">
        <f t="shared" si="15"/>
        <v>2.3778056535831815E-2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0.99999999999999989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14392</v>
      </c>
      <c r="D137" s="606">
        <v>14621</v>
      </c>
      <c r="E137" s="607">
        <f t="shared" ref="E137:E145" si="16">D137-C137</f>
        <v>229</v>
      </c>
    </row>
    <row r="138" spans="1:5" s="421" customFormat="1" x14ac:dyDescent="0.2">
      <c r="A138" s="588">
        <v>2</v>
      </c>
      <c r="B138" s="587" t="s">
        <v>638</v>
      </c>
      <c r="C138" s="606">
        <v>17992</v>
      </c>
      <c r="D138" s="606">
        <v>17826</v>
      </c>
      <c r="E138" s="607">
        <f t="shared" si="16"/>
        <v>-166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10634</v>
      </c>
      <c r="D139" s="606">
        <f>D140+D141</f>
        <v>10567</v>
      </c>
      <c r="E139" s="607">
        <f t="shared" si="16"/>
        <v>-67</v>
      </c>
    </row>
    <row r="140" spans="1:5" s="421" customFormat="1" x14ac:dyDescent="0.2">
      <c r="A140" s="588">
        <v>4</v>
      </c>
      <c r="B140" s="587" t="s">
        <v>115</v>
      </c>
      <c r="C140" s="606">
        <v>10634</v>
      </c>
      <c r="D140" s="606">
        <v>10567</v>
      </c>
      <c r="E140" s="607">
        <f t="shared" si="16"/>
        <v>-67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332</v>
      </c>
      <c r="D142" s="606">
        <v>322</v>
      </c>
      <c r="E142" s="607">
        <f t="shared" si="16"/>
        <v>-10</v>
      </c>
    </row>
    <row r="143" spans="1:5" s="421" customFormat="1" x14ac:dyDescent="0.2">
      <c r="A143" s="588">
        <v>7</v>
      </c>
      <c r="B143" s="587" t="s">
        <v>761</v>
      </c>
      <c r="C143" s="606">
        <v>406</v>
      </c>
      <c r="D143" s="606">
        <v>547</v>
      </c>
      <c r="E143" s="607">
        <f t="shared" si="16"/>
        <v>141</v>
      </c>
    </row>
    <row r="144" spans="1:5" s="421" customFormat="1" x14ac:dyDescent="0.2">
      <c r="A144" s="588"/>
      <c r="B144" s="592" t="s">
        <v>810</v>
      </c>
      <c r="C144" s="608">
        <f>SUM(C138+C139+C142)</f>
        <v>28958</v>
      </c>
      <c r="D144" s="608">
        <f>SUM(D138+D139+D142)</f>
        <v>28715</v>
      </c>
      <c r="E144" s="609">
        <f t="shared" si="16"/>
        <v>-243</v>
      </c>
    </row>
    <row r="145" spans="1:5" s="421" customFormat="1" x14ac:dyDescent="0.2">
      <c r="A145" s="588"/>
      <c r="B145" s="592" t="s">
        <v>138</v>
      </c>
      <c r="C145" s="608">
        <f>SUM(C137+C144)</f>
        <v>43350</v>
      </c>
      <c r="D145" s="608">
        <f>SUM(D137+D144)</f>
        <v>43336</v>
      </c>
      <c r="E145" s="609">
        <f t="shared" si="16"/>
        <v>-14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62565</v>
      </c>
      <c r="D149" s="610">
        <v>64790</v>
      </c>
      <c r="E149" s="607">
        <f t="shared" ref="E149:E157" si="17">D149-C149</f>
        <v>2225</v>
      </c>
    </row>
    <row r="150" spans="1:5" s="421" customFormat="1" x14ac:dyDescent="0.2">
      <c r="A150" s="588">
        <v>2</v>
      </c>
      <c r="B150" s="587" t="s">
        <v>638</v>
      </c>
      <c r="C150" s="610">
        <v>111041</v>
      </c>
      <c r="D150" s="610">
        <v>109682</v>
      </c>
      <c r="E150" s="607">
        <f t="shared" si="17"/>
        <v>-1359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55246</v>
      </c>
      <c r="D151" s="610">
        <f>D152+D153</f>
        <v>56849</v>
      </c>
      <c r="E151" s="607">
        <f t="shared" si="17"/>
        <v>1603</v>
      </c>
    </row>
    <row r="152" spans="1:5" s="421" customFormat="1" x14ac:dyDescent="0.2">
      <c r="A152" s="588">
        <v>4</v>
      </c>
      <c r="B152" s="587" t="s">
        <v>115</v>
      </c>
      <c r="C152" s="610">
        <v>55246</v>
      </c>
      <c r="D152" s="610">
        <v>56849</v>
      </c>
      <c r="E152" s="607">
        <f t="shared" si="17"/>
        <v>1603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1983</v>
      </c>
      <c r="D154" s="610">
        <v>2033</v>
      </c>
      <c r="E154" s="607">
        <f t="shared" si="17"/>
        <v>50</v>
      </c>
    </row>
    <row r="155" spans="1:5" s="421" customFormat="1" x14ac:dyDescent="0.2">
      <c r="A155" s="588">
        <v>7</v>
      </c>
      <c r="B155" s="587" t="s">
        <v>761</v>
      </c>
      <c r="C155" s="610">
        <v>1642</v>
      </c>
      <c r="D155" s="610">
        <v>2642</v>
      </c>
      <c r="E155" s="607">
        <f t="shared" si="17"/>
        <v>1000</v>
      </c>
    </row>
    <row r="156" spans="1:5" s="421" customFormat="1" x14ac:dyDescent="0.2">
      <c r="A156" s="588"/>
      <c r="B156" s="592" t="s">
        <v>811</v>
      </c>
      <c r="C156" s="608">
        <f>SUM(C150+C151+C154)</f>
        <v>168270</v>
      </c>
      <c r="D156" s="608">
        <f>SUM(D150+D151+D154)</f>
        <v>168564</v>
      </c>
      <c r="E156" s="609">
        <f t="shared" si="17"/>
        <v>294</v>
      </c>
    </row>
    <row r="157" spans="1:5" s="421" customFormat="1" x14ac:dyDescent="0.2">
      <c r="A157" s="588"/>
      <c r="B157" s="592" t="s">
        <v>140</v>
      </c>
      <c r="C157" s="608">
        <f>SUM(C149+C156)</f>
        <v>230835</v>
      </c>
      <c r="D157" s="608">
        <f>SUM(D149+D156)</f>
        <v>233354</v>
      </c>
      <c r="E157" s="609">
        <f t="shared" si="17"/>
        <v>2519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4.347206781545303</v>
      </c>
      <c r="D161" s="612">
        <f t="shared" si="18"/>
        <v>4.431297448874906</v>
      </c>
      <c r="E161" s="613">
        <f t="shared" ref="E161:E169" si="19">D161-C161</f>
        <v>8.4090667329602908E-2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6.171687416629613</v>
      </c>
      <c r="D162" s="612">
        <f t="shared" si="18"/>
        <v>6.1529226971838886</v>
      </c>
      <c r="E162" s="613">
        <f t="shared" si="19"/>
        <v>-1.8764719445724332E-2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5.1952228700394958</v>
      </c>
      <c r="D163" s="612">
        <f t="shared" si="18"/>
        <v>5.3798618340115452</v>
      </c>
      <c r="E163" s="613">
        <f t="shared" si="19"/>
        <v>0.18463896397204937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5.1952228700394958</v>
      </c>
      <c r="D164" s="612">
        <f t="shared" si="18"/>
        <v>5.3798618340115452</v>
      </c>
      <c r="E164" s="613">
        <f t="shared" si="19"/>
        <v>0.18463896397204937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5.9728915662650603</v>
      </c>
      <c r="D166" s="612">
        <f t="shared" si="18"/>
        <v>6.3136645962732922</v>
      </c>
      <c r="E166" s="613">
        <f t="shared" si="19"/>
        <v>0.34077303000823189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4.0443349753694582</v>
      </c>
      <c r="D167" s="612">
        <f t="shared" si="18"/>
        <v>4.8299817184643512</v>
      </c>
      <c r="E167" s="613">
        <f t="shared" si="19"/>
        <v>0.78564674309489302</v>
      </c>
    </row>
    <row r="168" spans="1:5" s="421" customFormat="1" x14ac:dyDescent="0.2">
      <c r="A168" s="588"/>
      <c r="B168" s="592" t="s">
        <v>813</v>
      </c>
      <c r="C168" s="614">
        <f t="shared" si="18"/>
        <v>5.8108294771738382</v>
      </c>
      <c r="D168" s="614">
        <f t="shared" si="18"/>
        <v>5.8702420337802543</v>
      </c>
      <c r="E168" s="615">
        <f t="shared" si="19"/>
        <v>5.9412556606416089E-2</v>
      </c>
    </row>
    <row r="169" spans="1:5" s="421" customFormat="1" x14ac:dyDescent="0.2">
      <c r="A169" s="588"/>
      <c r="B169" s="592" t="s">
        <v>747</v>
      </c>
      <c r="C169" s="614">
        <f t="shared" si="18"/>
        <v>5.3249134948096888</v>
      </c>
      <c r="D169" s="614">
        <f t="shared" si="18"/>
        <v>5.3847609377884442</v>
      </c>
      <c r="E169" s="615">
        <f t="shared" si="19"/>
        <v>5.9847442978755439E-2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1.50315</v>
      </c>
      <c r="D173" s="617">
        <f t="shared" si="20"/>
        <v>1.53467</v>
      </c>
      <c r="E173" s="618">
        <f t="shared" ref="E173:E181" si="21">D173-C173</f>
        <v>3.1519999999999992E-2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1.8848199999999999</v>
      </c>
      <c r="D174" s="617">
        <f t="shared" si="20"/>
        <v>1.9600699999999998</v>
      </c>
      <c r="E174" s="618">
        <f t="shared" si="21"/>
        <v>7.5249999999999817E-2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1.26519</v>
      </c>
      <c r="D175" s="617">
        <f t="shared" si="20"/>
        <v>1.38947</v>
      </c>
      <c r="E175" s="618">
        <f t="shared" si="21"/>
        <v>0.12427999999999995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1.26519</v>
      </c>
      <c r="D176" s="617">
        <f t="shared" si="20"/>
        <v>1.38947</v>
      </c>
      <c r="E176" s="618">
        <f t="shared" si="21"/>
        <v>0.12427999999999995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1.3554200000000001</v>
      </c>
      <c r="D178" s="617">
        <f t="shared" si="20"/>
        <v>1.47359</v>
      </c>
      <c r="E178" s="618">
        <f t="shared" si="21"/>
        <v>0.11816999999999989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1.1089</v>
      </c>
      <c r="D179" s="617">
        <f t="shared" si="20"/>
        <v>1.2351300000000001</v>
      </c>
      <c r="E179" s="618">
        <f t="shared" si="21"/>
        <v>0.12623000000000006</v>
      </c>
    </row>
    <row r="180" spans="1:5" s="421" customFormat="1" x14ac:dyDescent="0.2">
      <c r="A180" s="588"/>
      <c r="B180" s="592" t="s">
        <v>815</v>
      </c>
      <c r="C180" s="619">
        <f t="shared" si="20"/>
        <v>1.6512090386076388</v>
      </c>
      <c r="D180" s="619">
        <f t="shared" si="20"/>
        <v>1.7446363674037959</v>
      </c>
      <c r="E180" s="620">
        <f t="shared" si="21"/>
        <v>9.3427328796157116E-2</v>
      </c>
    </row>
    <row r="181" spans="1:5" s="421" customFormat="1" x14ac:dyDescent="0.2">
      <c r="A181" s="588"/>
      <c r="B181" s="592" t="s">
        <v>726</v>
      </c>
      <c r="C181" s="619">
        <f t="shared" si="20"/>
        <v>1.6020541208765862</v>
      </c>
      <c r="D181" s="619">
        <f t="shared" si="20"/>
        <v>1.6737964592948122</v>
      </c>
      <c r="E181" s="620">
        <f t="shared" si="21"/>
        <v>7.1742338418226081E-2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794912520</v>
      </c>
      <c r="D185" s="589">
        <v>843088674</v>
      </c>
      <c r="E185" s="590">
        <f>D185-C185</f>
        <v>48176154</v>
      </c>
    </row>
    <row r="186" spans="1:5" s="421" customFormat="1" ht="25.5" x14ac:dyDescent="0.2">
      <c r="A186" s="588">
        <v>2</v>
      </c>
      <c r="B186" s="587" t="s">
        <v>818</v>
      </c>
      <c r="C186" s="589">
        <v>486649207</v>
      </c>
      <c r="D186" s="589">
        <v>543858096</v>
      </c>
      <c r="E186" s="590">
        <f>D186-C186</f>
        <v>57208889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308263313</v>
      </c>
      <c r="D188" s="622">
        <f>+D185-D186</f>
        <v>299230578</v>
      </c>
      <c r="E188" s="590">
        <f t="shared" ref="E188:E197" si="22">D188-C188</f>
        <v>-9032735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0.38779526708171613</v>
      </c>
      <c r="D189" s="623">
        <f>IF(D185=0,0,+D188/D185)</f>
        <v>0.35492183352471413</v>
      </c>
      <c r="E189" s="599">
        <f t="shared" si="22"/>
        <v>-3.2873433557002008E-2</v>
      </c>
    </row>
    <row r="190" spans="1:5" s="421" customFormat="1" x14ac:dyDescent="0.2">
      <c r="A190" s="588">
        <v>5</v>
      </c>
      <c r="B190" s="587" t="s">
        <v>765</v>
      </c>
      <c r="C190" s="589">
        <v>13950310</v>
      </c>
      <c r="D190" s="589">
        <v>9189127</v>
      </c>
      <c r="E190" s="622">
        <f t="shared" si="22"/>
        <v>-4761183</v>
      </c>
    </row>
    <row r="191" spans="1:5" s="421" customFormat="1" x14ac:dyDescent="0.2">
      <c r="A191" s="588">
        <v>6</v>
      </c>
      <c r="B191" s="587" t="s">
        <v>751</v>
      </c>
      <c r="C191" s="589">
        <v>8623036</v>
      </c>
      <c r="D191" s="589">
        <v>5057350</v>
      </c>
      <c r="E191" s="622">
        <f t="shared" si="22"/>
        <v>-3565686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24219691</v>
      </c>
      <c r="D193" s="589">
        <v>20579150</v>
      </c>
      <c r="E193" s="622">
        <f t="shared" si="22"/>
        <v>-3640541</v>
      </c>
    </row>
    <row r="194" spans="1:5" s="421" customFormat="1" x14ac:dyDescent="0.2">
      <c r="A194" s="588">
        <v>9</v>
      </c>
      <c r="B194" s="587" t="s">
        <v>821</v>
      </c>
      <c r="C194" s="589">
        <v>14132654</v>
      </c>
      <c r="D194" s="589">
        <v>4020775</v>
      </c>
      <c r="E194" s="622">
        <f t="shared" si="22"/>
        <v>-10111879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38352345</v>
      </c>
      <c r="D195" s="589">
        <f>+D193+D194</f>
        <v>24599925</v>
      </c>
      <c r="E195" s="625">
        <f t="shared" si="22"/>
        <v>-13752420</v>
      </c>
    </row>
    <row r="196" spans="1:5" s="421" customFormat="1" x14ac:dyDescent="0.2">
      <c r="A196" s="588">
        <v>11</v>
      </c>
      <c r="B196" s="587" t="s">
        <v>823</v>
      </c>
      <c r="C196" s="589">
        <v>114392501</v>
      </c>
      <c r="D196" s="589">
        <v>105622852</v>
      </c>
      <c r="E196" s="622">
        <f t="shared" si="22"/>
        <v>-8769649</v>
      </c>
    </row>
    <row r="197" spans="1:5" s="421" customFormat="1" x14ac:dyDescent="0.2">
      <c r="A197" s="588">
        <v>12</v>
      </c>
      <c r="B197" s="587" t="s">
        <v>713</v>
      </c>
      <c r="C197" s="589">
        <v>1033299408</v>
      </c>
      <c r="D197" s="589">
        <v>1082920481</v>
      </c>
      <c r="E197" s="622">
        <f t="shared" si="22"/>
        <v>49621073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21633.334800000001</v>
      </c>
      <c r="D203" s="629">
        <v>22438.410069999998</v>
      </c>
      <c r="E203" s="630">
        <f t="shared" ref="E203:E211" si="23">D203-C203</f>
        <v>805.07526999999754</v>
      </c>
    </row>
    <row r="204" spans="1:5" s="421" customFormat="1" x14ac:dyDescent="0.2">
      <c r="A204" s="588">
        <v>2</v>
      </c>
      <c r="B204" s="587" t="s">
        <v>638</v>
      </c>
      <c r="C204" s="629">
        <v>33911.68144</v>
      </c>
      <c r="D204" s="629">
        <v>34940.207819999996</v>
      </c>
      <c r="E204" s="630">
        <f t="shared" si="23"/>
        <v>1028.5263799999957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13454.03046</v>
      </c>
      <c r="D205" s="629">
        <f>D206+D207</f>
        <v>14682.529489999999</v>
      </c>
      <c r="E205" s="630">
        <f t="shared" si="23"/>
        <v>1228.499029999999</v>
      </c>
    </row>
    <row r="206" spans="1:5" s="421" customFormat="1" x14ac:dyDescent="0.2">
      <c r="A206" s="588">
        <v>4</v>
      </c>
      <c r="B206" s="587" t="s">
        <v>115</v>
      </c>
      <c r="C206" s="629">
        <v>13454.03046</v>
      </c>
      <c r="D206" s="629">
        <v>14682.529489999999</v>
      </c>
      <c r="E206" s="630">
        <f t="shared" si="23"/>
        <v>1228.499029999999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449.99944000000005</v>
      </c>
      <c r="D208" s="629">
        <v>474.49597999999997</v>
      </c>
      <c r="E208" s="630">
        <f t="shared" si="23"/>
        <v>24.496539999999925</v>
      </c>
    </row>
    <row r="209" spans="1:5" s="421" customFormat="1" x14ac:dyDescent="0.2">
      <c r="A209" s="588">
        <v>7</v>
      </c>
      <c r="B209" s="587" t="s">
        <v>761</v>
      </c>
      <c r="C209" s="629">
        <v>450.21339999999998</v>
      </c>
      <c r="D209" s="629">
        <v>675.61611000000005</v>
      </c>
      <c r="E209" s="630">
        <f t="shared" si="23"/>
        <v>225.40271000000007</v>
      </c>
    </row>
    <row r="210" spans="1:5" s="421" customFormat="1" x14ac:dyDescent="0.2">
      <c r="A210" s="588"/>
      <c r="B210" s="592" t="s">
        <v>826</v>
      </c>
      <c r="C210" s="631">
        <f>C204+C205+C208</f>
        <v>47815.711340000002</v>
      </c>
      <c r="D210" s="631">
        <f>D204+D205+D208</f>
        <v>50097.233289999996</v>
      </c>
      <c r="E210" s="632">
        <f t="shared" si="23"/>
        <v>2281.5219499999948</v>
      </c>
    </row>
    <row r="211" spans="1:5" s="421" customFormat="1" x14ac:dyDescent="0.2">
      <c r="A211" s="588"/>
      <c r="B211" s="592" t="s">
        <v>727</v>
      </c>
      <c r="C211" s="631">
        <f>C210+C203</f>
        <v>69449.046140000006</v>
      </c>
      <c r="D211" s="631">
        <f>D210+D203</f>
        <v>72535.643359999987</v>
      </c>
      <c r="E211" s="632">
        <f t="shared" si="23"/>
        <v>3086.5972199999815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12627.052045517381</v>
      </c>
      <c r="D215" s="633">
        <f>IF(D14*D137=0,0,D25/D14*D137)</f>
        <v>12571.511125698335</v>
      </c>
      <c r="E215" s="633">
        <f t="shared" ref="E215:E223" si="24">D215-C215</f>
        <v>-55.540919819046394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8080.0859394318313</v>
      </c>
      <c r="D216" s="633">
        <f>IF(D15*D138=0,0,D26/D15*D138)</f>
        <v>8037.6622386111349</v>
      </c>
      <c r="E216" s="633">
        <f t="shared" si="24"/>
        <v>-42.423700820696467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7741.6562073982495</v>
      </c>
      <c r="D217" s="633">
        <f>D218+D219</f>
        <v>7539.1292816299883</v>
      </c>
      <c r="E217" s="633">
        <f t="shared" si="24"/>
        <v>-202.52692576826121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7741.6562073982495</v>
      </c>
      <c r="D218" s="633">
        <f t="shared" si="25"/>
        <v>7539.1292816299883</v>
      </c>
      <c r="E218" s="633">
        <f t="shared" si="24"/>
        <v>-202.52692576826121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161.43953680270388</v>
      </c>
      <c r="D220" s="633">
        <f t="shared" si="25"/>
        <v>138.40688624106531</v>
      </c>
      <c r="E220" s="633">
        <f t="shared" si="24"/>
        <v>-23.032650561638576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868.67960530914922</v>
      </c>
      <c r="D221" s="633">
        <f t="shared" si="25"/>
        <v>1020.2793071120677</v>
      </c>
      <c r="E221" s="633">
        <f t="shared" si="24"/>
        <v>151.5997018029185</v>
      </c>
    </row>
    <row r="222" spans="1:5" s="421" customFormat="1" x14ac:dyDescent="0.2">
      <c r="A222" s="588"/>
      <c r="B222" s="592" t="s">
        <v>828</v>
      </c>
      <c r="C222" s="634">
        <f>C216+C218+C219+C220</f>
        <v>15983.181683632785</v>
      </c>
      <c r="D222" s="634">
        <f>D216+D218+D219+D220</f>
        <v>15715.19840648219</v>
      </c>
      <c r="E222" s="634">
        <f t="shared" si="24"/>
        <v>-267.98327715059531</v>
      </c>
    </row>
    <row r="223" spans="1:5" s="421" customFormat="1" x14ac:dyDescent="0.2">
      <c r="A223" s="588"/>
      <c r="B223" s="592" t="s">
        <v>829</v>
      </c>
      <c r="C223" s="634">
        <f>C215+C222</f>
        <v>28610.233729150168</v>
      </c>
      <c r="D223" s="634">
        <f>D215+D222</f>
        <v>28286.709532180525</v>
      </c>
      <c r="E223" s="634">
        <f t="shared" si="24"/>
        <v>-323.52419696964353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14337.17297251832</v>
      </c>
      <c r="D227" s="636">
        <f t="shared" si="26"/>
        <v>15078.017245630988</v>
      </c>
      <c r="E227" s="636">
        <f t="shared" ref="E227:E235" si="27">D227-C227</f>
        <v>740.84427311266882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8734.7252752442691</v>
      </c>
      <c r="D228" s="636">
        <f t="shared" si="26"/>
        <v>8213.4151713811989</v>
      </c>
      <c r="E228" s="636">
        <f t="shared" si="27"/>
        <v>-521.31010386307025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5497.0612873133041</v>
      </c>
      <c r="D229" s="636">
        <f t="shared" si="26"/>
        <v>5059.1581001483146</v>
      </c>
      <c r="E229" s="636">
        <f t="shared" si="27"/>
        <v>-437.9031871649895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5497.0612873133041</v>
      </c>
      <c r="D230" s="636">
        <f t="shared" si="26"/>
        <v>5059.1581001483146</v>
      </c>
      <c r="E230" s="636">
        <f t="shared" si="27"/>
        <v>-437.9031871649895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10002.890225818946</v>
      </c>
      <c r="D232" s="636">
        <f t="shared" si="26"/>
        <v>3844.9472216814147</v>
      </c>
      <c r="E232" s="636">
        <f t="shared" si="27"/>
        <v>-6157.9430041375317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13971.794264675375</v>
      </c>
      <c r="D233" s="636">
        <f t="shared" si="26"/>
        <v>11358.320037691226</v>
      </c>
      <c r="E233" s="636">
        <f t="shared" si="27"/>
        <v>-2613.4742269841481</v>
      </c>
    </row>
    <row r="234" spans="1:5" x14ac:dyDescent="0.2">
      <c r="A234" s="588"/>
      <c r="B234" s="592" t="s">
        <v>831</v>
      </c>
      <c r="C234" s="637">
        <f t="shared" si="26"/>
        <v>7835.6702326537006</v>
      </c>
      <c r="D234" s="637">
        <f t="shared" si="26"/>
        <v>7247.5875244087765</v>
      </c>
      <c r="E234" s="637">
        <f t="shared" si="27"/>
        <v>-588.08270824492411</v>
      </c>
    </row>
    <row r="235" spans="1:5" s="421" customFormat="1" x14ac:dyDescent="0.2">
      <c r="A235" s="588"/>
      <c r="B235" s="592" t="s">
        <v>832</v>
      </c>
      <c r="C235" s="637">
        <f t="shared" si="26"/>
        <v>9860.8843038603609</v>
      </c>
      <c r="D235" s="637">
        <f t="shared" si="26"/>
        <v>9669.877931858191</v>
      </c>
      <c r="E235" s="637">
        <f t="shared" si="27"/>
        <v>-191.00637200216988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16993.933914779209</v>
      </c>
      <c r="D239" s="636">
        <f t="shared" si="28"/>
        <v>18434.076037706793</v>
      </c>
      <c r="E239" s="638">
        <f t="shared" ref="E239:E247" si="29">D239-C239</f>
        <v>1440.1421229275838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12373.184734595789</v>
      </c>
      <c r="D240" s="636">
        <f t="shared" si="28"/>
        <v>13590.458364281218</v>
      </c>
      <c r="E240" s="638">
        <f t="shared" si="29"/>
        <v>1217.2736296854291</v>
      </c>
    </row>
    <row r="241" spans="1:5" x14ac:dyDescent="0.2">
      <c r="A241" s="588">
        <v>3</v>
      </c>
      <c r="B241" s="587" t="s">
        <v>780</v>
      </c>
      <c r="C241" s="636">
        <f t="shared" si="28"/>
        <v>4540.1114513986195</v>
      </c>
      <c r="D241" s="636">
        <f t="shared" si="28"/>
        <v>7981.7757133606019</v>
      </c>
      <c r="E241" s="638">
        <f t="shared" si="29"/>
        <v>3441.6642619619824</v>
      </c>
    </row>
    <row r="242" spans="1:5" x14ac:dyDescent="0.2">
      <c r="A242" s="588">
        <v>4</v>
      </c>
      <c r="B242" s="587" t="s">
        <v>115</v>
      </c>
      <c r="C242" s="636">
        <f t="shared" si="28"/>
        <v>4540.1114513986195</v>
      </c>
      <c r="D242" s="636">
        <f t="shared" si="28"/>
        <v>7981.7757133606019</v>
      </c>
      <c r="E242" s="638">
        <f t="shared" si="29"/>
        <v>3441.6642619619824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19679.875592574099</v>
      </c>
      <c r="D244" s="636">
        <f t="shared" si="28"/>
        <v>0</v>
      </c>
      <c r="E244" s="638">
        <f t="shared" si="29"/>
        <v>-19679.875592574099</v>
      </c>
    </row>
    <row r="245" spans="1:5" x14ac:dyDescent="0.2">
      <c r="A245" s="588">
        <v>7</v>
      </c>
      <c r="B245" s="587" t="s">
        <v>761</v>
      </c>
      <c r="C245" s="636">
        <f t="shared" si="28"/>
        <v>10776.988365771869</v>
      </c>
      <c r="D245" s="636">
        <f t="shared" si="28"/>
        <v>12299.042931213418</v>
      </c>
      <c r="E245" s="638">
        <f t="shared" si="29"/>
        <v>1522.0545654415491</v>
      </c>
    </row>
    <row r="246" spans="1:5" ht="25.5" x14ac:dyDescent="0.2">
      <c r="A246" s="588"/>
      <c r="B246" s="592" t="s">
        <v>834</v>
      </c>
      <c r="C246" s="637">
        <f t="shared" si="28"/>
        <v>8652.9384910655499</v>
      </c>
      <c r="D246" s="637">
        <f t="shared" si="28"/>
        <v>10780.083624659899</v>
      </c>
      <c r="E246" s="639">
        <f t="shared" si="29"/>
        <v>2127.1451335943493</v>
      </c>
    </row>
    <row r="247" spans="1:5" x14ac:dyDescent="0.2">
      <c r="A247" s="588"/>
      <c r="B247" s="592" t="s">
        <v>835</v>
      </c>
      <c r="C247" s="637">
        <f t="shared" si="28"/>
        <v>12334.215069360149</v>
      </c>
      <c r="D247" s="637">
        <f t="shared" si="28"/>
        <v>14181.760679644392</v>
      </c>
      <c r="E247" s="639">
        <f t="shared" si="29"/>
        <v>1847.5456102842436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60640960.405868754</v>
      </c>
      <c r="D251" s="622">
        <f>((IF((IF(D15=0,0,D26/D15)*D138)=0,0,D59/(IF(D15=0,0,D26/D15)*D138)))-(IF((IF(D17=0,0,D28/D17)*D140)=0,0,D61/(IF(D17=0,0,D28/D17)*D140))))*(IF(D17=0,0,D28/D17)*D140)</f>
        <v>42284583.604925722</v>
      </c>
      <c r="E251" s="622">
        <f>D251-C251</f>
        <v>-18356376.800943032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-971215.40410048235</v>
      </c>
      <c r="D253" s="622">
        <f>IF(D233=0,0,(D228-D233)*D209+IF(D221=0,0,(D240-D245)*D221))</f>
        <v>-807143.94885220588</v>
      </c>
      <c r="E253" s="622">
        <f>D253-C253</f>
        <v>164071.45524827647</v>
      </c>
    </row>
    <row r="254" spans="1:5" ht="15" customHeight="1" x14ac:dyDescent="0.2">
      <c r="A254" s="588"/>
      <c r="B254" s="592" t="s">
        <v>762</v>
      </c>
      <c r="C254" s="640">
        <f>+C251+C252+C253</f>
        <v>59669745.001768269</v>
      </c>
      <c r="D254" s="640">
        <f>+D251+D252+D253</f>
        <v>41477439.656073518</v>
      </c>
      <c r="E254" s="640">
        <f>D254-C254</f>
        <v>-18192305.345694751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2636703049</v>
      </c>
      <c r="D258" s="625">
        <f>+D44</f>
        <v>2773771605</v>
      </c>
      <c r="E258" s="622">
        <f t="shared" ref="E258:E271" si="30">D258-C258</f>
        <v>137068556</v>
      </c>
    </row>
    <row r="259" spans="1:5" x14ac:dyDescent="0.2">
      <c r="A259" s="588">
        <v>2</v>
      </c>
      <c r="B259" s="587" t="s">
        <v>745</v>
      </c>
      <c r="C259" s="622">
        <f>+(C43-C76)</f>
        <v>1260281279</v>
      </c>
      <c r="D259" s="625">
        <f>+(D43-D76)</f>
        <v>1332549366</v>
      </c>
      <c r="E259" s="622">
        <f t="shared" si="30"/>
        <v>72268087</v>
      </c>
    </row>
    <row r="260" spans="1:5" x14ac:dyDescent="0.2">
      <c r="A260" s="588">
        <v>3</v>
      </c>
      <c r="B260" s="587" t="s">
        <v>749</v>
      </c>
      <c r="C260" s="622">
        <f>C195</f>
        <v>38352345</v>
      </c>
      <c r="D260" s="622">
        <f>D195</f>
        <v>24599925</v>
      </c>
      <c r="E260" s="622">
        <f t="shared" si="30"/>
        <v>-13752420</v>
      </c>
    </row>
    <row r="261" spans="1:5" x14ac:dyDescent="0.2">
      <c r="A261" s="588">
        <v>4</v>
      </c>
      <c r="B261" s="587" t="s">
        <v>750</v>
      </c>
      <c r="C261" s="622">
        <f>C188</f>
        <v>308263313</v>
      </c>
      <c r="D261" s="622">
        <f>D188</f>
        <v>299230578</v>
      </c>
      <c r="E261" s="622">
        <f t="shared" si="30"/>
        <v>-9032735</v>
      </c>
    </row>
    <row r="262" spans="1:5" x14ac:dyDescent="0.2">
      <c r="A262" s="588">
        <v>5</v>
      </c>
      <c r="B262" s="587" t="s">
        <v>751</v>
      </c>
      <c r="C262" s="622">
        <f>C191</f>
        <v>8623036</v>
      </c>
      <c r="D262" s="622">
        <f>D191</f>
        <v>5057350</v>
      </c>
      <c r="E262" s="622">
        <f t="shared" si="30"/>
        <v>-3565686</v>
      </c>
    </row>
    <row r="263" spans="1:5" x14ac:dyDescent="0.2">
      <c r="A263" s="588">
        <v>6</v>
      </c>
      <c r="B263" s="587" t="s">
        <v>752</v>
      </c>
      <c r="C263" s="622">
        <f>+C259+C260+C261+C262</f>
        <v>1615519973</v>
      </c>
      <c r="D263" s="622">
        <f>+D259+D260+D261+D262</f>
        <v>1661437219</v>
      </c>
      <c r="E263" s="622">
        <f t="shared" si="30"/>
        <v>45917246</v>
      </c>
    </row>
    <row r="264" spans="1:5" x14ac:dyDescent="0.2">
      <c r="A264" s="588">
        <v>7</v>
      </c>
      <c r="B264" s="587" t="s">
        <v>657</v>
      </c>
      <c r="C264" s="622">
        <f>+C258-C263</f>
        <v>1021183076</v>
      </c>
      <c r="D264" s="622">
        <f>+D258-D263</f>
        <v>1112334386</v>
      </c>
      <c r="E264" s="622">
        <f t="shared" si="30"/>
        <v>91151310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1021183076</v>
      </c>
      <c r="D266" s="622">
        <f>+D264+D265</f>
        <v>1112334386</v>
      </c>
      <c r="E266" s="641">
        <f t="shared" si="30"/>
        <v>91151310</v>
      </c>
    </row>
    <row r="267" spans="1:5" x14ac:dyDescent="0.2">
      <c r="A267" s="588">
        <v>10</v>
      </c>
      <c r="B267" s="587" t="s">
        <v>840</v>
      </c>
      <c r="C267" s="642">
        <f>IF(C258=0,0,C266/C258)</f>
        <v>0.38729544321924891</v>
      </c>
      <c r="D267" s="642">
        <f>IF(D258=0,0,D266/D258)</f>
        <v>0.40101873708524027</v>
      </c>
      <c r="E267" s="643">
        <f t="shared" si="30"/>
        <v>1.3723293865991359E-2</v>
      </c>
    </row>
    <row r="268" spans="1:5" x14ac:dyDescent="0.2">
      <c r="A268" s="588">
        <v>11</v>
      </c>
      <c r="B268" s="587" t="s">
        <v>719</v>
      </c>
      <c r="C268" s="622">
        <f>+C260*C267</f>
        <v>14853688.455272544</v>
      </c>
      <c r="D268" s="644">
        <f>+D260*D267</f>
        <v>9865030.8558916301</v>
      </c>
      <c r="E268" s="622">
        <f t="shared" si="30"/>
        <v>-4988657.5993809141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100749645.8318046</v>
      </c>
      <c r="D269" s="644">
        <f>((D17+D18+D28+D29)*D267)-(D50+D51+D61+D62)</f>
        <v>102860670.83950469</v>
      </c>
      <c r="E269" s="622">
        <f t="shared" si="30"/>
        <v>2111025.0077000856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115603334.28707714</v>
      </c>
      <c r="D271" s="622">
        <f>+D268+D269+D270</f>
        <v>112725701.69539632</v>
      </c>
      <c r="E271" s="625">
        <f t="shared" si="30"/>
        <v>-2877632.5916808248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0.67436913617952543</v>
      </c>
      <c r="D276" s="623">
        <f t="shared" si="31"/>
        <v>0.69242879629445808</v>
      </c>
      <c r="E276" s="650">
        <f t="shared" ref="E276:E284" si="32">D276-C276</f>
        <v>1.8059660114932652E-2</v>
      </c>
    </row>
    <row r="277" spans="1:5" x14ac:dyDescent="0.2">
      <c r="A277" s="588">
        <v>2</v>
      </c>
      <c r="B277" s="587" t="s">
        <v>638</v>
      </c>
      <c r="C277" s="623">
        <f t="shared" si="31"/>
        <v>0.35322950340556902</v>
      </c>
      <c r="D277" s="623">
        <f t="shared" si="31"/>
        <v>0.33196076673801123</v>
      </c>
      <c r="E277" s="650">
        <f t="shared" si="32"/>
        <v>-2.1268736667557797E-2</v>
      </c>
    </row>
    <row r="278" spans="1:5" x14ac:dyDescent="0.2">
      <c r="A278" s="588">
        <v>3</v>
      </c>
      <c r="B278" s="587" t="s">
        <v>780</v>
      </c>
      <c r="C278" s="623">
        <f t="shared" si="31"/>
        <v>0.23585860150291454</v>
      </c>
      <c r="D278" s="623">
        <f t="shared" si="31"/>
        <v>0.21507397190781175</v>
      </c>
      <c r="E278" s="650">
        <f t="shared" si="32"/>
        <v>-2.0784629595102799E-2</v>
      </c>
    </row>
    <row r="279" spans="1:5" x14ac:dyDescent="0.2">
      <c r="A279" s="588">
        <v>4</v>
      </c>
      <c r="B279" s="587" t="s">
        <v>115</v>
      </c>
      <c r="C279" s="623">
        <f t="shared" si="31"/>
        <v>0.23585860150291454</v>
      </c>
      <c r="D279" s="623">
        <f t="shared" si="31"/>
        <v>0.21507397190781175</v>
      </c>
      <c r="E279" s="650">
        <f t="shared" si="32"/>
        <v>-2.0784629595102799E-2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0.41219627241851414</v>
      </c>
      <c r="D281" s="623">
        <f t="shared" si="31"/>
        <v>0.13754117293261198</v>
      </c>
      <c r="E281" s="650">
        <f t="shared" si="32"/>
        <v>-0.27465509948590217</v>
      </c>
    </row>
    <row r="282" spans="1:5" x14ac:dyDescent="0.2">
      <c r="A282" s="588">
        <v>7</v>
      </c>
      <c r="B282" s="587" t="s">
        <v>761</v>
      </c>
      <c r="C282" s="623">
        <f t="shared" si="31"/>
        <v>0.46730553089746846</v>
      </c>
      <c r="D282" s="623">
        <f t="shared" si="31"/>
        <v>0.45890477927837769</v>
      </c>
      <c r="E282" s="650">
        <f t="shared" si="32"/>
        <v>-8.4007516190907627E-3</v>
      </c>
    </row>
    <row r="283" spans="1:5" ht="29.25" customHeight="1" x14ac:dyDescent="0.2">
      <c r="A283" s="588"/>
      <c r="B283" s="592" t="s">
        <v>847</v>
      </c>
      <c r="C283" s="651">
        <f t="shared" si="31"/>
        <v>0.32213935036730595</v>
      </c>
      <c r="D283" s="651">
        <f t="shared" si="31"/>
        <v>0.29684715023616476</v>
      </c>
      <c r="E283" s="652">
        <f t="shared" si="32"/>
        <v>-2.5292200131141196E-2</v>
      </c>
    </row>
    <row r="284" spans="1:5" x14ac:dyDescent="0.2">
      <c r="A284" s="588"/>
      <c r="B284" s="592" t="s">
        <v>848</v>
      </c>
      <c r="C284" s="651">
        <f t="shared" si="31"/>
        <v>0.42195522296228993</v>
      </c>
      <c r="D284" s="651">
        <f t="shared" si="31"/>
        <v>0.40976397018162847</v>
      </c>
      <c r="E284" s="652">
        <f t="shared" si="32"/>
        <v>-1.2191252780661466E-2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0.53177236555183227</v>
      </c>
      <c r="D287" s="623">
        <f t="shared" si="33"/>
        <v>0.55161650979057675</v>
      </c>
      <c r="E287" s="650">
        <f t="shared" ref="E287:E295" si="34">D287-C287</f>
        <v>1.9844144238744477E-2</v>
      </c>
    </row>
    <row r="288" spans="1:5" x14ac:dyDescent="0.2">
      <c r="A288" s="588">
        <v>2</v>
      </c>
      <c r="B288" s="587" t="s">
        <v>638</v>
      </c>
      <c r="C288" s="623">
        <f t="shared" si="33"/>
        <v>0.26547237567950221</v>
      </c>
      <c r="D288" s="623">
        <f t="shared" si="33"/>
        <v>0.28023701975669774</v>
      </c>
      <c r="E288" s="650">
        <f t="shared" si="34"/>
        <v>1.4764644077195521E-2</v>
      </c>
    </row>
    <row r="289" spans="1:5" x14ac:dyDescent="0.2">
      <c r="A289" s="588">
        <v>3</v>
      </c>
      <c r="B289" s="587" t="s">
        <v>780</v>
      </c>
      <c r="C289" s="623">
        <f t="shared" si="33"/>
        <v>0.15396850880669394</v>
      </c>
      <c r="D289" s="623">
        <f t="shared" si="33"/>
        <v>0.24420803535940588</v>
      </c>
      <c r="E289" s="650">
        <f t="shared" si="34"/>
        <v>9.0239526552711946E-2</v>
      </c>
    </row>
    <row r="290" spans="1:5" x14ac:dyDescent="0.2">
      <c r="A290" s="588">
        <v>4</v>
      </c>
      <c r="B290" s="587" t="s">
        <v>115</v>
      </c>
      <c r="C290" s="623">
        <f t="shared" si="33"/>
        <v>0.15396850880669394</v>
      </c>
      <c r="D290" s="623">
        <f t="shared" si="33"/>
        <v>0.24420803535940588</v>
      </c>
      <c r="E290" s="650">
        <f t="shared" si="34"/>
        <v>9.0239526552711946E-2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0.59831103978414091</v>
      </c>
      <c r="D292" s="623">
        <f t="shared" si="33"/>
        <v>0</v>
      </c>
      <c r="E292" s="650">
        <f t="shared" si="34"/>
        <v>-0.59831103978414091</v>
      </c>
    </row>
    <row r="293" spans="1:5" x14ac:dyDescent="0.2">
      <c r="A293" s="588">
        <v>7</v>
      </c>
      <c r="B293" s="587" t="s">
        <v>761</v>
      </c>
      <c r="C293" s="623">
        <f t="shared" si="33"/>
        <v>0.32505269400429815</v>
      </c>
      <c r="D293" s="623">
        <f t="shared" si="33"/>
        <v>0.40231583478427951</v>
      </c>
      <c r="E293" s="650">
        <f t="shared" si="34"/>
        <v>7.7263140779981365E-2</v>
      </c>
    </row>
    <row r="294" spans="1:5" ht="29.25" customHeight="1" x14ac:dyDescent="0.2">
      <c r="A294" s="588"/>
      <c r="B294" s="592" t="s">
        <v>850</v>
      </c>
      <c r="C294" s="651">
        <f t="shared" si="33"/>
        <v>0.22665368324865801</v>
      </c>
      <c r="D294" s="651">
        <f t="shared" si="33"/>
        <v>0.26391738430423783</v>
      </c>
      <c r="E294" s="652">
        <f t="shared" si="34"/>
        <v>3.7263701055579829E-2</v>
      </c>
    </row>
    <row r="295" spans="1:5" x14ac:dyDescent="0.2">
      <c r="A295" s="588"/>
      <c r="B295" s="592" t="s">
        <v>851</v>
      </c>
      <c r="C295" s="651">
        <f t="shared" si="33"/>
        <v>0.34811103126100701</v>
      </c>
      <c r="D295" s="651">
        <f t="shared" si="33"/>
        <v>0.37772573745116012</v>
      </c>
      <c r="E295" s="652">
        <f t="shared" si="34"/>
        <v>2.9614706190153106E-2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1037713785</v>
      </c>
      <c r="D301" s="590">
        <f>+D48+D47+D50+D51+D52+D59+D58+D61+D62+D63</f>
        <v>1102566162</v>
      </c>
      <c r="E301" s="590">
        <f>D301-C301</f>
        <v>64852377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1037713785</v>
      </c>
      <c r="D303" s="593">
        <f>+D301+D302</f>
        <v>1102566162</v>
      </c>
      <c r="E303" s="593">
        <f>D303-C303</f>
        <v>64852377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-57278965</v>
      </c>
      <c r="D305" s="654">
        <v>-80874785</v>
      </c>
      <c r="E305" s="655">
        <f>D305-C305</f>
        <v>-23595820</v>
      </c>
    </row>
    <row r="306" spans="1:5" x14ac:dyDescent="0.2">
      <c r="A306" s="588">
        <v>4</v>
      </c>
      <c r="B306" s="592" t="s">
        <v>858</v>
      </c>
      <c r="C306" s="593">
        <f>+C303+C305+C194+C190-C191</f>
        <v>999894748</v>
      </c>
      <c r="D306" s="593">
        <f>+D303+D305</f>
        <v>1021691377</v>
      </c>
      <c r="E306" s="656">
        <f>D306-C306</f>
        <v>21796629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980435000</v>
      </c>
      <c r="D308" s="589">
        <v>1021691377</v>
      </c>
      <c r="E308" s="590">
        <f>D308-C308</f>
        <v>41256377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19459748</v>
      </c>
      <c r="D310" s="658">
        <f>D306-D308</f>
        <v>0</v>
      </c>
      <c r="E310" s="656">
        <f>D310-C310</f>
        <v>-19459748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2636703049</v>
      </c>
      <c r="D314" s="590">
        <f>+D14+D15+D16+D19+D25+D26+D27+D30</f>
        <v>2773771605</v>
      </c>
      <c r="E314" s="590">
        <f>D314-C314</f>
        <v>137068556</v>
      </c>
    </row>
    <row r="315" spans="1:5" x14ac:dyDescent="0.2">
      <c r="A315" s="588">
        <v>2</v>
      </c>
      <c r="B315" s="659" t="s">
        <v>863</v>
      </c>
      <c r="C315" s="589">
        <v>309166</v>
      </c>
      <c r="D315" s="589">
        <v>0</v>
      </c>
      <c r="E315" s="590">
        <f>D315-C315</f>
        <v>-309166</v>
      </c>
    </row>
    <row r="316" spans="1:5" x14ac:dyDescent="0.2">
      <c r="A316" s="588"/>
      <c r="B316" s="592" t="s">
        <v>864</v>
      </c>
      <c r="C316" s="657">
        <f>C314+C315</f>
        <v>2637012215</v>
      </c>
      <c r="D316" s="657">
        <f>D314+D315</f>
        <v>2773771605</v>
      </c>
      <c r="E316" s="593">
        <f>D316-C316</f>
        <v>136759390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2637012215</v>
      </c>
      <c r="D318" s="589">
        <v>2773771606</v>
      </c>
      <c r="E318" s="590">
        <f>D318-C318</f>
        <v>136759391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-1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38352345</v>
      </c>
      <c r="D324" s="589">
        <f>+D193+D194</f>
        <v>24599925</v>
      </c>
      <c r="E324" s="590">
        <f>D324-C324</f>
        <v>-13752420</v>
      </c>
    </row>
    <row r="325" spans="1:5" x14ac:dyDescent="0.2">
      <c r="A325" s="588">
        <v>2</v>
      </c>
      <c r="B325" s="587" t="s">
        <v>868</v>
      </c>
      <c r="C325" s="589">
        <v>1734985</v>
      </c>
      <c r="D325" s="589">
        <v>5658146</v>
      </c>
      <c r="E325" s="590">
        <f>D325-C325</f>
        <v>3923161</v>
      </c>
    </row>
    <row r="326" spans="1:5" x14ac:dyDescent="0.2">
      <c r="A326" s="588"/>
      <c r="B326" s="592" t="s">
        <v>869</v>
      </c>
      <c r="C326" s="657">
        <f>C324+C325</f>
        <v>40087330</v>
      </c>
      <c r="D326" s="657">
        <f>D324+D325</f>
        <v>30258071</v>
      </c>
      <c r="E326" s="593">
        <f>D326-C326</f>
        <v>-9829259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40087330</v>
      </c>
      <c r="D328" s="589">
        <v>30258072</v>
      </c>
      <c r="E328" s="590">
        <f>D328-C328</f>
        <v>-9829258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-1</v>
      </c>
      <c r="E330" s="593">
        <f>D330-C330</f>
        <v>-1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FILING&amp;RHARTFORD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488608700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864495030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345375302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345375302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13264479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16722127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1223134811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1711743511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420118303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389796873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246411380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246411380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5701538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31190567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641909791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1062028094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908727003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1865044602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2773771605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338326734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286978433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74281238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74281238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1824412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7673864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363084083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701410817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231744192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109235514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60175639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60175639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12548459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169411153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401155345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570070926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532495236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1102566162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14621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17826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10567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10567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322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547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28715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43336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1.53467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1.96007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1.38947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1.38947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1.47359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1.2351300000000001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1.7446363674037959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1.6737964592948127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843088674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543858096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299230578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0.35492183352471413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9189127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5057350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20579150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4020775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24599925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105622852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1082920481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1102566162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1102566162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-80874785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1021691377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1021691377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2773771605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2773771605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2773771606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24599925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5658146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30258071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30258072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-1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FILING&amp;RHARTFORD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885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12922</v>
      </c>
      <c r="D12" s="185">
        <v>12976</v>
      </c>
      <c r="E12" s="185">
        <f>+D12-C12</f>
        <v>54</v>
      </c>
      <c r="F12" s="77">
        <f>IF(C12=0,0,+E12/C12)</f>
        <v>4.178919671877418E-3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12307</v>
      </c>
      <c r="D13" s="185">
        <v>12015</v>
      </c>
      <c r="E13" s="185">
        <f>+D13-C13</f>
        <v>-292</v>
      </c>
      <c r="F13" s="77">
        <f>IF(C13=0,0,+E13/C13)</f>
        <v>-2.3726334606321606E-2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24219691</v>
      </c>
      <c r="D15" s="76">
        <v>20579150</v>
      </c>
      <c r="E15" s="76">
        <f>+D15-C15</f>
        <v>-3640541</v>
      </c>
      <c r="F15" s="77">
        <f>IF(C15=0,0,+E15/C15)</f>
        <v>-0.15031327195710301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1967.9605915332738</v>
      </c>
      <c r="D16" s="79">
        <f>IF(D13=0,0,+D15/+D13)</f>
        <v>1712.7881814398668</v>
      </c>
      <c r="E16" s="79">
        <f>+D16-C16</f>
        <v>-255.17241009340705</v>
      </c>
      <c r="F16" s="80">
        <f>IF(C16=0,0,+E16/C16)</f>
        <v>-0.12966337394723823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0.38903399999999999</v>
      </c>
      <c r="D18" s="704">
        <v>0.37559599999999999</v>
      </c>
      <c r="E18" s="704">
        <f>+D18-C18</f>
        <v>-1.3438000000000005E-2</v>
      </c>
      <c r="F18" s="77">
        <f>IF(C18=0,0,+E18/C18)</f>
        <v>-3.4541968054206076E-2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9422283.2684940007</v>
      </c>
      <c r="D19" s="79">
        <f>+D15*D18</f>
        <v>7729446.4233999997</v>
      </c>
      <c r="E19" s="79">
        <f>+D19-C19</f>
        <v>-1692836.8450940009</v>
      </c>
      <c r="F19" s="80">
        <f>IF(C19=0,0,+E19/C19)</f>
        <v>-0.1796631237732437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765.60358076655564</v>
      </c>
      <c r="D20" s="79">
        <f>IF(D13=0,0,+D19/D13)</f>
        <v>643.31638979608817</v>
      </c>
      <c r="E20" s="79">
        <f>+D20-C20</f>
        <v>-122.28719097046746</v>
      </c>
      <c r="F20" s="80">
        <f>IF(C20=0,0,+E20/C20)</f>
        <v>-0.15972651388075823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8122740</v>
      </c>
      <c r="D22" s="76">
        <v>6325391</v>
      </c>
      <c r="E22" s="76">
        <f>+D22-C22</f>
        <v>-1797349</v>
      </c>
      <c r="F22" s="77">
        <f>IF(C22=0,0,+E22/C22)</f>
        <v>-0.22127373275520329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8847107</v>
      </c>
      <c r="D23" s="185">
        <v>7720107</v>
      </c>
      <c r="E23" s="185">
        <f>+D23-C23</f>
        <v>-1127000</v>
      </c>
      <c r="F23" s="77">
        <f>IF(C23=0,0,+E23/C23)</f>
        <v>-0.12738627440585945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7249844</v>
      </c>
      <c r="D24" s="185">
        <v>6533652</v>
      </c>
      <c r="E24" s="185">
        <f>+D24-C24</f>
        <v>-716192</v>
      </c>
      <c r="F24" s="77">
        <f>IF(C24=0,0,+E24/C24)</f>
        <v>-9.8787229076929106E-2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24219691</v>
      </c>
      <c r="D25" s="79">
        <f>+D22+D23+D24</f>
        <v>20579150</v>
      </c>
      <c r="E25" s="79">
        <f>+E22+E23+E24</f>
        <v>-3640541</v>
      </c>
      <c r="F25" s="80">
        <f>IF(C25=0,0,+E25/C25)</f>
        <v>-0.15031327195710301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1088</v>
      </c>
      <c r="D27" s="185">
        <v>792</v>
      </c>
      <c r="E27" s="185">
        <f>+D27-C27</f>
        <v>-296</v>
      </c>
      <c r="F27" s="77">
        <f>IF(C27=0,0,+E27/C27)</f>
        <v>-0.27205882352941174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194</v>
      </c>
      <c r="D28" s="185">
        <v>134</v>
      </c>
      <c r="E28" s="185">
        <f>+D28-C28</f>
        <v>-60</v>
      </c>
      <c r="F28" s="77">
        <f>IF(C28=0,0,+E28/C28)</f>
        <v>-0.30927835051546393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3231</v>
      </c>
      <c r="D29" s="185">
        <v>2612</v>
      </c>
      <c r="E29" s="185">
        <f>+D29-C29</f>
        <v>-619</v>
      </c>
      <c r="F29" s="77">
        <f>IF(C29=0,0,+E29/C29)</f>
        <v>-0.19158155369854535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1988</v>
      </c>
      <c r="D30" s="185">
        <v>1771</v>
      </c>
      <c r="E30" s="185">
        <f>+D30-C30</f>
        <v>-217</v>
      </c>
      <c r="F30" s="77">
        <f>IF(C30=0,0,+E30/C30)</f>
        <v>-0.10915492957746478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4501411</v>
      </c>
      <c r="D33" s="76">
        <v>1403301</v>
      </c>
      <c r="E33" s="76">
        <f>+D33-C33</f>
        <v>-3098110</v>
      </c>
      <c r="F33" s="77">
        <f>IF(C33=0,0,+E33/C33)</f>
        <v>-0.68825308331098844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5971371</v>
      </c>
      <c r="D34" s="185">
        <v>1622834</v>
      </c>
      <c r="E34" s="185">
        <f>+D34-C34</f>
        <v>-4348537</v>
      </c>
      <c r="F34" s="77">
        <f>IF(C34=0,0,+E34/C34)</f>
        <v>-0.72823092050385074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3659872</v>
      </c>
      <c r="D35" s="185">
        <v>994640</v>
      </c>
      <c r="E35" s="185">
        <f>+D35-C35</f>
        <v>-2665232</v>
      </c>
      <c r="F35" s="77">
        <f>IF(C35=0,0,+E35/C35)</f>
        <v>-0.72823093266649763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14132654</v>
      </c>
      <c r="D36" s="79">
        <f>+D33+D34+D35</f>
        <v>4020775</v>
      </c>
      <c r="E36" s="79">
        <f>+E33+E34+E35</f>
        <v>-10111879</v>
      </c>
      <c r="F36" s="80">
        <f>IF(C36=0,0,+E36/C36)</f>
        <v>-0.71549752792362986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24219691</v>
      </c>
      <c r="D39" s="76">
        <f>+D25</f>
        <v>20579150</v>
      </c>
      <c r="E39" s="76">
        <f>+D39-C39</f>
        <v>-3640541</v>
      </c>
      <c r="F39" s="77">
        <f>IF(C39=0,0,+E39/C39)</f>
        <v>-0.15031327195710301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14132654</v>
      </c>
      <c r="D40" s="185">
        <f>+D36</f>
        <v>4020775</v>
      </c>
      <c r="E40" s="185">
        <f>+D40-C40</f>
        <v>-10111879</v>
      </c>
      <c r="F40" s="77">
        <f>IF(C40=0,0,+E40/C40)</f>
        <v>-0.71549752792362986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38352345</v>
      </c>
      <c r="D41" s="79">
        <f>+D39+D40</f>
        <v>24599925</v>
      </c>
      <c r="E41" s="79">
        <f>+E39+E40</f>
        <v>-13752420</v>
      </c>
      <c r="F41" s="80">
        <f>IF(C41=0,0,+E41/C41)</f>
        <v>-0.35858094205191365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12624151</v>
      </c>
      <c r="D43" s="76">
        <f t="shared" si="0"/>
        <v>7728692</v>
      </c>
      <c r="E43" s="76">
        <f>+D43-C43</f>
        <v>-4895459</v>
      </c>
      <c r="F43" s="77">
        <f>IF(C43=0,0,+E43/C43)</f>
        <v>-0.38778520630813113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14818478</v>
      </c>
      <c r="D44" s="185">
        <f t="shared" si="0"/>
        <v>9342941</v>
      </c>
      <c r="E44" s="185">
        <f>+D44-C44</f>
        <v>-5475537</v>
      </c>
      <c r="F44" s="77">
        <f>IF(C44=0,0,+E44/C44)</f>
        <v>-0.36950738125737337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10909716</v>
      </c>
      <c r="D45" s="185">
        <f t="shared" si="0"/>
        <v>7528292</v>
      </c>
      <c r="E45" s="185">
        <f>+D45-C45</f>
        <v>-3381424</v>
      </c>
      <c r="F45" s="77">
        <f>IF(C45=0,0,+E45/C45)</f>
        <v>-0.3099461067547496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38352345</v>
      </c>
      <c r="D46" s="79">
        <f>+D43+D44+D45</f>
        <v>24599925</v>
      </c>
      <c r="E46" s="79">
        <f>+E43+E44+E45</f>
        <v>-13752420</v>
      </c>
      <c r="F46" s="80">
        <f>IF(C46=0,0,+E46/C46)</f>
        <v>-0.35858094205191365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914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FILING&amp;RHARTFORD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915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916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794912520</v>
      </c>
      <c r="D15" s="76">
        <v>843088674</v>
      </c>
      <c r="E15" s="76">
        <f>+D15-C15</f>
        <v>48176154</v>
      </c>
      <c r="F15" s="77">
        <f>IF(C15=0,0,E15/C15)</f>
        <v>6.0605604752583343E-2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308263313</v>
      </c>
      <c r="D17" s="76">
        <v>299230578</v>
      </c>
      <c r="E17" s="76">
        <f>+D17-C17</f>
        <v>-9032735</v>
      </c>
      <c r="F17" s="77">
        <f>IF(C17=0,0,E17/C17)</f>
        <v>-2.9302011037557363E-2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486649207</v>
      </c>
      <c r="D19" s="79">
        <f>+D15-D17</f>
        <v>543858096</v>
      </c>
      <c r="E19" s="79">
        <f>+D19-C19</f>
        <v>57208889</v>
      </c>
      <c r="F19" s="80">
        <f>IF(C19=0,0,E19/C19)</f>
        <v>0.11755672911226998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0.38779526708171613</v>
      </c>
      <c r="D21" s="720">
        <f>IF(D15=0,0,D17/D15)</f>
        <v>0.35492183352471413</v>
      </c>
      <c r="E21" s="720">
        <f>+D21-C21</f>
        <v>-3.2873433557002008E-2</v>
      </c>
      <c r="F21" s="80">
        <f>IF(C21=0,0,E21/C21)</f>
        <v>-8.4770074179566834E-2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FILING&amp;R&amp;12HARTFORD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1603648875</v>
      </c>
      <c r="D10" s="744">
        <v>1622989767</v>
      </c>
      <c r="E10" s="744">
        <v>1711743511</v>
      </c>
    </row>
    <row r="11" spans="1:6" ht="26.1" customHeight="1" x14ac:dyDescent="0.25">
      <c r="A11" s="742">
        <v>2</v>
      </c>
      <c r="B11" s="743" t="s">
        <v>935</v>
      </c>
      <c r="C11" s="744">
        <v>950436707</v>
      </c>
      <c r="D11" s="744">
        <v>1013713282</v>
      </c>
      <c r="E11" s="744">
        <v>1062028094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2554085582</v>
      </c>
      <c r="D12" s="744">
        <f>+D11+D10</f>
        <v>2636703049</v>
      </c>
      <c r="E12" s="744">
        <f>+E11+E10</f>
        <v>2773771605</v>
      </c>
    </row>
    <row r="13" spans="1:6" ht="26.1" customHeight="1" x14ac:dyDescent="0.25">
      <c r="A13" s="742">
        <v>4</v>
      </c>
      <c r="B13" s="743" t="s">
        <v>507</v>
      </c>
      <c r="C13" s="744">
        <v>976155739</v>
      </c>
      <c r="D13" s="744">
        <v>980434820</v>
      </c>
      <c r="E13" s="744">
        <v>1021691377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1022794910</v>
      </c>
      <c r="D16" s="744">
        <v>1033299408</v>
      </c>
      <c r="E16" s="744">
        <v>1082920481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233240</v>
      </c>
      <c r="D19" s="747">
        <v>230835</v>
      </c>
      <c r="E19" s="747">
        <v>233354</v>
      </c>
    </row>
    <row r="20" spans="1:5" ht="26.1" customHeight="1" x14ac:dyDescent="0.25">
      <c r="A20" s="742">
        <v>2</v>
      </c>
      <c r="B20" s="743" t="s">
        <v>381</v>
      </c>
      <c r="C20" s="748">
        <v>42755</v>
      </c>
      <c r="D20" s="748">
        <v>43350</v>
      </c>
      <c r="E20" s="748">
        <v>43336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5.4552683896620282</v>
      </c>
      <c r="D21" s="749">
        <f>IF(D20=0,0,+D19/D20)</f>
        <v>5.3249134948096888</v>
      </c>
      <c r="E21" s="749">
        <f>IF(E20=0,0,+E19/E20)</f>
        <v>5.3847609377884442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371474.66034026933</v>
      </c>
      <c r="D22" s="748">
        <f>IF(D10=0,0,D19*(D12/D10))</f>
        <v>375013.66964312783</v>
      </c>
      <c r="E22" s="748">
        <f>IF(E10=0,0,E19*(E12/E10))</f>
        <v>378135.33099654317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68094.662591528962</v>
      </c>
      <c r="D23" s="748">
        <f>IF(D10=0,0,D20*(D12/D10))</f>
        <v>70426.246362248319</v>
      </c>
      <c r="E23" s="748">
        <f>IF(E10=0,0,E20*(E12/E10))</f>
        <v>70223.234673784013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1.5842975738510117</v>
      </c>
      <c r="D26" s="750">
        <v>1.6020541208765857</v>
      </c>
      <c r="E26" s="750">
        <v>1.6737964592948127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369521.56612500997</v>
      </c>
      <c r="D27" s="748">
        <f>D19*D26</f>
        <v>369810.16299254668</v>
      </c>
      <c r="E27" s="748">
        <f>E19*E26</f>
        <v>390587.09896228171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67736.642770000006</v>
      </c>
      <c r="D28" s="748">
        <f>D20*D26</f>
        <v>69449.046139999991</v>
      </c>
      <c r="E28" s="748">
        <f>E20*E26</f>
        <v>72535.643360000002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588526.40312421729</v>
      </c>
      <c r="D29" s="748">
        <f>D22*D26</f>
        <v>600792.1948368235</v>
      </c>
      <c r="E29" s="748">
        <f>E22*E26</f>
        <v>632921.57815628604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107882.20873596257</v>
      </c>
      <c r="D30" s="748">
        <f>D23*D26</f>
        <v>112826.65820250957</v>
      </c>
      <c r="E30" s="748">
        <f>E23*E26</f>
        <v>117539.4015572084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10950.461250214372</v>
      </c>
      <c r="D33" s="744">
        <f>IF(D19=0,0,D12/D19)</f>
        <v>11422.457811856953</v>
      </c>
      <c r="E33" s="744">
        <f>IF(E19=0,0,E12/E19)</f>
        <v>11886.539785047609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59737.705110513387</v>
      </c>
      <c r="D34" s="744">
        <f>IF(D20=0,0,D12/D20)</f>
        <v>60823.599746251442</v>
      </c>
      <c r="E34" s="744">
        <f>IF(E20=0,0,E12/E20)</f>
        <v>64006.175119992615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6875.531105299262</v>
      </c>
      <c r="D35" s="744">
        <f>IF(D22=0,0,D12/D22)</f>
        <v>7030.951835726818</v>
      </c>
      <c r="E35" s="744">
        <f>IF(E22=0,0,E12/E22)</f>
        <v>7335.3939122534866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37507.867500877088</v>
      </c>
      <c r="D36" s="744">
        <f>IF(D23=0,0,D12/D23)</f>
        <v>37439.210311418683</v>
      </c>
      <c r="E36" s="744">
        <f>IF(E23=0,0,E12/E23)</f>
        <v>39499.342601993725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4339.7977872216588</v>
      </c>
      <c r="D37" s="744">
        <f>IF(D29=0,0,D12/D29)</f>
        <v>4388.7105585919508</v>
      </c>
      <c r="E37" s="744">
        <f>IF(E29=0,0,E12/E29)</f>
        <v>4382.4886063768836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23674.761686155529</v>
      </c>
      <c r="D38" s="744">
        <f>IF(D30=0,0,D12/D30)</f>
        <v>23369.504078260048</v>
      </c>
      <c r="E38" s="744">
        <f>IF(E30=0,0,E12/E30)</f>
        <v>23598.653457921162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4316.9805270999213</v>
      </c>
      <c r="D39" s="744">
        <f>IF(D22=0,0,D10/D22)</f>
        <v>4327.8149528375243</v>
      </c>
      <c r="E39" s="744">
        <f>IF(E22=0,0,E10/E22)</f>
        <v>4526.8013081159252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23550.287408274718</v>
      </c>
      <c r="D40" s="744">
        <f>IF(D23=0,0,D10/D23)</f>
        <v>23045.240245403686</v>
      </c>
      <c r="E40" s="744">
        <f>IF(E23=0,0,E10/E23)</f>
        <v>24375.742857072266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4185.1986751843597</v>
      </c>
      <c r="D43" s="744">
        <f>IF(D19=0,0,D13/D19)</f>
        <v>4247.3403946541903</v>
      </c>
      <c r="E43" s="744">
        <f>IF(E19=0,0,E13/E19)</f>
        <v>4378.2895386408636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22831.382037188632</v>
      </c>
      <c r="D44" s="744">
        <f>IF(D20=0,0,D13/D20)</f>
        <v>22616.720184544407</v>
      </c>
      <c r="E44" s="744">
        <f>IF(E20=0,0,E13/E20)</f>
        <v>23576.042482001107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2627.7855348352568</v>
      </c>
      <c r="D45" s="744">
        <f>IF(D22=0,0,D13/D22)</f>
        <v>2614.3975523159083</v>
      </c>
      <c r="E45" s="744">
        <f>IF(E22=0,0,E13/E22)</f>
        <v>2701.9199034044773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14335.275362997902</v>
      </c>
      <c r="D46" s="744">
        <f>IF(D23=0,0,D13/D23)</f>
        <v>13921.4408071244</v>
      </c>
      <c r="E46" s="744">
        <f>IF(E23=0,0,E13/E23)</f>
        <v>14549.192752885556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1658.6439177886259</v>
      </c>
      <c r="D47" s="744">
        <f>IF(D29=0,0,D13/D29)</f>
        <v>1631.9033909325142</v>
      </c>
      <c r="E47" s="744">
        <f>IF(E29=0,0,E13/E29)</f>
        <v>1614.2463968067082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9048.3477344174735</v>
      </c>
      <c r="D48" s="744">
        <f>IF(D30=0,0,D13/D30)</f>
        <v>8689.7443886022356</v>
      </c>
      <c r="E48" s="744">
        <f>IF(E30=0,0,E13/E30)</f>
        <v>8692.330941490507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4385.1608214714461</v>
      </c>
      <c r="D51" s="744">
        <f>IF(D19=0,0,D16/D19)</f>
        <v>4476.3550068230552</v>
      </c>
      <c r="E51" s="744">
        <f>IF(E19=0,0,E16/E19)</f>
        <v>4640.676744345501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23922.229212957547</v>
      </c>
      <c r="D52" s="744">
        <f>IF(D20=0,0,D16/D20)</f>
        <v>23836.203183391004</v>
      </c>
      <c r="E52" s="744">
        <f>IF(E20=0,0,E16/E20)</f>
        <v>24988.9348578549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2753.3369545667633</v>
      </c>
      <c r="D53" s="744">
        <f>IF(D22=0,0,D16/D22)</f>
        <v>2755.3646483961852</v>
      </c>
      <c r="E53" s="744">
        <f>IF(E22=0,0,E16/E22)</f>
        <v>2863.8436883061313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15020.192054336379</v>
      </c>
      <c r="D54" s="744">
        <f>IF(D23=0,0,D16/D23)</f>
        <v>14672.078399366399</v>
      </c>
      <c r="E54" s="744">
        <f>IF(E23=0,0,E16/E23)</f>
        <v>15421.113624722841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1737.8912901281064</v>
      </c>
      <c r="D55" s="744">
        <f>IF(D29=0,0,D16/D29)</f>
        <v>1719.8948602863366</v>
      </c>
      <c r="E55" s="744">
        <f>IF(E29=0,0,E16/E29)</f>
        <v>1710.9868242359034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9480.6634197048188</v>
      </c>
      <c r="D56" s="744">
        <f>IF(D30=0,0,D16/D30)</f>
        <v>9158.2913511925381</v>
      </c>
      <c r="E56" s="744">
        <f>IF(E30=0,0,E16/E30)</f>
        <v>9213.2550162161951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137008756</v>
      </c>
      <c r="D59" s="752">
        <v>147234787</v>
      </c>
      <c r="E59" s="752">
        <v>151394659</v>
      </c>
    </row>
    <row r="60" spans="1:6" ht="26.1" customHeight="1" x14ac:dyDescent="0.25">
      <c r="A60" s="742">
        <v>2</v>
      </c>
      <c r="B60" s="743" t="s">
        <v>971</v>
      </c>
      <c r="C60" s="752">
        <v>43107152</v>
      </c>
      <c r="D60" s="752">
        <v>34777599</v>
      </c>
      <c r="E60" s="752">
        <v>26806736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180115908</v>
      </c>
      <c r="D61" s="755">
        <f>D59+D60</f>
        <v>182012386</v>
      </c>
      <c r="E61" s="755">
        <f>E59+E60</f>
        <v>178201395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43864014</v>
      </c>
      <c r="D64" s="744">
        <v>46267606</v>
      </c>
      <c r="E64" s="752">
        <v>49724580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13800963</v>
      </c>
      <c r="D65" s="752">
        <v>10928642</v>
      </c>
      <c r="E65" s="752">
        <v>7998376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57664977</v>
      </c>
      <c r="D66" s="757">
        <f>D64+D65</f>
        <v>57196248</v>
      </c>
      <c r="E66" s="757">
        <f>E64+E65</f>
        <v>57722956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248015536</v>
      </c>
      <c r="D69" s="752">
        <v>230920191</v>
      </c>
      <c r="E69" s="752">
        <v>213252264</v>
      </c>
    </row>
    <row r="70" spans="1:6" ht="26.1" customHeight="1" x14ac:dyDescent="0.25">
      <c r="A70" s="742">
        <v>2</v>
      </c>
      <c r="B70" s="743" t="s">
        <v>979</v>
      </c>
      <c r="C70" s="752">
        <v>78033285</v>
      </c>
      <c r="D70" s="752">
        <v>54544512</v>
      </c>
      <c r="E70" s="752">
        <v>38565691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326048821</v>
      </c>
      <c r="D71" s="755">
        <f>D69+D70</f>
        <v>285464703</v>
      </c>
      <c r="E71" s="755">
        <f>E69+E70</f>
        <v>251817955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428888306</v>
      </c>
      <c r="D75" s="744">
        <f t="shared" si="0"/>
        <v>424422584</v>
      </c>
      <c r="E75" s="744">
        <f t="shared" si="0"/>
        <v>414371503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134941400</v>
      </c>
      <c r="D76" s="744">
        <f t="shared" si="0"/>
        <v>100250753</v>
      </c>
      <c r="E76" s="744">
        <f t="shared" si="0"/>
        <v>73370803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563829706</v>
      </c>
      <c r="D77" s="757">
        <f>D75+D76</f>
        <v>524673337</v>
      </c>
      <c r="E77" s="757">
        <f>E75+E76</f>
        <v>487742306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1815.4</v>
      </c>
      <c r="D80" s="749">
        <v>2010.1</v>
      </c>
      <c r="E80" s="749">
        <v>2037.1</v>
      </c>
    </row>
    <row r="81" spans="1:5" ht="26.1" customHeight="1" x14ac:dyDescent="0.25">
      <c r="A81" s="742">
        <v>2</v>
      </c>
      <c r="B81" s="743" t="s">
        <v>617</v>
      </c>
      <c r="C81" s="749">
        <v>157.19999999999999</v>
      </c>
      <c r="D81" s="749">
        <v>164.8</v>
      </c>
      <c r="E81" s="749">
        <v>173.4</v>
      </c>
    </row>
    <row r="82" spans="1:5" ht="26.1" customHeight="1" x14ac:dyDescent="0.25">
      <c r="A82" s="742">
        <v>3</v>
      </c>
      <c r="B82" s="743" t="s">
        <v>985</v>
      </c>
      <c r="C82" s="749">
        <v>3834.4</v>
      </c>
      <c r="D82" s="749">
        <v>3342.3</v>
      </c>
      <c r="E82" s="749">
        <v>3365.2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5807</v>
      </c>
      <c r="D83" s="759">
        <f>D80+D81+D82</f>
        <v>5517.2000000000007</v>
      </c>
      <c r="E83" s="759">
        <f>E80+E81+E82</f>
        <v>5575.7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75470.285336564935</v>
      </c>
      <c r="D86" s="752">
        <f>IF(D80=0,0,D59/D80)</f>
        <v>73247.493657031999</v>
      </c>
      <c r="E86" s="752">
        <f>IF(E80=0,0,E59/E80)</f>
        <v>74318.717294192727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23745.263853696153</v>
      </c>
      <c r="D87" s="752">
        <f>IF(D80=0,0,D60/D80)</f>
        <v>17301.427292174518</v>
      </c>
      <c r="E87" s="752">
        <f>IF(E80=0,0,E60/E80)</f>
        <v>13159.263659123264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99215.549190261081</v>
      </c>
      <c r="D88" s="755">
        <f>+D86+D87</f>
        <v>90548.920949206513</v>
      </c>
      <c r="E88" s="755">
        <f>+E86+E87</f>
        <v>87477.980953315986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279033.16793893132</v>
      </c>
      <c r="D91" s="744">
        <f>IF(D81=0,0,D64/D81)</f>
        <v>280750.03640776698</v>
      </c>
      <c r="E91" s="744">
        <f>IF(E81=0,0,E64/E81)</f>
        <v>286762.28373702423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87792.385496183211</v>
      </c>
      <c r="D92" s="744">
        <f>IF(D81=0,0,D65/D81)</f>
        <v>66314.575242718449</v>
      </c>
      <c r="E92" s="744">
        <f>IF(E81=0,0,E65/E81)</f>
        <v>46126.735870818913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366825.55343511456</v>
      </c>
      <c r="D93" s="757">
        <f>+D91+D92</f>
        <v>347064.61165048543</v>
      </c>
      <c r="E93" s="757">
        <f>+E91+E92</f>
        <v>332889.01960784313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64681.706655539325</v>
      </c>
      <c r="D96" s="752">
        <f>IF(D82=0,0,D69/D82)</f>
        <v>69090.204649492865</v>
      </c>
      <c r="E96" s="752">
        <f>IF(E82=0,0,E69/E82)</f>
        <v>63369.86330678712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20350.84628625078</v>
      </c>
      <c r="D97" s="752">
        <f>IF(D82=0,0,D70/D82)</f>
        <v>16319.454268019028</v>
      </c>
      <c r="E97" s="752">
        <f>IF(E82=0,0,E70/E82)</f>
        <v>11460.148282420065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85032.552941790113</v>
      </c>
      <c r="D98" s="757">
        <f>+D96+D97</f>
        <v>85409.658917511901</v>
      </c>
      <c r="E98" s="757">
        <f>+E96+E97</f>
        <v>74830.011589207192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73857.121749612532</v>
      </c>
      <c r="D101" s="744">
        <f>IF(D83=0,0,D75/D83)</f>
        <v>76927.170303777268</v>
      </c>
      <c r="E101" s="744">
        <f>IF(E83=0,0,E75/E83)</f>
        <v>74317.395663324787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23237.71310487343</v>
      </c>
      <c r="D102" s="761">
        <f>IF(D83=0,0,D76/D83)</f>
        <v>18170.585260639451</v>
      </c>
      <c r="E102" s="761">
        <f>IF(E83=0,0,E76/E83)</f>
        <v>13159.029897591334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97094.834854485962</v>
      </c>
      <c r="D103" s="757">
        <f>+D101+D102</f>
        <v>95097.755564416715</v>
      </c>
      <c r="E103" s="757">
        <f>+E101+E102</f>
        <v>87476.425560916119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2417.3799777053678</v>
      </c>
      <c r="D108" s="744">
        <f>IF(D19=0,0,D77/D19)</f>
        <v>2272.9366733814195</v>
      </c>
      <c r="E108" s="744">
        <f>IF(E19=0,0,E77/E19)</f>
        <v>2090.1390419705685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13187.456578177991</v>
      </c>
      <c r="D109" s="744">
        <f>IF(D20=0,0,D77/D20)</f>
        <v>12103.191164936563</v>
      </c>
      <c r="E109" s="744">
        <f>IF(E20=0,0,E77/E20)</f>
        <v>11254.899067749677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1517.8147157696683</v>
      </c>
      <c r="D110" s="744">
        <f>IF(D22=0,0,D77/D22)</f>
        <v>1399.0778989451023</v>
      </c>
      <c r="E110" s="744">
        <f>IF(E22=0,0,E77/E22)</f>
        <v>1289.8617664596352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8280.0866403021282</v>
      </c>
      <c r="D111" s="744">
        <f>IF(D23=0,0,D77/D23)</f>
        <v>7449.9687843827614</v>
      </c>
      <c r="E111" s="744">
        <f>IF(E23=0,0,E77/E23)</f>
        <v>6945.5972551786435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958.03638206694916</v>
      </c>
      <c r="D112" s="744">
        <f>IF(D29=0,0,D77/D29)</f>
        <v>873.30251875609406</v>
      </c>
      <c r="E112" s="744">
        <f>IF(E29=0,0,E77/E29)</f>
        <v>770.62044150999509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5226.3455912360014</v>
      </c>
      <c r="D113" s="744">
        <f>IF(D30=0,0,D77/D30)</f>
        <v>4650.2603671756169</v>
      </c>
      <c r="E113" s="744">
        <f>IF(E30=0,0,E77/E30)</f>
        <v>4149.6068513043056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3" fitToHeight="5" orientation="portrait" horizontalDpi="1200" verticalDpi="1200" r:id="rId1"/>
  <headerFooter>
    <oddHeader>&amp;L&amp;"Arial,Bold"&amp;12OFFICE OF HEALTH CARE ACCESS&amp;C&amp;"Arial,Bold"&amp;12TWELVE MONTHS ACTUAL FILING&amp;R&amp;"Arial,Bold"&amp;12HARTFORD HOSPITAL</oddHeader>
    <oddFooter>&amp;L&amp;"Arial,Bold"&amp;12REPORT 700&amp;C&amp;"Arial,Bold"&amp;12PAGE &amp;P of &amp;N&amp;R&amp;"Arial,Bold"&amp;12&amp;D, &amp;T</oddFooter>
  </headerFooter>
  <rowBreaks count="2" manualBreakCount="2">
    <brk id="40" max="4" man="1"/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5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2637012215</v>
      </c>
      <c r="D12" s="76">
        <v>2773771607</v>
      </c>
      <c r="E12" s="76">
        <f t="shared" ref="E12:E21" si="0">D12-C12</f>
        <v>136759392</v>
      </c>
      <c r="F12" s="77">
        <f t="shared" ref="F12:F21" si="1">IF(C12=0,0,E12/C12)</f>
        <v>5.1861493557776334E-2</v>
      </c>
    </row>
    <row r="13" spans="1:8" ht="23.1" customHeight="1" x14ac:dyDescent="0.2">
      <c r="A13" s="74">
        <v>2</v>
      </c>
      <c r="B13" s="75" t="s">
        <v>72</v>
      </c>
      <c r="C13" s="76">
        <v>1616490066</v>
      </c>
      <c r="D13" s="76">
        <v>1721822157</v>
      </c>
      <c r="E13" s="76">
        <f t="shared" si="0"/>
        <v>105332091</v>
      </c>
      <c r="F13" s="77">
        <f t="shared" si="1"/>
        <v>6.5160988746837123E-2</v>
      </c>
    </row>
    <row r="14" spans="1:8" ht="23.1" customHeight="1" x14ac:dyDescent="0.2">
      <c r="A14" s="74">
        <v>3</v>
      </c>
      <c r="B14" s="75" t="s">
        <v>73</v>
      </c>
      <c r="C14" s="76">
        <v>25951606</v>
      </c>
      <c r="D14" s="76">
        <v>26237298</v>
      </c>
      <c r="E14" s="76">
        <f t="shared" si="0"/>
        <v>285692</v>
      </c>
      <c r="F14" s="77">
        <f t="shared" si="1"/>
        <v>1.100864432050949E-2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994570543</v>
      </c>
      <c r="D16" s="79">
        <f>D12-D13-D14-D15</f>
        <v>1025712152</v>
      </c>
      <c r="E16" s="79">
        <f t="shared" si="0"/>
        <v>31141609</v>
      </c>
      <c r="F16" s="80">
        <f t="shared" si="1"/>
        <v>3.1311614062151043E-2</v>
      </c>
    </row>
    <row r="17" spans="1:7" ht="23.1" customHeight="1" x14ac:dyDescent="0.2">
      <c r="A17" s="74">
        <v>5</v>
      </c>
      <c r="B17" s="75" t="s">
        <v>76</v>
      </c>
      <c r="C17" s="76">
        <v>14135723</v>
      </c>
      <c r="D17" s="76">
        <v>4020775</v>
      </c>
      <c r="E17" s="76">
        <f t="shared" si="0"/>
        <v>-10114948</v>
      </c>
      <c r="F17" s="77">
        <f t="shared" si="1"/>
        <v>-0.71555929611806912</v>
      </c>
      <c r="G17" s="65"/>
    </row>
    <row r="18" spans="1:7" ht="31.5" customHeight="1" x14ac:dyDescent="0.25">
      <c r="A18" s="71"/>
      <c r="B18" s="81" t="s">
        <v>77</v>
      </c>
      <c r="C18" s="79">
        <f>C16-C17</f>
        <v>980434820</v>
      </c>
      <c r="D18" s="79">
        <f>D16-D17</f>
        <v>1021691377</v>
      </c>
      <c r="E18" s="79">
        <f t="shared" si="0"/>
        <v>41256557</v>
      </c>
      <c r="F18" s="80">
        <f t="shared" si="1"/>
        <v>4.2079856976111885E-2</v>
      </c>
    </row>
    <row r="19" spans="1:7" ht="23.1" customHeight="1" x14ac:dyDescent="0.2">
      <c r="A19" s="74">
        <v>6</v>
      </c>
      <c r="B19" s="75" t="s">
        <v>78</v>
      </c>
      <c r="C19" s="76">
        <v>102066742</v>
      </c>
      <c r="D19" s="76">
        <v>99838411</v>
      </c>
      <c r="E19" s="76">
        <f t="shared" si="0"/>
        <v>-2228331</v>
      </c>
      <c r="F19" s="77">
        <f t="shared" si="1"/>
        <v>-2.1832096884213274E-2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12325759</v>
      </c>
      <c r="D20" s="76">
        <v>10037136</v>
      </c>
      <c r="E20" s="76">
        <f t="shared" si="0"/>
        <v>-2288623</v>
      </c>
      <c r="F20" s="77">
        <f t="shared" si="1"/>
        <v>-0.18567805844654273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1094827321</v>
      </c>
      <c r="D21" s="79">
        <f>SUM(D18:D20)</f>
        <v>1131566924</v>
      </c>
      <c r="E21" s="79">
        <f t="shared" si="0"/>
        <v>36739603</v>
      </c>
      <c r="F21" s="80">
        <f t="shared" si="1"/>
        <v>3.3557440790244947E-2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424422584</v>
      </c>
      <c r="D24" s="76">
        <v>414371503</v>
      </c>
      <c r="E24" s="76">
        <f t="shared" ref="E24:E33" si="2">D24-C24</f>
        <v>-10051081</v>
      </c>
      <c r="F24" s="77">
        <f t="shared" ref="F24:F33" si="3">IF(C24=0,0,E24/C24)</f>
        <v>-2.3681777028151735E-2</v>
      </c>
    </row>
    <row r="25" spans="1:7" ht="23.1" customHeight="1" x14ac:dyDescent="0.2">
      <c r="A25" s="74">
        <v>2</v>
      </c>
      <c r="B25" s="75" t="s">
        <v>83</v>
      </c>
      <c r="C25" s="76">
        <v>100250753</v>
      </c>
      <c r="D25" s="76">
        <v>73370803</v>
      </c>
      <c r="E25" s="76">
        <f t="shared" si="2"/>
        <v>-26879950</v>
      </c>
      <c r="F25" s="77">
        <f t="shared" si="3"/>
        <v>-0.26812716309472506</v>
      </c>
    </row>
    <row r="26" spans="1:7" ht="23.1" customHeight="1" x14ac:dyDescent="0.2">
      <c r="A26" s="74">
        <v>3</v>
      </c>
      <c r="B26" s="75" t="s">
        <v>84</v>
      </c>
      <c r="C26" s="76">
        <v>55612217</v>
      </c>
      <c r="D26" s="76">
        <v>55666273</v>
      </c>
      <c r="E26" s="76">
        <f t="shared" si="2"/>
        <v>54056</v>
      </c>
      <c r="F26" s="77">
        <f t="shared" si="3"/>
        <v>9.7201663440247307E-4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158174965</v>
      </c>
      <c r="D27" s="76">
        <v>189624778</v>
      </c>
      <c r="E27" s="76">
        <f t="shared" si="2"/>
        <v>31449813</v>
      </c>
      <c r="F27" s="77">
        <f t="shared" si="3"/>
        <v>0.19882927111758805</v>
      </c>
    </row>
    <row r="28" spans="1:7" ht="23.1" customHeight="1" x14ac:dyDescent="0.2">
      <c r="A28" s="74">
        <v>5</v>
      </c>
      <c r="B28" s="75" t="s">
        <v>86</v>
      </c>
      <c r="C28" s="76">
        <v>48151764</v>
      </c>
      <c r="D28" s="76">
        <v>45004340</v>
      </c>
      <c r="E28" s="76">
        <f t="shared" si="2"/>
        <v>-3147424</v>
      </c>
      <c r="F28" s="77">
        <f t="shared" si="3"/>
        <v>-6.5364666598714843E-2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11557893</v>
      </c>
      <c r="D30" s="76">
        <v>12644818</v>
      </c>
      <c r="E30" s="76">
        <f t="shared" si="2"/>
        <v>1086925</v>
      </c>
      <c r="F30" s="77">
        <f t="shared" si="3"/>
        <v>9.4041794641981896E-2</v>
      </c>
    </row>
    <row r="31" spans="1:7" ht="23.1" customHeight="1" x14ac:dyDescent="0.2">
      <c r="A31" s="74">
        <v>8</v>
      </c>
      <c r="B31" s="75" t="s">
        <v>89</v>
      </c>
      <c r="C31" s="76">
        <v>9083056</v>
      </c>
      <c r="D31" s="76">
        <v>10440838</v>
      </c>
      <c r="E31" s="76">
        <f t="shared" si="2"/>
        <v>1357782</v>
      </c>
      <c r="F31" s="77">
        <f t="shared" si="3"/>
        <v>0.14948515125305845</v>
      </c>
    </row>
    <row r="32" spans="1:7" ht="23.1" customHeight="1" x14ac:dyDescent="0.2">
      <c r="A32" s="74">
        <v>9</v>
      </c>
      <c r="B32" s="75" t="s">
        <v>90</v>
      </c>
      <c r="C32" s="76">
        <v>226046176</v>
      </c>
      <c r="D32" s="76">
        <v>281797128</v>
      </c>
      <c r="E32" s="76">
        <f t="shared" si="2"/>
        <v>55750952</v>
      </c>
      <c r="F32" s="77">
        <f t="shared" si="3"/>
        <v>0.24663523615635063</v>
      </c>
    </row>
    <row r="33" spans="1:6" ht="23.1" customHeight="1" x14ac:dyDescent="0.25">
      <c r="A33" s="71"/>
      <c r="B33" s="78" t="s">
        <v>91</v>
      </c>
      <c r="C33" s="79">
        <f>SUM(C24:C32)</f>
        <v>1033299408</v>
      </c>
      <c r="D33" s="79">
        <f>SUM(D24:D32)</f>
        <v>1082920481</v>
      </c>
      <c r="E33" s="79">
        <f t="shared" si="2"/>
        <v>49621073</v>
      </c>
      <c r="F33" s="80">
        <f t="shared" si="3"/>
        <v>4.8021969833548964E-2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61527913</v>
      </c>
      <c r="D35" s="79">
        <f>+D21-D33</f>
        <v>48646443</v>
      </c>
      <c r="E35" s="79">
        <f>D35-C35</f>
        <v>-12881470</v>
      </c>
      <c r="F35" s="80">
        <f>IF(C35=0,0,E35/C35)</f>
        <v>-0.20935977464407091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-4985221</v>
      </c>
      <c r="D38" s="76">
        <v>20249256</v>
      </c>
      <c r="E38" s="76">
        <f>D38-C38</f>
        <v>25234477</v>
      </c>
      <c r="F38" s="77">
        <f>IF(C38=0,0,E38/C38)</f>
        <v>-5.0618572376229656</v>
      </c>
    </row>
    <row r="39" spans="1:6" ht="23.1" customHeight="1" x14ac:dyDescent="0.2">
      <c r="A39" s="85">
        <v>2</v>
      </c>
      <c r="B39" s="75" t="s">
        <v>95</v>
      </c>
      <c r="C39" s="76">
        <v>51311</v>
      </c>
      <c r="D39" s="76">
        <v>67463</v>
      </c>
      <c r="E39" s="76">
        <f>D39-C39</f>
        <v>16152</v>
      </c>
      <c r="F39" s="77">
        <f>IF(C39=0,0,E39/C39)</f>
        <v>0.31478630313188205</v>
      </c>
    </row>
    <row r="40" spans="1:6" ht="23.1" customHeight="1" x14ac:dyDescent="0.2">
      <c r="A40" s="85">
        <v>3</v>
      </c>
      <c r="B40" s="75" t="s">
        <v>96</v>
      </c>
      <c r="C40" s="76">
        <v>1200649</v>
      </c>
      <c r="D40" s="76">
        <v>-4780122</v>
      </c>
      <c r="E40" s="76">
        <f>D40-C40</f>
        <v>-5980771</v>
      </c>
      <c r="F40" s="77">
        <f>IF(C40=0,0,E40/C40)</f>
        <v>-4.9812817900985218</v>
      </c>
    </row>
    <row r="41" spans="1:6" ht="23.1" customHeight="1" x14ac:dyDescent="0.25">
      <c r="A41" s="83"/>
      <c r="B41" s="78" t="s">
        <v>97</v>
      </c>
      <c r="C41" s="79">
        <f>SUM(C38:C40)</f>
        <v>-3733261</v>
      </c>
      <c r="D41" s="79">
        <f>SUM(D38:D40)</f>
        <v>15536597</v>
      </c>
      <c r="E41" s="79">
        <f>D41-C41</f>
        <v>19269858</v>
      </c>
      <c r="F41" s="80">
        <f>IF(C41=0,0,E41/C41)</f>
        <v>-5.16166911448195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57794652</v>
      </c>
      <c r="D43" s="79">
        <f>D35+D41</f>
        <v>64183040</v>
      </c>
      <c r="E43" s="79">
        <f>D43-C43</f>
        <v>6388388</v>
      </c>
      <c r="F43" s="80">
        <f>IF(C43=0,0,E43/C43)</f>
        <v>0.11053597139057088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57794652</v>
      </c>
      <c r="D50" s="79">
        <f>D43+D48</f>
        <v>64183040</v>
      </c>
      <c r="E50" s="79">
        <f>D50-C50</f>
        <v>6388388</v>
      </c>
      <c r="F50" s="80">
        <f>IF(C50=0,0,E50/C50)</f>
        <v>0.11053597139057088</v>
      </c>
    </row>
    <row r="51" spans="1:6" ht="23.1" customHeight="1" x14ac:dyDescent="0.2">
      <c r="A51" s="85"/>
      <c r="B51" s="75" t="s">
        <v>104</v>
      </c>
      <c r="C51" s="76">
        <v>2186012</v>
      </c>
      <c r="D51" s="76">
        <v>1757281</v>
      </c>
      <c r="E51" s="76">
        <f>D51-C51</f>
        <v>-428731</v>
      </c>
      <c r="F51" s="77">
        <f>IF(C51=0,0,E51/C51)</f>
        <v>-0.19612472392649263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FILING&amp;RHARTFORD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57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639569117</v>
      </c>
      <c r="D14" s="113">
        <v>643314821</v>
      </c>
      <c r="E14" s="113">
        <f t="shared" ref="E14:E25" si="0">D14-C14</f>
        <v>3745704</v>
      </c>
      <c r="F14" s="114">
        <f t="shared" ref="F14:F25" si="1">IF(C14=0,0,E14/C14)</f>
        <v>5.8566054870970259E-3</v>
      </c>
    </row>
    <row r="15" spans="1:6" x14ac:dyDescent="0.2">
      <c r="A15" s="115">
        <v>2</v>
      </c>
      <c r="B15" s="116" t="s">
        <v>114</v>
      </c>
      <c r="C15" s="113">
        <v>199005289</v>
      </c>
      <c r="D15" s="113">
        <v>221180209</v>
      </c>
      <c r="E15" s="113">
        <f t="shared" si="0"/>
        <v>22174920</v>
      </c>
      <c r="F15" s="114">
        <f t="shared" si="1"/>
        <v>0.11142879725171526</v>
      </c>
    </row>
    <row r="16" spans="1:6" x14ac:dyDescent="0.2">
      <c r="A16" s="115">
        <v>3</v>
      </c>
      <c r="B16" s="116" t="s">
        <v>115</v>
      </c>
      <c r="C16" s="113">
        <v>313567661</v>
      </c>
      <c r="D16" s="113">
        <v>345375302</v>
      </c>
      <c r="E16" s="113">
        <f t="shared" si="0"/>
        <v>31807641</v>
      </c>
      <c r="F16" s="114">
        <f t="shared" si="1"/>
        <v>0.10143788711680954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10920271</v>
      </c>
      <c r="D18" s="113">
        <v>13264479</v>
      </c>
      <c r="E18" s="113">
        <f t="shared" si="0"/>
        <v>2344208</v>
      </c>
      <c r="F18" s="114">
        <f t="shared" si="1"/>
        <v>0.21466573494375735</v>
      </c>
    </row>
    <row r="19" spans="1:6" x14ac:dyDescent="0.2">
      <c r="A19" s="115">
        <v>6</v>
      </c>
      <c r="B19" s="116" t="s">
        <v>118</v>
      </c>
      <c r="C19" s="113">
        <v>14864410</v>
      </c>
      <c r="D19" s="113">
        <v>10599820</v>
      </c>
      <c r="E19" s="113">
        <f t="shared" si="0"/>
        <v>-4264590</v>
      </c>
      <c r="F19" s="114">
        <f t="shared" si="1"/>
        <v>-0.28689937912100111</v>
      </c>
    </row>
    <row r="20" spans="1:6" x14ac:dyDescent="0.2">
      <c r="A20" s="115">
        <v>7</v>
      </c>
      <c r="B20" s="116" t="s">
        <v>119</v>
      </c>
      <c r="C20" s="113">
        <v>431602256</v>
      </c>
      <c r="D20" s="113">
        <v>461286753</v>
      </c>
      <c r="E20" s="113">
        <f t="shared" si="0"/>
        <v>29684497</v>
      </c>
      <c r="F20" s="114">
        <f t="shared" si="1"/>
        <v>6.8777437066964722E-2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13460763</v>
      </c>
      <c r="D22" s="113">
        <v>16722127</v>
      </c>
      <c r="E22" s="113">
        <f t="shared" si="0"/>
        <v>3261364</v>
      </c>
      <c r="F22" s="114">
        <f t="shared" si="1"/>
        <v>0.24228671138478555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1622989767</v>
      </c>
      <c r="D25" s="119">
        <f>SUM(D14:D24)</f>
        <v>1711743511</v>
      </c>
      <c r="E25" s="119">
        <f t="shared" si="0"/>
        <v>88753744</v>
      </c>
      <c r="F25" s="120">
        <f t="shared" si="1"/>
        <v>5.4685338012978368E-2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272629398</v>
      </c>
      <c r="D27" s="113">
        <v>276868462</v>
      </c>
      <c r="E27" s="113">
        <f t="shared" ref="E27:E38" si="2">D27-C27</f>
        <v>4239064</v>
      </c>
      <c r="F27" s="114">
        <f t="shared" ref="F27:F38" si="3">IF(C27=0,0,E27/C27)</f>
        <v>1.55488147320048E-2</v>
      </c>
    </row>
    <row r="28" spans="1:6" x14ac:dyDescent="0.2">
      <c r="A28" s="115">
        <v>2</v>
      </c>
      <c r="B28" s="116" t="s">
        <v>114</v>
      </c>
      <c r="C28" s="113">
        <v>103968716</v>
      </c>
      <c r="D28" s="113">
        <v>112928411</v>
      </c>
      <c r="E28" s="113">
        <f t="shared" si="2"/>
        <v>8959695</v>
      </c>
      <c r="F28" s="114">
        <f t="shared" si="3"/>
        <v>8.6176836116741123E-2</v>
      </c>
    </row>
    <row r="29" spans="1:6" x14ac:dyDescent="0.2">
      <c r="A29" s="115">
        <v>3</v>
      </c>
      <c r="B29" s="116" t="s">
        <v>115</v>
      </c>
      <c r="C29" s="113">
        <v>228280330</v>
      </c>
      <c r="D29" s="113">
        <v>246411380</v>
      </c>
      <c r="E29" s="113">
        <f t="shared" si="2"/>
        <v>18131050</v>
      </c>
      <c r="F29" s="114">
        <f t="shared" si="3"/>
        <v>7.9424495312408208E-2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5310131</v>
      </c>
      <c r="D31" s="113">
        <v>5701538</v>
      </c>
      <c r="E31" s="113">
        <f t="shared" si="2"/>
        <v>391407</v>
      </c>
      <c r="F31" s="114">
        <f t="shared" si="3"/>
        <v>7.3709480990205328E-2</v>
      </c>
    </row>
    <row r="32" spans="1:6" x14ac:dyDescent="0.2">
      <c r="A32" s="115">
        <v>6</v>
      </c>
      <c r="B32" s="116" t="s">
        <v>118</v>
      </c>
      <c r="C32" s="113">
        <v>11413728</v>
      </c>
      <c r="D32" s="113">
        <v>7125815</v>
      </c>
      <c r="E32" s="113">
        <f t="shared" si="2"/>
        <v>-4287913</v>
      </c>
      <c r="F32" s="114">
        <f t="shared" si="3"/>
        <v>-0.37568032110104604</v>
      </c>
    </row>
    <row r="33" spans="1:6" x14ac:dyDescent="0.2">
      <c r="A33" s="115">
        <v>7</v>
      </c>
      <c r="B33" s="116" t="s">
        <v>119</v>
      </c>
      <c r="C33" s="113">
        <v>363310264</v>
      </c>
      <c r="D33" s="113">
        <v>381801921</v>
      </c>
      <c r="E33" s="113">
        <f t="shared" si="2"/>
        <v>18491657</v>
      </c>
      <c r="F33" s="114">
        <f t="shared" si="3"/>
        <v>5.0897700484454245E-2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28800715</v>
      </c>
      <c r="D35" s="113">
        <v>31190567</v>
      </c>
      <c r="E35" s="113">
        <f t="shared" si="2"/>
        <v>2389852</v>
      </c>
      <c r="F35" s="114">
        <f t="shared" si="3"/>
        <v>8.2978912155479478E-2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1013713282</v>
      </c>
      <c r="D38" s="119">
        <f>SUM(D27:D37)</f>
        <v>1062028094</v>
      </c>
      <c r="E38" s="119">
        <f t="shared" si="2"/>
        <v>48314812</v>
      </c>
      <c r="F38" s="120">
        <f t="shared" si="3"/>
        <v>4.7661220246298402E-2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912198515</v>
      </c>
      <c r="D41" s="119">
        <f t="shared" si="4"/>
        <v>920183283</v>
      </c>
      <c r="E41" s="123">
        <f t="shared" ref="E41:E52" si="5">D41-C41</f>
        <v>7984768</v>
      </c>
      <c r="F41" s="124">
        <f t="shared" ref="F41:F52" si="6">IF(C41=0,0,E41/C41)</f>
        <v>8.7533227347996716E-3</v>
      </c>
    </row>
    <row r="42" spans="1:6" ht="15.75" x14ac:dyDescent="0.25">
      <c r="A42" s="121">
        <v>2</v>
      </c>
      <c r="B42" s="122" t="s">
        <v>114</v>
      </c>
      <c r="C42" s="119">
        <f t="shared" si="4"/>
        <v>302974005</v>
      </c>
      <c r="D42" s="119">
        <f t="shared" si="4"/>
        <v>334108620</v>
      </c>
      <c r="E42" s="123">
        <f t="shared" si="5"/>
        <v>31134615</v>
      </c>
      <c r="F42" s="124">
        <f t="shared" si="6"/>
        <v>0.10276332122948964</v>
      </c>
    </row>
    <row r="43" spans="1:6" ht="15.75" x14ac:dyDescent="0.25">
      <c r="A43" s="121">
        <v>3</v>
      </c>
      <c r="B43" s="122" t="s">
        <v>115</v>
      </c>
      <c r="C43" s="119">
        <f t="shared" si="4"/>
        <v>541847991</v>
      </c>
      <c r="D43" s="119">
        <f t="shared" si="4"/>
        <v>591786682</v>
      </c>
      <c r="E43" s="123">
        <f t="shared" si="5"/>
        <v>49938691</v>
      </c>
      <c r="F43" s="124">
        <f t="shared" si="6"/>
        <v>9.2163654437172213E-2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16230402</v>
      </c>
      <c r="D45" s="119">
        <f t="shared" si="4"/>
        <v>18966017</v>
      </c>
      <c r="E45" s="123">
        <f t="shared" si="5"/>
        <v>2735615</v>
      </c>
      <c r="F45" s="124">
        <f t="shared" si="6"/>
        <v>0.16854881351675702</v>
      </c>
    </row>
    <row r="46" spans="1:6" ht="15.75" x14ac:dyDescent="0.25">
      <c r="A46" s="121">
        <v>6</v>
      </c>
      <c r="B46" s="122" t="s">
        <v>118</v>
      </c>
      <c r="C46" s="119">
        <f t="shared" si="4"/>
        <v>26278138</v>
      </c>
      <c r="D46" s="119">
        <f t="shared" si="4"/>
        <v>17725635</v>
      </c>
      <c r="E46" s="123">
        <f t="shared" si="5"/>
        <v>-8552503</v>
      </c>
      <c r="F46" s="124">
        <f t="shared" si="6"/>
        <v>-0.32546076894793685</v>
      </c>
    </row>
    <row r="47" spans="1:6" ht="15.75" x14ac:dyDescent="0.25">
      <c r="A47" s="121">
        <v>7</v>
      </c>
      <c r="B47" s="122" t="s">
        <v>119</v>
      </c>
      <c r="C47" s="119">
        <f t="shared" si="4"/>
        <v>794912520</v>
      </c>
      <c r="D47" s="119">
        <f t="shared" si="4"/>
        <v>843088674</v>
      </c>
      <c r="E47" s="123">
        <f t="shared" si="5"/>
        <v>48176154</v>
      </c>
      <c r="F47" s="124">
        <f t="shared" si="6"/>
        <v>6.0605604752583343E-2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42261478</v>
      </c>
      <c r="D49" s="119">
        <f t="shared" si="4"/>
        <v>47912694</v>
      </c>
      <c r="E49" s="123">
        <f t="shared" si="5"/>
        <v>5651216</v>
      </c>
      <c r="F49" s="124">
        <f t="shared" si="6"/>
        <v>0.13372026411381069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2636703049</v>
      </c>
      <c r="D52" s="128">
        <f>SUM(D41:D51)</f>
        <v>2773771605</v>
      </c>
      <c r="E52" s="127">
        <f t="shared" si="5"/>
        <v>137068556</v>
      </c>
      <c r="F52" s="129">
        <f t="shared" si="6"/>
        <v>5.1984828572934988E-2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229464353</v>
      </c>
      <c r="D57" s="113">
        <v>212329154</v>
      </c>
      <c r="E57" s="113">
        <f t="shared" ref="E57:E68" si="7">D57-C57</f>
        <v>-17135199</v>
      </c>
      <c r="F57" s="114">
        <f t="shared" ref="F57:F68" si="8">IF(C57=0,0,E57/C57)</f>
        <v>-7.4674775301591181E-2</v>
      </c>
    </row>
    <row r="58" spans="1:6" x14ac:dyDescent="0.2">
      <c r="A58" s="115">
        <v>2</v>
      </c>
      <c r="B58" s="116" t="s">
        <v>114</v>
      </c>
      <c r="C58" s="113">
        <v>66744868</v>
      </c>
      <c r="D58" s="113">
        <v>74649279</v>
      </c>
      <c r="E58" s="113">
        <f t="shared" si="7"/>
        <v>7904411</v>
      </c>
      <c r="F58" s="114">
        <f t="shared" si="8"/>
        <v>0.11842724747017254</v>
      </c>
    </row>
    <row r="59" spans="1:6" x14ac:dyDescent="0.2">
      <c r="A59" s="115">
        <v>3</v>
      </c>
      <c r="B59" s="116" t="s">
        <v>115</v>
      </c>
      <c r="C59" s="113">
        <v>73957630</v>
      </c>
      <c r="D59" s="113">
        <v>74281238</v>
      </c>
      <c r="E59" s="113">
        <f t="shared" si="7"/>
        <v>323608</v>
      </c>
      <c r="F59" s="114">
        <f t="shared" si="8"/>
        <v>4.3755863999427784E-3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4501295</v>
      </c>
      <c r="D61" s="113">
        <v>1824412</v>
      </c>
      <c r="E61" s="113">
        <f t="shared" si="7"/>
        <v>-2676883</v>
      </c>
      <c r="F61" s="114">
        <f t="shared" si="8"/>
        <v>-0.59469174981866335</v>
      </c>
    </row>
    <row r="62" spans="1:6" x14ac:dyDescent="0.2">
      <c r="A62" s="115">
        <v>6</v>
      </c>
      <c r="B62" s="116" t="s">
        <v>118</v>
      </c>
      <c r="C62" s="113">
        <v>13642844</v>
      </c>
      <c r="D62" s="113">
        <v>8649484</v>
      </c>
      <c r="E62" s="113">
        <f t="shared" si="7"/>
        <v>-4993360</v>
      </c>
      <c r="F62" s="114">
        <f t="shared" si="8"/>
        <v>-0.36600579761815061</v>
      </c>
    </row>
    <row r="63" spans="1:6" x14ac:dyDescent="0.2">
      <c r="A63" s="115">
        <v>7</v>
      </c>
      <c r="B63" s="116" t="s">
        <v>119</v>
      </c>
      <c r="C63" s="113">
        <v>290227730</v>
      </c>
      <c r="D63" s="113">
        <v>322003386</v>
      </c>
      <c r="E63" s="113">
        <f t="shared" si="7"/>
        <v>31775656</v>
      </c>
      <c r="F63" s="114">
        <f t="shared" si="8"/>
        <v>0.10948525146098204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6290289</v>
      </c>
      <c r="D65" s="113">
        <v>7673864</v>
      </c>
      <c r="E65" s="113">
        <f t="shared" si="7"/>
        <v>1383575</v>
      </c>
      <c r="F65" s="114">
        <f t="shared" si="8"/>
        <v>0.21995412293457423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684829009</v>
      </c>
      <c r="D68" s="119">
        <f>SUM(D57:D67)</f>
        <v>701410817</v>
      </c>
      <c r="E68" s="119">
        <f t="shared" si="7"/>
        <v>16581808</v>
      </c>
      <c r="F68" s="120">
        <f t="shared" si="8"/>
        <v>2.421306308886223E-2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69982717</v>
      </c>
      <c r="D70" s="113">
        <v>77470231</v>
      </c>
      <c r="E70" s="113">
        <f t="shared" ref="E70:E81" si="9">D70-C70</f>
        <v>7487514</v>
      </c>
      <c r="F70" s="114">
        <f t="shared" ref="F70:F81" si="10">IF(C70=0,0,E70/C70)</f>
        <v>0.10699090176793222</v>
      </c>
    </row>
    <row r="71" spans="1:6" x14ac:dyDescent="0.2">
      <c r="A71" s="115">
        <v>2</v>
      </c>
      <c r="B71" s="116" t="s">
        <v>114</v>
      </c>
      <c r="C71" s="113">
        <v>29993679</v>
      </c>
      <c r="D71" s="113">
        <v>31765283</v>
      </c>
      <c r="E71" s="113">
        <f t="shared" si="9"/>
        <v>1771604</v>
      </c>
      <c r="F71" s="114">
        <f t="shared" si="10"/>
        <v>5.9065911854294363E-2</v>
      </c>
    </row>
    <row r="72" spans="1:6" x14ac:dyDescent="0.2">
      <c r="A72" s="115">
        <v>3</v>
      </c>
      <c r="B72" s="116" t="s">
        <v>115</v>
      </c>
      <c r="C72" s="113">
        <v>35147982</v>
      </c>
      <c r="D72" s="113">
        <v>60175639</v>
      </c>
      <c r="E72" s="113">
        <f t="shared" si="9"/>
        <v>25027657</v>
      </c>
      <c r="F72" s="114">
        <f t="shared" si="10"/>
        <v>0.71206526166993034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3177110</v>
      </c>
      <c r="D74" s="113">
        <v>0</v>
      </c>
      <c r="E74" s="113">
        <f t="shared" si="9"/>
        <v>-3177110</v>
      </c>
      <c r="F74" s="114">
        <f t="shared" si="10"/>
        <v>-1</v>
      </c>
    </row>
    <row r="75" spans="1:6" x14ac:dyDescent="0.2">
      <c r="A75" s="115">
        <v>6</v>
      </c>
      <c r="B75" s="116" t="s">
        <v>118</v>
      </c>
      <c r="C75" s="113">
        <v>8800060</v>
      </c>
      <c r="D75" s="113">
        <v>3487994</v>
      </c>
      <c r="E75" s="113">
        <f t="shared" si="9"/>
        <v>-5312066</v>
      </c>
      <c r="F75" s="114">
        <f t="shared" si="10"/>
        <v>-0.60363974791080965</v>
      </c>
    </row>
    <row r="76" spans="1:6" x14ac:dyDescent="0.2">
      <c r="A76" s="115">
        <v>7</v>
      </c>
      <c r="B76" s="116" t="s">
        <v>119</v>
      </c>
      <c r="C76" s="113">
        <v>196421478</v>
      </c>
      <c r="D76" s="113">
        <v>215707739</v>
      </c>
      <c r="E76" s="113">
        <f t="shared" si="9"/>
        <v>19286261</v>
      </c>
      <c r="F76" s="114">
        <f t="shared" si="10"/>
        <v>9.8188147224918046E-2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9361750</v>
      </c>
      <c r="D78" s="113">
        <v>12548459</v>
      </c>
      <c r="E78" s="113">
        <f t="shared" si="9"/>
        <v>3186709</v>
      </c>
      <c r="F78" s="114">
        <f t="shared" si="10"/>
        <v>0.34039672069858734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352884776</v>
      </c>
      <c r="D81" s="119">
        <f>SUM(D70:D80)</f>
        <v>401155345</v>
      </c>
      <c r="E81" s="119">
        <f t="shared" si="9"/>
        <v>48270569</v>
      </c>
      <c r="F81" s="120">
        <f t="shared" si="10"/>
        <v>0.13678847114674053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299447070</v>
      </c>
      <c r="D84" s="119">
        <f t="shared" si="11"/>
        <v>289799385</v>
      </c>
      <c r="E84" s="119">
        <f t="shared" ref="E84:E95" si="12">D84-C84</f>
        <v>-9647685</v>
      </c>
      <c r="F84" s="120">
        <f t="shared" ref="F84:F95" si="13">IF(C84=0,0,E84/C84)</f>
        <v>-3.2218331606984833E-2</v>
      </c>
    </row>
    <row r="85" spans="1:6" ht="15.75" x14ac:dyDescent="0.25">
      <c r="A85" s="130">
        <v>2</v>
      </c>
      <c r="B85" s="122" t="s">
        <v>114</v>
      </c>
      <c r="C85" s="119">
        <f t="shared" si="11"/>
        <v>96738547</v>
      </c>
      <c r="D85" s="119">
        <f t="shared" si="11"/>
        <v>106414562</v>
      </c>
      <c r="E85" s="119">
        <f t="shared" si="12"/>
        <v>9676015</v>
      </c>
      <c r="F85" s="120">
        <f t="shared" si="13"/>
        <v>0.10002233132569172</v>
      </c>
    </row>
    <row r="86" spans="1:6" ht="15.75" x14ac:dyDescent="0.25">
      <c r="A86" s="130">
        <v>3</v>
      </c>
      <c r="B86" s="122" t="s">
        <v>115</v>
      </c>
      <c r="C86" s="119">
        <f t="shared" si="11"/>
        <v>109105612</v>
      </c>
      <c r="D86" s="119">
        <f t="shared" si="11"/>
        <v>134456877</v>
      </c>
      <c r="E86" s="119">
        <f t="shared" si="12"/>
        <v>25351265</v>
      </c>
      <c r="F86" s="120">
        <f t="shared" si="13"/>
        <v>0.23235527976324444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7678405</v>
      </c>
      <c r="D88" s="119">
        <f t="shared" si="11"/>
        <v>1824412</v>
      </c>
      <c r="E88" s="119">
        <f t="shared" si="12"/>
        <v>-5853993</v>
      </c>
      <c r="F88" s="120">
        <f t="shared" si="13"/>
        <v>-0.76239700823282963</v>
      </c>
    </row>
    <row r="89" spans="1:6" ht="15.75" x14ac:dyDescent="0.25">
      <c r="A89" s="130">
        <v>6</v>
      </c>
      <c r="B89" s="122" t="s">
        <v>118</v>
      </c>
      <c r="C89" s="119">
        <f t="shared" si="11"/>
        <v>22442904</v>
      </c>
      <c r="D89" s="119">
        <f t="shared" si="11"/>
        <v>12137478</v>
      </c>
      <c r="E89" s="119">
        <f t="shared" si="12"/>
        <v>-10305426</v>
      </c>
      <c r="F89" s="120">
        <f t="shared" si="13"/>
        <v>-0.4591841590553522</v>
      </c>
    </row>
    <row r="90" spans="1:6" ht="15.75" x14ac:dyDescent="0.25">
      <c r="A90" s="130">
        <v>7</v>
      </c>
      <c r="B90" s="122" t="s">
        <v>119</v>
      </c>
      <c r="C90" s="119">
        <f t="shared" si="11"/>
        <v>486649208</v>
      </c>
      <c r="D90" s="119">
        <f t="shared" si="11"/>
        <v>537711125</v>
      </c>
      <c r="E90" s="119">
        <f t="shared" si="12"/>
        <v>51061917</v>
      </c>
      <c r="F90" s="120">
        <f t="shared" si="13"/>
        <v>0.10492551135519365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15652039</v>
      </c>
      <c r="D92" s="119">
        <f t="shared" si="11"/>
        <v>20222323</v>
      </c>
      <c r="E92" s="119">
        <f t="shared" si="12"/>
        <v>4570284</v>
      </c>
      <c r="F92" s="120">
        <f t="shared" si="13"/>
        <v>0.29199288348310404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1037713785</v>
      </c>
      <c r="D95" s="128">
        <f>SUM(D84:D94)</f>
        <v>1102566162</v>
      </c>
      <c r="E95" s="128">
        <f t="shared" si="12"/>
        <v>64852377</v>
      </c>
      <c r="F95" s="129">
        <f t="shared" si="13"/>
        <v>6.2495437506402594E-2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13805</v>
      </c>
      <c r="D100" s="133">
        <v>13414</v>
      </c>
      <c r="E100" s="133">
        <f t="shared" ref="E100:E111" si="14">D100-C100</f>
        <v>-391</v>
      </c>
      <c r="F100" s="114">
        <f t="shared" ref="F100:F111" si="15">IF(C100=0,0,E100/C100)</f>
        <v>-2.8323071350959798E-2</v>
      </c>
    </row>
    <row r="101" spans="1:6" x14ac:dyDescent="0.2">
      <c r="A101" s="115">
        <v>2</v>
      </c>
      <c r="B101" s="116" t="s">
        <v>114</v>
      </c>
      <c r="C101" s="133">
        <v>4187</v>
      </c>
      <c r="D101" s="133">
        <v>4412</v>
      </c>
      <c r="E101" s="133">
        <f t="shared" si="14"/>
        <v>225</v>
      </c>
      <c r="F101" s="114">
        <f t="shared" si="15"/>
        <v>5.3737759732505372E-2</v>
      </c>
    </row>
    <row r="102" spans="1:6" x14ac:dyDescent="0.2">
      <c r="A102" s="115">
        <v>3</v>
      </c>
      <c r="B102" s="116" t="s">
        <v>115</v>
      </c>
      <c r="C102" s="133">
        <v>10634</v>
      </c>
      <c r="D102" s="133">
        <v>10567</v>
      </c>
      <c r="E102" s="133">
        <f t="shared" si="14"/>
        <v>-67</v>
      </c>
      <c r="F102" s="114">
        <f t="shared" si="15"/>
        <v>-6.3005454203498212E-3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332</v>
      </c>
      <c r="D104" s="133">
        <v>322</v>
      </c>
      <c r="E104" s="133">
        <f t="shared" si="14"/>
        <v>-10</v>
      </c>
      <c r="F104" s="114">
        <f t="shared" si="15"/>
        <v>-3.0120481927710843E-2</v>
      </c>
    </row>
    <row r="105" spans="1:6" x14ac:dyDescent="0.2">
      <c r="A105" s="115">
        <v>6</v>
      </c>
      <c r="B105" s="116" t="s">
        <v>118</v>
      </c>
      <c r="C105" s="133">
        <v>286</v>
      </c>
      <c r="D105" s="133">
        <v>272</v>
      </c>
      <c r="E105" s="133">
        <f t="shared" si="14"/>
        <v>-14</v>
      </c>
      <c r="F105" s="114">
        <f t="shared" si="15"/>
        <v>-4.8951048951048952E-2</v>
      </c>
    </row>
    <row r="106" spans="1:6" x14ac:dyDescent="0.2">
      <c r="A106" s="115">
        <v>7</v>
      </c>
      <c r="B106" s="116" t="s">
        <v>119</v>
      </c>
      <c r="C106" s="133">
        <v>13700</v>
      </c>
      <c r="D106" s="133">
        <v>13802</v>
      </c>
      <c r="E106" s="133">
        <f t="shared" si="14"/>
        <v>102</v>
      </c>
      <c r="F106" s="114">
        <f t="shared" si="15"/>
        <v>7.445255474452555E-3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406</v>
      </c>
      <c r="D108" s="133">
        <v>547</v>
      </c>
      <c r="E108" s="133">
        <f t="shared" si="14"/>
        <v>141</v>
      </c>
      <c r="F108" s="114">
        <f t="shared" si="15"/>
        <v>0.34729064039408869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43350</v>
      </c>
      <c r="D111" s="134">
        <f>SUM(D100:D110)</f>
        <v>43336</v>
      </c>
      <c r="E111" s="134">
        <f t="shared" si="14"/>
        <v>-14</v>
      </c>
      <c r="F111" s="120">
        <f t="shared" si="15"/>
        <v>-3.2295271049596311E-4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85256</v>
      </c>
      <c r="D113" s="133">
        <v>81973</v>
      </c>
      <c r="E113" s="133">
        <f t="shared" ref="E113:E124" si="16">D113-C113</f>
        <v>-3283</v>
      </c>
      <c r="F113" s="114">
        <f t="shared" ref="F113:F124" si="17">IF(C113=0,0,E113/C113)</f>
        <v>-3.8507553720559258E-2</v>
      </c>
    </row>
    <row r="114" spans="1:6" x14ac:dyDescent="0.2">
      <c r="A114" s="115">
        <v>2</v>
      </c>
      <c r="B114" s="116" t="s">
        <v>114</v>
      </c>
      <c r="C114" s="133">
        <v>25785</v>
      </c>
      <c r="D114" s="133">
        <v>27709</v>
      </c>
      <c r="E114" s="133">
        <f t="shared" si="16"/>
        <v>1924</v>
      </c>
      <c r="F114" s="114">
        <f t="shared" si="17"/>
        <v>7.4617025402365714E-2</v>
      </c>
    </row>
    <row r="115" spans="1:6" x14ac:dyDescent="0.2">
      <c r="A115" s="115">
        <v>3</v>
      </c>
      <c r="B115" s="116" t="s">
        <v>115</v>
      </c>
      <c r="C115" s="133">
        <v>55246</v>
      </c>
      <c r="D115" s="133">
        <v>56849</v>
      </c>
      <c r="E115" s="133">
        <f t="shared" si="16"/>
        <v>1603</v>
      </c>
      <c r="F115" s="114">
        <f t="shared" si="17"/>
        <v>2.9015675343011259E-2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1983</v>
      </c>
      <c r="D117" s="133">
        <v>2033</v>
      </c>
      <c r="E117" s="133">
        <f t="shared" si="16"/>
        <v>50</v>
      </c>
      <c r="F117" s="114">
        <f t="shared" si="17"/>
        <v>2.5214321734745335E-2</v>
      </c>
    </row>
    <row r="118" spans="1:6" x14ac:dyDescent="0.2">
      <c r="A118" s="115">
        <v>6</v>
      </c>
      <c r="B118" s="116" t="s">
        <v>118</v>
      </c>
      <c r="C118" s="133">
        <v>1545</v>
      </c>
      <c r="D118" s="133">
        <v>1344</v>
      </c>
      <c r="E118" s="133">
        <f t="shared" si="16"/>
        <v>-201</v>
      </c>
      <c r="F118" s="114">
        <f t="shared" si="17"/>
        <v>-0.13009708737864079</v>
      </c>
    </row>
    <row r="119" spans="1:6" x14ac:dyDescent="0.2">
      <c r="A119" s="115">
        <v>7</v>
      </c>
      <c r="B119" s="116" t="s">
        <v>119</v>
      </c>
      <c r="C119" s="133">
        <v>59378</v>
      </c>
      <c r="D119" s="133">
        <v>60804</v>
      </c>
      <c r="E119" s="133">
        <f t="shared" si="16"/>
        <v>1426</v>
      </c>
      <c r="F119" s="114">
        <f t="shared" si="17"/>
        <v>2.4015628684024386E-2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1642</v>
      </c>
      <c r="D121" s="133">
        <v>2642</v>
      </c>
      <c r="E121" s="133">
        <f t="shared" si="16"/>
        <v>1000</v>
      </c>
      <c r="F121" s="114">
        <f t="shared" si="17"/>
        <v>0.60901339829476253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230835</v>
      </c>
      <c r="D124" s="134">
        <f>SUM(D113:D123)</f>
        <v>233354</v>
      </c>
      <c r="E124" s="134">
        <f t="shared" si="16"/>
        <v>2519</v>
      </c>
      <c r="F124" s="120">
        <f t="shared" si="17"/>
        <v>1.0912556588039076E-2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68295</v>
      </c>
      <c r="D126" s="133">
        <v>68950</v>
      </c>
      <c r="E126" s="133">
        <f t="shared" ref="E126:E137" si="18">D126-C126</f>
        <v>655</v>
      </c>
      <c r="F126" s="114">
        <f t="shared" ref="F126:F137" si="19">IF(C126=0,0,E126/C126)</f>
        <v>9.5907460282597563E-3</v>
      </c>
    </row>
    <row r="127" spans="1:6" x14ac:dyDescent="0.2">
      <c r="A127" s="115">
        <v>2</v>
      </c>
      <c r="B127" s="116" t="s">
        <v>114</v>
      </c>
      <c r="C127" s="133">
        <v>20822</v>
      </c>
      <c r="D127" s="133">
        <v>22979</v>
      </c>
      <c r="E127" s="133">
        <f t="shared" si="18"/>
        <v>2157</v>
      </c>
      <c r="F127" s="114">
        <f t="shared" si="19"/>
        <v>0.10359235424070694</v>
      </c>
    </row>
    <row r="128" spans="1:6" x14ac:dyDescent="0.2">
      <c r="A128" s="115">
        <v>3</v>
      </c>
      <c r="B128" s="116" t="s">
        <v>115</v>
      </c>
      <c r="C128" s="133">
        <v>113189</v>
      </c>
      <c r="D128" s="133">
        <v>112681</v>
      </c>
      <c r="E128" s="133">
        <f t="shared" si="18"/>
        <v>-508</v>
      </c>
      <c r="F128" s="114">
        <f t="shared" si="19"/>
        <v>-4.4880686285769817E-3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1938</v>
      </c>
      <c r="D130" s="133">
        <v>1819</v>
      </c>
      <c r="E130" s="133">
        <f t="shared" si="18"/>
        <v>-119</v>
      </c>
      <c r="F130" s="114">
        <f t="shared" si="19"/>
        <v>-6.1403508771929821E-2</v>
      </c>
    </row>
    <row r="131" spans="1:6" x14ac:dyDescent="0.2">
      <c r="A131" s="115">
        <v>6</v>
      </c>
      <c r="B131" s="116" t="s">
        <v>118</v>
      </c>
      <c r="C131" s="133">
        <v>2401</v>
      </c>
      <c r="D131" s="133">
        <v>1942</v>
      </c>
      <c r="E131" s="133">
        <f t="shared" si="18"/>
        <v>-459</v>
      </c>
      <c r="F131" s="114">
        <f t="shared" si="19"/>
        <v>-0.19117034568929614</v>
      </c>
    </row>
    <row r="132" spans="1:6" x14ac:dyDescent="0.2">
      <c r="A132" s="115">
        <v>7</v>
      </c>
      <c r="B132" s="116" t="s">
        <v>119</v>
      </c>
      <c r="C132" s="133">
        <v>79464</v>
      </c>
      <c r="D132" s="133">
        <v>85931</v>
      </c>
      <c r="E132" s="133">
        <f t="shared" si="18"/>
        <v>6467</v>
      </c>
      <c r="F132" s="114">
        <f t="shared" si="19"/>
        <v>8.1382764522299408E-2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12724</v>
      </c>
      <c r="D134" s="133">
        <v>13646</v>
      </c>
      <c r="E134" s="133">
        <f t="shared" si="18"/>
        <v>922</v>
      </c>
      <c r="F134" s="114">
        <f t="shared" si="19"/>
        <v>7.2461490097453632E-2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298833</v>
      </c>
      <c r="D137" s="134">
        <f>SUM(D126:D136)</f>
        <v>307948</v>
      </c>
      <c r="E137" s="134">
        <f t="shared" si="18"/>
        <v>9115</v>
      </c>
      <c r="F137" s="120">
        <f t="shared" si="19"/>
        <v>3.0501986059103245E-2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44573406</v>
      </c>
      <c r="D142" s="113">
        <v>54515747</v>
      </c>
      <c r="E142" s="113">
        <f t="shared" ref="E142:E153" si="20">D142-C142</f>
        <v>9942341</v>
      </c>
      <c r="F142" s="114">
        <f t="shared" ref="F142:F153" si="21">IF(C142=0,0,E142/C142)</f>
        <v>0.22305544700802088</v>
      </c>
    </row>
    <row r="143" spans="1:6" x14ac:dyDescent="0.2">
      <c r="A143" s="115">
        <v>2</v>
      </c>
      <c r="B143" s="116" t="s">
        <v>114</v>
      </c>
      <c r="C143" s="113">
        <v>18324930</v>
      </c>
      <c r="D143" s="113">
        <v>23565928</v>
      </c>
      <c r="E143" s="113">
        <f t="shared" si="20"/>
        <v>5240998</v>
      </c>
      <c r="F143" s="114">
        <f t="shared" si="21"/>
        <v>0.28600371188321044</v>
      </c>
    </row>
    <row r="144" spans="1:6" x14ac:dyDescent="0.2">
      <c r="A144" s="115">
        <v>3</v>
      </c>
      <c r="B144" s="116" t="s">
        <v>115</v>
      </c>
      <c r="C144" s="113">
        <v>86103367</v>
      </c>
      <c r="D144" s="113">
        <v>100322192</v>
      </c>
      <c r="E144" s="113">
        <f t="shared" si="20"/>
        <v>14218825</v>
      </c>
      <c r="F144" s="114">
        <f t="shared" si="21"/>
        <v>0.16513668971853332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2323177</v>
      </c>
      <c r="D146" s="113">
        <v>3171034</v>
      </c>
      <c r="E146" s="113">
        <f t="shared" si="20"/>
        <v>847857</v>
      </c>
      <c r="F146" s="114">
        <f t="shared" si="21"/>
        <v>0.36495583418740801</v>
      </c>
    </row>
    <row r="147" spans="1:6" x14ac:dyDescent="0.2">
      <c r="A147" s="115">
        <v>6</v>
      </c>
      <c r="B147" s="116" t="s">
        <v>118</v>
      </c>
      <c r="C147" s="113">
        <v>7011763</v>
      </c>
      <c r="D147" s="113">
        <v>4399964</v>
      </c>
      <c r="E147" s="113">
        <f t="shared" si="20"/>
        <v>-2611799</v>
      </c>
      <c r="F147" s="114">
        <f t="shared" si="21"/>
        <v>-0.37248820303823732</v>
      </c>
    </row>
    <row r="148" spans="1:6" x14ac:dyDescent="0.2">
      <c r="A148" s="115">
        <v>7</v>
      </c>
      <c r="B148" s="116" t="s">
        <v>119</v>
      </c>
      <c r="C148" s="113">
        <v>55771558</v>
      </c>
      <c r="D148" s="113">
        <v>71131858</v>
      </c>
      <c r="E148" s="113">
        <f t="shared" si="20"/>
        <v>15360300</v>
      </c>
      <c r="F148" s="114">
        <f t="shared" si="21"/>
        <v>0.27541457601023089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13219454</v>
      </c>
      <c r="D150" s="113">
        <v>17448928</v>
      </c>
      <c r="E150" s="113">
        <f t="shared" si="20"/>
        <v>4229474</v>
      </c>
      <c r="F150" s="114">
        <f t="shared" si="21"/>
        <v>0.3199431686059046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227327655</v>
      </c>
      <c r="D153" s="119">
        <f>SUM(D142:D152)</f>
        <v>274555651</v>
      </c>
      <c r="E153" s="119">
        <f t="shared" si="20"/>
        <v>47227996</v>
      </c>
      <c r="F153" s="120">
        <f t="shared" si="21"/>
        <v>0.2077529722461616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7657412</v>
      </c>
      <c r="D155" s="113">
        <v>8814234</v>
      </c>
      <c r="E155" s="113">
        <f t="shared" ref="E155:E166" si="22">D155-C155</f>
        <v>1156822</v>
      </c>
      <c r="F155" s="114">
        <f t="shared" ref="F155:F166" si="23">IF(C155=0,0,E155/C155)</f>
        <v>0.15107218992526456</v>
      </c>
    </row>
    <row r="156" spans="1:6" x14ac:dyDescent="0.2">
      <c r="A156" s="115">
        <v>2</v>
      </c>
      <c r="B156" s="116" t="s">
        <v>114</v>
      </c>
      <c r="C156" s="113">
        <v>3064277</v>
      </c>
      <c r="D156" s="113">
        <v>3663309</v>
      </c>
      <c r="E156" s="113">
        <f t="shared" si="22"/>
        <v>599032</v>
      </c>
      <c r="F156" s="114">
        <f t="shared" si="23"/>
        <v>0.19548885430396795</v>
      </c>
    </row>
    <row r="157" spans="1:6" x14ac:dyDescent="0.2">
      <c r="A157" s="115">
        <v>3</v>
      </c>
      <c r="B157" s="116" t="s">
        <v>115</v>
      </c>
      <c r="C157" s="113">
        <v>15102248</v>
      </c>
      <c r="D157" s="113">
        <v>16168699</v>
      </c>
      <c r="E157" s="113">
        <f t="shared" si="22"/>
        <v>1066451</v>
      </c>
      <c r="F157" s="114">
        <f t="shared" si="23"/>
        <v>7.0615381233310431E-2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288989</v>
      </c>
      <c r="D159" s="113">
        <v>402998</v>
      </c>
      <c r="E159" s="113">
        <f t="shared" si="22"/>
        <v>114009</v>
      </c>
      <c r="F159" s="114">
        <f t="shared" si="23"/>
        <v>0.39450982563350162</v>
      </c>
    </row>
    <row r="160" spans="1:6" x14ac:dyDescent="0.2">
      <c r="A160" s="115">
        <v>6</v>
      </c>
      <c r="B160" s="116" t="s">
        <v>118</v>
      </c>
      <c r="C160" s="113">
        <v>3077237</v>
      </c>
      <c r="D160" s="113">
        <v>1755787</v>
      </c>
      <c r="E160" s="113">
        <f t="shared" si="22"/>
        <v>-1321450</v>
      </c>
      <c r="F160" s="114">
        <f t="shared" si="23"/>
        <v>-0.42942743766567215</v>
      </c>
    </row>
    <row r="161" spans="1:6" x14ac:dyDescent="0.2">
      <c r="A161" s="115">
        <v>7</v>
      </c>
      <c r="B161" s="116" t="s">
        <v>119</v>
      </c>
      <c r="C161" s="113">
        <v>21995176</v>
      </c>
      <c r="D161" s="113">
        <v>29102341</v>
      </c>
      <c r="E161" s="113">
        <f t="shared" si="22"/>
        <v>7107165</v>
      </c>
      <c r="F161" s="114">
        <f t="shared" si="23"/>
        <v>0.3231238067838148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562939</v>
      </c>
      <c r="D163" s="113">
        <v>817503</v>
      </c>
      <c r="E163" s="113">
        <f t="shared" si="22"/>
        <v>254564</v>
      </c>
      <c r="F163" s="114">
        <f t="shared" si="23"/>
        <v>0.45220530110722479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51748278</v>
      </c>
      <c r="D166" s="119">
        <f>SUM(D155:D165)</f>
        <v>60724871</v>
      </c>
      <c r="E166" s="119">
        <f t="shared" si="22"/>
        <v>8976593</v>
      </c>
      <c r="F166" s="120">
        <f t="shared" si="23"/>
        <v>0.17346650646036957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11408</v>
      </c>
      <c r="D168" s="133">
        <v>12003</v>
      </c>
      <c r="E168" s="133">
        <f t="shared" ref="E168:E179" si="24">D168-C168</f>
        <v>595</v>
      </c>
      <c r="F168" s="114">
        <f t="shared" ref="F168:F179" si="25">IF(C168=0,0,E168/C168)</f>
        <v>5.2156381486676014E-2</v>
      </c>
    </row>
    <row r="169" spans="1:6" x14ac:dyDescent="0.2">
      <c r="A169" s="115">
        <v>2</v>
      </c>
      <c r="B169" s="116" t="s">
        <v>114</v>
      </c>
      <c r="C169" s="133">
        <v>4580</v>
      </c>
      <c r="D169" s="133">
        <v>5263</v>
      </c>
      <c r="E169" s="133">
        <f t="shared" si="24"/>
        <v>683</v>
      </c>
      <c r="F169" s="114">
        <f t="shared" si="25"/>
        <v>0.14912663755458516</v>
      </c>
    </row>
    <row r="170" spans="1:6" x14ac:dyDescent="0.2">
      <c r="A170" s="115">
        <v>3</v>
      </c>
      <c r="B170" s="116" t="s">
        <v>115</v>
      </c>
      <c r="C170" s="133">
        <v>41124</v>
      </c>
      <c r="D170" s="133">
        <v>40876</v>
      </c>
      <c r="E170" s="133">
        <f t="shared" si="24"/>
        <v>-248</v>
      </c>
      <c r="F170" s="114">
        <f t="shared" si="25"/>
        <v>-6.0305417760918197E-3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840</v>
      </c>
      <c r="D172" s="133">
        <v>875</v>
      </c>
      <c r="E172" s="133">
        <f t="shared" si="24"/>
        <v>35</v>
      </c>
      <c r="F172" s="114">
        <f t="shared" si="25"/>
        <v>4.1666666666666664E-2</v>
      </c>
    </row>
    <row r="173" spans="1:6" x14ac:dyDescent="0.2">
      <c r="A173" s="115">
        <v>6</v>
      </c>
      <c r="B173" s="116" t="s">
        <v>118</v>
      </c>
      <c r="C173" s="133">
        <v>2625</v>
      </c>
      <c r="D173" s="133">
        <v>1402</v>
      </c>
      <c r="E173" s="133">
        <f t="shared" si="24"/>
        <v>-1223</v>
      </c>
      <c r="F173" s="114">
        <f t="shared" si="25"/>
        <v>-0.46590476190476188</v>
      </c>
    </row>
    <row r="174" spans="1:6" x14ac:dyDescent="0.2">
      <c r="A174" s="115">
        <v>7</v>
      </c>
      <c r="B174" s="116" t="s">
        <v>119</v>
      </c>
      <c r="C174" s="133">
        <v>16162</v>
      </c>
      <c r="D174" s="133">
        <v>18641</v>
      </c>
      <c r="E174" s="133">
        <f t="shared" si="24"/>
        <v>2479</v>
      </c>
      <c r="F174" s="114">
        <f t="shared" si="25"/>
        <v>0.15338448211854969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6208</v>
      </c>
      <c r="D176" s="133">
        <v>6800</v>
      </c>
      <c r="E176" s="133">
        <f t="shared" si="24"/>
        <v>592</v>
      </c>
      <c r="F176" s="114">
        <f t="shared" si="25"/>
        <v>9.5360824742268036E-2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82947</v>
      </c>
      <c r="D179" s="134">
        <f>SUM(D168:D178)</f>
        <v>85860</v>
      </c>
      <c r="E179" s="134">
        <f t="shared" si="24"/>
        <v>2913</v>
      </c>
      <c r="F179" s="120">
        <f t="shared" si="25"/>
        <v>3.511881080690079E-2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FILING&amp;RHARTFORD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8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147234787</v>
      </c>
      <c r="D15" s="157">
        <v>151394659</v>
      </c>
      <c r="E15" s="157">
        <f>+D15-C15</f>
        <v>4159872</v>
      </c>
      <c r="F15" s="161">
        <f>IF(C15=0,0,E15/C15)</f>
        <v>2.8253323041109842E-2</v>
      </c>
    </row>
    <row r="16" spans="1:6" ht="15" customHeight="1" x14ac:dyDescent="0.2">
      <c r="A16" s="147">
        <v>2</v>
      </c>
      <c r="B16" s="160" t="s">
        <v>157</v>
      </c>
      <c r="C16" s="157">
        <v>46267606</v>
      </c>
      <c r="D16" s="157">
        <v>49724580</v>
      </c>
      <c r="E16" s="157">
        <f>+D16-C16</f>
        <v>3456974</v>
      </c>
      <c r="F16" s="161">
        <f>IF(C16=0,0,E16/C16)</f>
        <v>7.4716941265558459E-2</v>
      </c>
    </row>
    <row r="17" spans="1:6" ht="15" customHeight="1" x14ac:dyDescent="0.2">
      <c r="A17" s="147">
        <v>3</v>
      </c>
      <c r="B17" s="160" t="s">
        <v>158</v>
      </c>
      <c r="C17" s="157">
        <v>230920191</v>
      </c>
      <c r="D17" s="157">
        <v>213252264</v>
      </c>
      <c r="E17" s="157">
        <f>+D17-C17</f>
        <v>-17667927</v>
      </c>
      <c r="F17" s="161">
        <f>IF(C17=0,0,E17/C17)</f>
        <v>-7.6510966509637096E-2</v>
      </c>
    </row>
    <row r="18" spans="1:6" ht="15.75" customHeight="1" x14ac:dyDescent="0.25">
      <c r="A18" s="147"/>
      <c r="B18" s="162" t="s">
        <v>159</v>
      </c>
      <c r="C18" s="158">
        <f>SUM(C15:C17)</f>
        <v>424422584</v>
      </c>
      <c r="D18" s="158">
        <f>SUM(D15:D17)</f>
        <v>414371503</v>
      </c>
      <c r="E18" s="158">
        <f>+D18-C18</f>
        <v>-10051081</v>
      </c>
      <c r="F18" s="159">
        <f>IF(C18=0,0,E18/C18)</f>
        <v>-2.3681777028151735E-2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34777599</v>
      </c>
      <c r="D21" s="157">
        <v>26806736</v>
      </c>
      <c r="E21" s="157">
        <f>+D21-C21</f>
        <v>-7970863</v>
      </c>
      <c r="F21" s="161">
        <f>IF(C21=0,0,E21/C21)</f>
        <v>-0.22919532196572856</v>
      </c>
    </row>
    <row r="22" spans="1:6" ht="15" customHeight="1" x14ac:dyDescent="0.2">
      <c r="A22" s="147">
        <v>2</v>
      </c>
      <c r="B22" s="160" t="s">
        <v>162</v>
      </c>
      <c r="C22" s="157">
        <v>10928642</v>
      </c>
      <c r="D22" s="157">
        <v>7998376</v>
      </c>
      <c r="E22" s="157">
        <f>+D22-C22</f>
        <v>-2930266</v>
      </c>
      <c r="F22" s="161">
        <f>IF(C22=0,0,E22/C22)</f>
        <v>-0.26812718359701049</v>
      </c>
    </row>
    <row r="23" spans="1:6" ht="15" customHeight="1" x14ac:dyDescent="0.2">
      <c r="A23" s="147">
        <v>3</v>
      </c>
      <c r="B23" s="160" t="s">
        <v>163</v>
      </c>
      <c r="C23" s="157">
        <v>54544512</v>
      </c>
      <c r="D23" s="157">
        <v>38565691</v>
      </c>
      <c r="E23" s="157">
        <f>+D23-C23</f>
        <v>-15978821</v>
      </c>
      <c r="F23" s="161">
        <f>IF(C23=0,0,E23/C23)</f>
        <v>-0.29295011384463387</v>
      </c>
    </row>
    <row r="24" spans="1:6" ht="15.75" customHeight="1" x14ac:dyDescent="0.25">
      <c r="A24" s="147"/>
      <c r="B24" s="162" t="s">
        <v>164</v>
      </c>
      <c r="C24" s="158">
        <f>SUM(C21:C23)</f>
        <v>100250753</v>
      </c>
      <c r="D24" s="158">
        <f>SUM(D21:D23)</f>
        <v>73370803</v>
      </c>
      <c r="E24" s="158">
        <f>+D24-C24</f>
        <v>-26879950</v>
      </c>
      <c r="F24" s="159">
        <f>IF(C24=0,0,E24/C24)</f>
        <v>-0.26812716309472506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335599</v>
      </c>
      <c r="D27" s="157">
        <v>1362895</v>
      </c>
      <c r="E27" s="157">
        <f>+D27-C27</f>
        <v>1027296</v>
      </c>
      <c r="F27" s="161">
        <f>IF(C27=0,0,E27/C27)</f>
        <v>3.0610818268230835</v>
      </c>
    </row>
    <row r="28" spans="1:6" ht="15" customHeight="1" x14ac:dyDescent="0.2">
      <c r="A28" s="147">
        <v>2</v>
      </c>
      <c r="B28" s="160" t="s">
        <v>167</v>
      </c>
      <c r="C28" s="157">
        <v>55612217</v>
      </c>
      <c r="D28" s="157">
        <v>55666273</v>
      </c>
      <c r="E28" s="157">
        <f>+D28-C28</f>
        <v>54056</v>
      </c>
      <c r="F28" s="161">
        <f>IF(C28=0,0,E28/C28)</f>
        <v>9.7201663440247307E-4</v>
      </c>
    </row>
    <row r="29" spans="1:6" ht="15" customHeight="1" x14ac:dyDescent="0.2">
      <c r="A29" s="147">
        <v>3</v>
      </c>
      <c r="B29" s="160" t="s">
        <v>168</v>
      </c>
      <c r="C29" s="157">
        <v>8446055</v>
      </c>
      <c r="D29" s="157">
        <v>25343132</v>
      </c>
      <c r="E29" s="157">
        <f>+D29-C29</f>
        <v>16897077</v>
      </c>
      <c r="F29" s="161">
        <f>IF(C29=0,0,E29/C29)</f>
        <v>2.000588085206644</v>
      </c>
    </row>
    <row r="30" spans="1:6" ht="15.75" customHeight="1" x14ac:dyDescent="0.25">
      <c r="A30" s="147"/>
      <c r="B30" s="162" t="s">
        <v>169</v>
      </c>
      <c r="C30" s="158">
        <f>SUM(C27:C29)</f>
        <v>64393871</v>
      </c>
      <c r="D30" s="158">
        <f>SUM(D27:D29)</f>
        <v>82372300</v>
      </c>
      <c r="E30" s="158">
        <f>+D30-C30</f>
        <v>17978429</v>
      </c>
      <c r="F30" s="159">
        <f>IF(C30=0,0,E30/C30)</f>
        <v>0.27919472336117207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124072703</v>
      </c>
      <c r="D33" s="157">
        <v>138828532</v>
      </c>
      <c r="E33" s="157">
        <f>+D33-C33</f>
        <v>14755829</v>
      </c>
      <c r="F33" s="161">
        <f>IF(C33=0,0,E33/C33)</f>
        <v>0.11892889123242524</v>
      </c>
    </row>
    <row r="34" spans="1:6" ht="15" customHeight="1" x14ac:dyDescent="0.2">
      <c r="A34" s="147">
        <v>2</v>
      </c>
      <c r="B34" s="160" t="s">
        <v>173</v>
      </c>
      <c r="C34" s="157">
        <v>34102262</v>
      </c>
      <c r="D34" s="157">
        <v>50796246</v>
      </c>
      <c r="E34" s="157">
        <f>+D34-C34</f>
        <v>16693984</v>
      </c>
      <c r="F34" s="161">
        <f>IF(C34=0,0,E34/C34)</f>
        <v>0.48952717564600262</v>
      </c>
    </row>
    <row r="35" spans="1:6" ht="15.75" customHeight="1" x14ac:dyDescent="0.25">
      <c r="A35" s="147"/>
      <c r="B35" s="162" t="s">
        <v>174</v>
      </c>
      <c r="C35" s="158">
        <f>SUM(C33:C34)</f>
        <v>158174965</v>
      </c>
      <c r="D35" s="158">
        <f>SUM(D33:D34)</f>
        <v>189624778</v>
      </c>
      <c r="E35" s="158">
        <f>+D35-C35</f>
        <v>31449813</v>
      </c>
      <c r="F35" s="159">
        <f>IF(C35=0,0,E35/C35)</f>
        <v>0.19882927111758805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23934548</v>
      </c>
      <c r="D38" s="157">
        <v>23662544</v>
      </c>
      <c r="E38" s="157">
        <f>+D38-C38</f>
        <v>-272004</v>
      </c>
      <c r="F38" s="161">
        <f>IF(C38=0,0,E38/C38)</f>
        <v>-1.1364492866128076E-2</v>
      </c>
    </row>
    <row r="39" spans="1:6" ht="15" customHeight="1" x14ac:dyDescent="0.2">
      <c r="A39" s="147">
        <v>2</v>
      </c>
      <c r="B39" s="160" t="s">
        <v>178</v>
      </c>
      <c r="C39" s="157">
        <v>24217216</v>
      </c>
      <c r="D39" s="157">
        <v>21341796</v>
      </c>
      <c r="E39" s="157">
        <f>+D39-C39</f>
        <v>-2875420</v>
      </c>
      <c r="F39" s="161">
        <f>IF(C39=0,0,E39/C39)</f>
        <v>-0.11873453992399456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48151764</v>
      </c>
      <c r="D41" s="158">
        <f>SUM(D38:D40)</f>
        <v>45004340</v>
      </c>
      <c r="E41" s="158">
        <f>+D41-C41</f>
        <v>-3147424</v>
      </c>
      <c r="F41" s="159">
        <f>IF(C41=0,0,E41/C41)</f>
        <v>-6.5364666598714843E-2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11557893</v>
      </c>
      <c r="D47" s="157">
        <v>12644818</v>
      </c>
      <c r="E47" s="157">
        <f>+D47-C47</f>
        <v>1086925</v>
      </c>
      <c r="F47" s="161">
        <f>IF(C47=0,0,E47/C47)</f>
        <v>9.4041794641981896E-2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9083056</v>
      </c>
      <c r="D50" s="157">
        <v>10440838</v>
      </c>
      <c r="E50" s="157">
        <f>+D50-C50</f>
        <v>1357782</v>
      </c>
      <c r="F50" s="161">
        <f>IF(C50=0,0,E50/C50)</f>
        <v>0.14948515125305845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2249104</v>
      </c>
      <c r="D53" s="157">
        <v>1917033</v>
      </c>
      <c r="E53" s="157">
        <f t="shared" ref="E53:E59" si="0">+D53-C53</f>
        <v>-332071</v>
      </c>
      <c r="F53" s="161">
        <f t="shared" ref="F53:F59" si="1">IF(C53=0,0,E53/C53)</f>
        <v>-0.1476459069922956</v>
      </c>
    </row>
    <row r="54" spans="1:6" ht="15" customHeight="1" x14ac:dyDescent="0.2">
      <c r="A54" s="147">
        <v>2</v>
      </c>
      <c r="B54" s="160" t="s">
        <v>189</v>
      </c>
      <c r="C54" s="157">
        <v>4153566</v>
      </c>
      <c r="D54" s="157">
        <v>2771841</v>
      </c>
      <c r="E54" s="157">
        <f t="shared" si="0"/>
        <v>-1381725</v>
      </c>
      <c r="F54" s="161">
        <f t="shared" si="1"/>
        <v>-0.33265993606457678</v>
      </c>
    </row>
    <row r="55" spans="1:6" ht="15" customHeight="1" x14ac:dyDescent="0.2">
      <c r="A55" s="147">
        <v>3</v>
      </c>
      <c r="B55" s="160" t="s">
        <v>190</v>
      </c>
      <c r="C55" s="157">
        <v>91961</v>
      </c>
      <c r="D55" s="157">
        <v>71724</v>
      </c>
      <c r="E55" s="157">
        <f t="shared" si="0"/>
        <v>-20237</v>
      </c>
      <c r="F55" s="161">
        <f t="shared" si="1"/>
        <v>-0.22006067789606465</v>
      </c>
    </row>
    <row r="56" spans="1:6" ht="15" customHeight="1" x14ac:dyDescent="0.2">
      <c r="A56" s="147">
        <v>4</v>
      </c>
      <c r="B56" s="160" t="s">
        <v>191</v>
      </c>
      <c r="C56" s="157">
        <v>9136459</v>
      </c>
      <c r="D56" s="157">
        <v>8302319</v>
      </c>
      <c r="E56" s="157">
        <f t="shared" si="0"/>
        <v>-834140</v>
      </c>
      <c r="F56" s="161">
        <f t="shared" si="1"/>
        <v>-9.1297952521868703E-2</v>
      </c>
    </row>
    <row r="57" spans="1:6" ht="15" customHeight="1" x14ac:dyDescent="0.2">
      <c r="A57" s="147">
        <v>5</v>
      </c>
      <c r="B57" s="160" t="s">
        <v>192</v>
      </c>
      <c r="C57" s="157">
        <v>526102</v>
      </c>
      <c r="D57" s="157">
        <v>1268081</v>
      </c>
      <c r="E57" s="157">
        <f t="shared" si="0"/>
        <v>741979</v>
      </c>
      <c r="F57" s="161">
        <f t="shared" si="1"/>
        <v>1.4103329772553612</v>
      </c>
    </row>
    <row r="58" spans="1:6" ht="15" customHeight="1" x14ac:dyDescent="0.2">
      <c r="A58" s="147">
        <v>6</v>
      </c>
      <c r="B58" s="160" t="s">
        <v>193</v>
      </c>
      <c r="C58" s="157">
        <v>619037</v>
      </c>
      <c r="D58" s="157">
        <v>552974</v>
      </c>
      <c r="E58" s="157">
        <f t="shared" si="0"/>
        <v>-66063</v>
      </c>
      <c r="F58" s="161">
        <f t="shared" si="1"/>
        <v>-0.10671898448719544</v>
      </c>
    </row>
    <row r="59" spans="1:6" ht="15.75" customHeight="1" x14ac:dyDescent="0.25">
      <c r="A59" s="147"/>
      <c r="B59" s="162" t="s">
        <v>194</v>
      </c>
      <c r="C59" s="158">
        <f>SUM(C53:C58)</f>
        <v>16776229</v>
      </c>
      <c r="D59" s="158">
        <f>SUM(D53:D58)</f>
        <v>14883972</v>
      </c>
      <c r="E59" s="158">
        <f t="shared" si="0"/>
        <v>-1892257</v>
      </c>
      <c r="F59" s="159">
        <f t="shared" si="1"/>
        <v>-0.11279394195203225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390120</v>
      </c>
      <c r="D62" s="157">
        <v>-166987</v>
      </c>
      <c r="E62" s="157">
        <f t="shared" ref="E62:E90" si="2">+D62-C62</f>
        <v>-557107</v>
      </c>
      <c r="F62" s="161">
        <f t="shared" ref="F62:F90" si="3">IF(C62=0,0,E62/C62)</f>
        <v>-1.4280400902286476</v>
      </c>
    </row>
    <row r="63" spans="1:6" ht="15" customHeight="1" x14ac:dyDescent="0.2">
      <c r="A63" s="147">
        <v>2</v>
      </c>
      <c r="B63" s="160" t="s">
        <v>198</v>
      </c>
      <c r="C63" s="157">
        <v>1371361</v>
      </c>
      <c r="D63" s="157">
        <v>359012</v>
      </c>
      <c r="E63" s="157">
        <f t="shared" si="2"/>
        <v>-1012349</v>
      </c>
      <c r="F63" s="161">
        <f t="shared" si="3"/>
        <v>-0.73820751793291484</v>
      </c>
    </row>
    <row r="64" spans="1:6" ht="15" customHeight="1" x14ac:dyDescent="0.2">
      <c r="A64" s="147">
        <v>3</v>
      </c>
      <c r="B64" s="160" t="s">
        <v>199</v>
      </c>
      <c r="C64" s="157">
        <v>2900182</v>
      </c>
      <c r="D64" s="157">
        <v>2198249</v>
      </c>
      <c r="E64" s="157">
        <f t="shared" si="2"/>
        <v>-701933</v>
      </c>
      <c r="F64" s="161">
        <f t="shared" si="3"/>
        <v>-0.2420306725577912</v>
      </c>
    </row>
    <row r="65" spans="1:6" ht="15" customHeight="1" x14ac:dyDescent="0.2">
      <c r="A65" s="147">
        <v>4</v>
      </c>
      <c r="B65" s="160" t="s">
        <v>200</v>
      </c>
      <c r="C65" s="157">
        <v>2801767</v>
      </c>
      <c r="D65" s="157">
        <v>5098899</v>
      </c>
      <c r="E65" s="157">
        <f t="shared" si="2"/>
        <v>2297132</v>
      </c>
      <c r="F65" s="161">
        <f t="shared" si="3"/>
        <v>0.8198868785305844</v>
      </c>
    </row>
    <row r="66" spans="1:6" ht="15" customHeight="1" x14ac:dyDescent="0.2">
      <c r="A66" s="147">
        <v>5</v>
      </c>
      <c r="B66" s="160" t="s">
        <v>201</v>
      </c>
      <c r="C66" s="157">
        <v>5696629</v>
      </c>
      <c r="D66" s="157">
        <v>7640922</v>
      </c>
      <c r="E66" s="157">
        <f t="shared" si="2"/>
        <v>1944293</v>
      </c>
      <c r="F66" s="161">
        <f t="shared" si="3"/>
        <v>0.34130588458542765</v>
      </c>
    </row>
    <row r="67" spans="1:6" ht="15" customHeight="1" x14ac:dyDescent="0.2">
      <c r="A67" s="147">
        <v>6</v>
      </c>
      <c r="B67" s="160" t="s">
        <v>202</v>
      </c>
      <c r="C67" s="157">
        <v>9472559</v>
      </c>
      <c r="D67" s="157">
        <v>12112730</v>
      </c>
      <c r="E67" s="157">
        <f t="shared" si="2"/>
        <v>2640171</v>
      </c>
      <c r="F67" s="161">
        <f t="shared" si="3"/>
        <v>0.27871782060159245</v>
      </c>
    </row>
    <row r="68" spans="1:6" ht="15" customHeight="1" x14ac:dyDescent="0.2">
      <c r="A68" s="147">
        <v>7</v>
      </c>
      <c r="B68" s="160" t="s">
        <v>203</v>
      </c>
      <c r="C68" s="157">
        <v>16061413</v>
      </c>
      <c r="D68" s="157">
        <v>17013693</v>
      </c>
      <c r="E68" s="157">
        <f t="shared" si="2"/>
        <v>952280</v>
      </c>
      <c r="F68" s="161">
        <f t="shared" si="3"/>
        <v>5.9289926733096271E-2</v>
      </c>
    </row>
    <row r="69" spans="1:6" ht="15" customHeight="1" x14ac:dyDescent="0.2">
      <c r="A69" s="147">
        <v>8</v>
      </c>
      <c r="B69" s="160" t="s">
        <v>204</v>
      </c>
      <c r="C69" s="157">
        <v>1200797</v>
      </c>
      <c r="D69" s="157">
        <v>1313588</v>
      </c>
      <c r="E69" s="157">
        <f t="shared" si="2"/>
        <v>112791</v>
      </c>
      <c r="F69" s="161">
        <f t="shared" si="3"/>
        <v>9.393011474878768E-2</v>
      </c>
    </row>
    <row r="70" spans="1:6" ht="15" customHeight="1" x14ac:dyDescent="0.2">
      <c r="A70" s="147">
        <v>9</v>
      </c>
      <c r="B70" s="160" t="s">
        <v>205</v>
      </c>
      <c r="C70" s="157">
        <v>970763</v>
      </c>
      <c r="D70" s="157">
        <v>977084</v>
      </c>
      <c r="E70" s="157">
        <f t="shared" si="2"/>
        <v>6321</v>
      </c>
      <c r="F70" s="161">
        <f t="shared" si="3"/>
        <v>6.5113730127744881E-3</v>
      </c>
    </row>
    <row r="71" spans="1:6" ht="15" customHeight="1" x14ac:dyDescent="0.2">
      <c r="A71" s="147">
        <v>10</v>
      </c>
      <c r="B71" s="160" t="s">
        <v>206</v>
      </c>
      <c r="C71" s="157">
        <v>100684</v>
      </c>
      <c r="D71" s="157">
        <v>169492</v>
      </c>
      <c r="E71" s="157">
        <f t="shared" si="2"/>
        <v>68808</v>
      </c>
      <c r="F71" s="161">
        <f t="shared" si="3"/>
        <v>0.68340550633665731</v>
      </c>
    </row>
    <row r="72" spans="1:6" ht="15" customHeight="1" x14ac:dyDescent="0.2">
      <c r="A72" s="147">
        <v>11</v>
      </c>
      <c r="B72" s="160" t="s">
        <v>207</v>
      </c>
      <c r="C72" s="157">
        <v>247301</v>
      </c>
      <c r="D72" s="157">
        <v>233102</v>
      </c>
      <c r="E72" s="157">
        <f t="shared" si="2"/>
        <v>-14199</v>
      </c>
      <c r="F72" s="161">
        <f t="shared" si="3"/>
        <v>-5.7415861642290164E-2</v>
      </c>
    </row>
    <row r="73" spans="1:6" ht="15" customHeight="1" x14ac:dyDescent="0.2">
      <c r="A73" s="147">
        <v>12</v>
      </c>
      <c r="B73" s="160" t="s">
        <v>208</v>
      </c>
      <c r="C73" s="157">
        <v>6177091</v>
      </c>
      <c r="D73" s="157">
        <v>9475471</v>
      </c>
      <c r="E73" s="157">
        <f t="shared" si="2"/>
        <v>3298380</v>
      </c>
      <c r="F73" s="161">
        <f t="shared" si="3"/>
        <v>0.53396979257712085</v>
      </c>
    </row>
    <row r="74" spans="1:6" ht="15" customHeight="1" x14ac:dyDescent="0.2">
      <c r="A74" s="147">
        <v>13</v>
      </c>
      <c r="B74" s="160" t="s">
        <v>209</v>
      </c>
      <c r="C74" s="157">
        <v>261882</v>
      </c>
      <c r="D74" s="157">
        <v>471939</v>
      </c>
      <c r="E74" s="157">
        <f t="shared" si="2"/>
        <v>210057</v>
      </c>
      <c r="F74" s="161">
        <f t="shared" si="3"/>
        <v>0.80210552844410843</v>
      </c>
    </row>
    <row r="75" spans="1:6" ht="15" customHeight="1" x14ac:dyDescent="0.2">
      <c r="A75" s="147">
        <v>14</v>
      </c>
      <c r="B75" s="160" t="s">
        <v>210</v>
      </c>
      <c r="C75" s="157">
        <v>559467</v>
      </c>
      <c r="D75" s="157">
        <v>502895</v>
      </c>
      <c r="E75" s="157">
        <f t="shared" si="2"/>
        <v>-56572</v>
      </c>
      <c r="F75" s="161">
        <f t="shared" si="3"/>
        <v>-0.10111767092607786</v>
      </c>
    </row>
    <row r="76" spans="1:6" ht="15" customHeight="1" x14ac:dyDescent="0.2">
      <c r="A76" s="147">
        <v>15</v>
      </c>
      <c r="B76" s="160" t="s">
        <v>211</v>
      </c>
      <c r="C76" s="157">
        <v>359170</v>
      </c>
      <c r="D76" s="157">
        <v>233335</v>
      </c>
      <c r="E76" s="157">
        <f t="shared" si="2"/>
        <v>-125835</v>
      </c>
      <c r="F76" s="161">
        <f t="shared" si="3"/>
        <v>-0.35034941671074976</v>
      </c>
    </row>
    <row r="77" spans="1:6" ht="15" customHeight="1" x14ac:dyDescent="0.2">
      <c r="A77" s="147">
        <v>16</v>
      </c>
      <c r="B77" s="160" t="s">
        <v>212</v>
      </c>
      <c r="C77" s="157">
        <v>25132784</v>
      </c>
      <c r="D77" s="157">
        <v>38861616</v>
      </c>
      <c r="E77" s="157">
        <f t="shared" si="2"/>
        <v>13728832</v>
      </c>
      <c r="F77" s="161">
        <f t="shared" si="3"/>
        <v>0.5462519392996813</v>
      </c>
    </row>
    <row r="78" spans="1:6" ht="15" customHeight="1" x14ac:dyDescent="0.2">
      <c r="A78" s="147">
        <v>17</v>
      </c>
      <c r="B78" s="160" t="s">
        <v>213</v>
      </c>
      <c r="C78" s="157">
        <v>565143</v>
      </c>
      <c r="D78" s="157">
        <v>537310</v>
      </c>
      <c r="E78" s="157">
        <f t="shared" si="2"/>
        <v>-27833</v>
      </c>
      <c r="F78" s="161">
        <f t="shared" si="3"/>
        <v>-4.9249481989514156E-2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4356011</v>
      </c>
      <c r="D80" s="157">
        <v>6255058</v>
      </c>
      <c r="E80" s="157">
        <f t="shared" si="2"/>
        <v>1899047</v>
      </c>
      <c r="F80" s="161">
        <f t="shared" si="3"/>
        <v>0.43596010202912711</v>
      </c>
    </row>
    <row r="81" spans="1:6" ht="15" customHeight="1" x14ac:dyDescent="0.2">
      <c r="A81" s="147">
        <v>20</v>
      </c>
      <c r="B81" s="160" t="s">
        <v>216</v>
      </c>
      <c r="C81" s="157">
        <v>23153293</v>
      </c>
      <c r="D81" s="157">
        <v>7810746</v>
      </c>
      <c r="E81" s="157">
        <f t="shared" si="2"/>
        <v>-15342547</v>
      </c>
      <c r="F81" s="161">
        <f t="shared" si="3"/>
        <v>-0.66265075123439243</v>
      </c>
    </row>
    <row r="82" spans="1:6" ht="15" customHeight="1" x14ac:dyDescent="0.2">
      <c r="A82" s="147">
        <v>21</v>
      </c>
      <c r="B82" s="160" t="s">
        <v>217</v>
      </c>
      <c r="C82" s="157">
        <v>99715</v>
      </c>
      <c r="D82" s="157">
        <v>98292</v>
      </c>
      <c r="E82" s="157">
        <f t="shared" si="2"/>
        <v>-1423</v>
      </c>
      <c r="F82" s="161">
        <f t="shared" si="3"/>
        <v>-1.4270671413528556E-2</v>
      </c>
    </row>
    <row r="83" spans="1:6" ht="15" customHeight="1" x14ac:dyDescent="0.2">
      <c r="A83" s="147">
        <v>22</v>
      </c>
      <c r="B83" s="160" t="s">
        <v>218</v>
      </c>
      <c r="C83" s="157">
        <v>1067130</v>
      </c>
      <c r="D83" s="157">
        <v>630151</v>
      </c>
      <c r="E83" s="157">
        <f t="shared" si="2"/>
        <v>-436979</v>
      </c>
      <c r="F83" s="161">
        <f t="shared" si="3"/>
        <v>-0.40948994030717906</v>
      </c>
    </row>
    <row r="84" spans="1:6" ht="15" customHeight="1" x14ac:dyDescent="0.2">
      <c r="A84" s="147">
        <v>23</v>
      </c>
      <c r="B84" s="160" t="s">
        <v>219</v>
      </c>
      <c r="C84" s="157">
        <v>2986066</v>
      </c>
      <c r="D84" s="157">
        <v>1833494</v>
      </c>
      <c r="E84" s="157">
        <f t="shared" si="2"/>
        <v>-1152572</v>
      </c>
      <c r="F84" s="161">
        <f t="shared" si="3"/>
        <v>-0.38598343104271643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942712</v>
      </c>
      <c r="D86" s="157">
        <v>1283554</v>
      </c>
      <c r="E86" s="157">
        <f t="shared" si="2"/>
        <v>340842</v>
      </c>
      <c r="F86" s="161">
        <f t="shared" si="3"/>
        <v>0.36155474842793983</v>
      </c>
    </row>
    <row r="87" spans="1:6" ht="15" customHeight="1" x14ac:dyDescent="0.2">
      <c r="A87" s="147">
        <v>26</v>
      </c>
      <c r="B87" s="160" t="s">
        <v>222</v>
      </c>
      <c r="C87" s="157">
        <v>1697244</v>
      </c>
      <c r="D87" s="157">
        <v>2918411</v>
      </c>
      <c r="E87" s="157">
        <f t="shared" si="2"/>
        <v>1221167</v>
      </c>
      <c r="F87" s="161">
        <f t="shared" si="3"/>
        <v>0.71949996582695241</v>
      </c>
    </row>
    <row r="88" spans="1:6" ht="15" customHeight="1" x14ac:dyDescent="0.2">
      <c r="A88" s="147">
        <v>27</v>
      </c>
      <c r="B88" s="160" t="s">
        <v>223</v>
      </c>
      <c r="C88" s="157">
        <v>43476</v>
      </c>
      <c r="D88" s="157">
        <v>70515</v>
      </c>
      <c r="E88" s="157">
        <f t="shared" si="2"/>
        <v>27039</v>
      </c>
      <c r="F88" s="161">
        <f t="shared" si="3"/>
        <v>0.62192934032569691</v>
      </c>
    </row>
    <row r="89" spans="1:6" ht="15" customHeight="1" x14ac:dyDescent="0.2">
      <c r="A89" s="147">
        <v>28</v>
      </c>
      <c r="B89" s="160" t="s">
        <v>224</v>
      </c>
      <c r="C89" s="157">
        <v>82450570</v>
      </c>
      <c r="D89" s="157">
        <v>117194538</v>
      </c>
      <c r="E89" s="157">
        <f t="shared" si="2"/>
        <v>34743968</v>
      </c>
      <c r="F89" s="161">
        <f t="shared" si="3"/>
        <v>0.4213914834063609</v>
      </c>
    </row>
    <row r="90" spans="1:6" ht="15.75" customHeight="1" x14ac:dyDescent="0.25">
      <c r="A90" s="147"/>
      <c r="B90" s="162" t="s">
        <v>225</v>
      </c>
      <c r="C90" s="158">
        <f>SUM(C62:C89)</f>
        <v>191065330</v>
      </c>
      <c r="D90" s="158">
        <f>SUM(D62:D89)</f>
        <v>235127109</v>
      </c>
      <c r="E90" s="158">
        <f t="shared" si="2"/>
        <v>44061779</v>
      </c>
      <c r="F90" s="159">
        <f t="shared" si="3"/>
        <v>0.23061106376546703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9422963</v>
      </c>
      <c r="D93" s="157">
        <v>5080020</v>
      </c>
      <c r="E93" s="157">
        <f>+D93-C93</f>
        <v>-4342943</v>
      </c>
      <c r="F93" s="161">
        <f>IF(C93=0,0,E93/C93)</f>
        <v>-0.46088931899658314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1033299408</v>
      </c>
      <c r="D95" s="158">
        <f>+D93+D90+D59+D50+D47+D44+D41+D35+D30+D24+D18</f>
        <v>1082920481</v>
      </c>
      <c r="E95" s="158">
        <f>+D95-C95</f>
        <v>49621073</v>
      </c>
      <c r="F95" s="159">
        <f>IF(C95=0,0,E95/C95)</f>
        <v>4.8021969833548964E-2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164673127</v>
      </c>
      <c r="D103" s="157">
        <v>155117324</v>
      </c>
      <c r="E103" s="157">
        <f t="shared" ref="E103:E121" si="4">D103-C103</f>
        <v>-9555803</v>
      </c>
      <c r="F103" s="161">
        <f t="shared" ref="F103:F121" si="5">IF(C103=0,0,E103/C103)</f>
        <v>-5.8028915671225458E-2</v>
      </c>
    </row>
    <row r="104" spans="1:6" ht="15" customHeight="1" x14ac:dyDescent="0.2">
      <c r="A104" s="147">
        <v>2</v>
      </c>
      <c r="B104" s="169" t="s">
        <v>234</v>
      </c>
      <c r="C104" s="157">
        <v>9182564</v>
      </c>
      <c r="D104" s="157">
        <v>5271096</v>
      </c>
      <c r="E104" s="157">
        <f t="shared" si="4"/>
        <v>-3911468</v>
      </c>
      <c r="F104" s="161">
        <f t="shared" si="5"/>
        <v>-0.42596686502811199</v>
      </c>
    </row>
    <row r="105" spans="1:6" ht="15" customHeight="1" x14ac:dyDescent="0.2">
      <c r="A105" s="147">
        <v>3</v>
      </c>
      <c r="B105" s="169" t="s">
        <v>235</v>
      </c>
      <c r="C105" s="157">
        <v>29011035</v>
      </c>
      <c r="D105" s="157">
        <v>40558482</v>
      </c>
      <c r="E105" s="157">
        <f t="shared" si="4"/>
        <v>11547447</v>
      </c>
      <c r="F105" s="161">
        <f t="shared" si="5"/>
        <v>0.39803636788553043</v>
      </c>
    </row>
    <row r="106" spans="1:6" ht="15" customHeight="1" x14ac:dyDescent="0.2">
      <c r="A106" s="147">
        <v>4</v>
      </c>
      <c r="B106" s="169" t="s">
        <v>236</v>
      </c>
      <c r="C106" s="157">
        <v>1334694</v>
      </c>
      <c r="D106" s="157">
        <v>142718</v>
      </c>
      <c r="E106" s="157">
        <f t="shared" si="4"/>
        <v>-1191976</v>
      </c>
      <c r="F106" s="161">
        <f t="shared" si="5"/>
        <v>-0.89307062143082983</v>
      </c>
    </row>
    <row r="107" spans="1:6" ht="15" customHeight="1" x14ac:dyDescent="0.2">
      <c r="A107" s="147">
        <v>5</v>
      </c>
      <c r="B107" s="169" t="s">
        <v>237</v>
      </c>
      <c r="C107" s="157">
        <v>45408397</v>
      </c>
      <c r="D107" s="157">
        <v>62171276</v>
      </c>
      <c r="E107" s="157">
        <f t="shared" si="4"/>
        <v>16762879</v>
      </c>
      <c r="F107" s="161">
        <f t="shared" si="5"/>
        <v>0.36915813169973827</v>
      </c>
    </row>
    <row r="108" spans="1:6" ht="15" customHeight="1" x14ac:dyDescent="0.2">
      <c r="A108" s="147">
        <v>6</v>
      </c>
      <c r="B108" s="169" t="s">
        <v>238</v>
      </c>
      <c r="C108" s="157">
        <v>929805</v>
      </c>
      <c r="D108" s="157">
        <v>779108</v>
      </c>
      <c r="E108" s="157">
        <f t="shared" si="4"/>
        <v>-150697</v>
      </c>
      <c r="F108" s="161">
        <f t="shared" si="5"/>
        <v>-0.16207376815568855</v>
      </c>
    </row>
    <row r="109" spans="1:6" ht="15" customHeight="1" x14ac:dyDescent="0.2">
      <c r="A109" s="147">
        <v>7</v>
      </c>
      <c r="B109" s="169" t="s">
        <v>239</v>
      </c>
      <c r="C109" s="157">
        <v>11239674</v>
      </c>
      <c r="D109" s="157">
        <v>5278493</v>
      </c>
      <c r="E109" s="157">
        <f t="shared" si="4"/>
        <v>-5961181</v>
      </c>
      <c r="F109" s="161">
        <f t="shared" si="5"/>
        <v>-0.53036956409945701</v>
      </c>
    </row>
    <row r="110" spans="1:6" ht="15" customHeight="1" x14ac:dyDescent="0.2">
      <c r="A110" s="147">
        <v>8</v>
      </c>
      <c r="B110" s="169" t="s">
        <v>240</v>
      </c>
      <c r="C110" s="157">
        <v>678330</v>
      </c>
      <c r="D110" s="157">
        <v>216256</v>
      </c>
      <c r="E110" s="157">
        <f t="shared" si="4"/>
        <v>-462074</v>
      </c>
      <c r="F110" s="161">
        <f t="shared" si="5"/>
        <v>-0.68119351937847361</v>
      </c>
    </row>
    <row r="111" spans="1:6" ht="15" customHeight="1" x14ac:dyDescent="0.2">
      <c r="A111" s="147">
        <v>9</v>
      </c>
      <c r="B111" s="169" t="s">
        <v>241</v>
      </c>
      <c r="C111" s="157">
        <v>4685710</v>
      </c>
      <c r="D111" s="157">
        <v>4441441</v>
      </c>
      <c r="E111" s="157">
        <f t="shared" si="4"/>
        <v>-244269</v>
      </c>
      <c r="F111" s="161">
        <f t="shared" si="5"/>
        <v>-5.2130626948744159E-2</v>
      </c>
    </row>
    <row r="112" spans="1:6" ht="15" customHeight="1" x14ac:dyDescent="0.2">
      <c r="A112" s="147">
        <v>10</v>
      </c>
      <c r="B112" s="169" t="s">
        <v>242</v>
      </c>
      <c r="C112" s="157">
        <v>11927309</v>
      </c>
      <c r="D112" s="157">
        <v>12328071</v>
      </c>
      <c r="E112" s="157">
        <f t="shared" si="4"/>
        <v>400762</v>
      </c>
      <c r="F112" s="161">
        <f t="shared" si="5"/>
        <v>3.3600370376922407E-2</v>
      </c>
    </row>
    <row r="113" spans="1:6" ht="15" customHeight="1" x14ac:dyDescent="0.2">
      <c r="A113" s="147">
        <v>11</v>
      </c>
      <c r="B113" s="169" t="s">
        <v>243</v>
      </c>
      <c r="C113" s="157">
        <v>10914719</v>
      </c>
      <c r="D113" s="157">
        <v>11953604</v>
      </c>
      <c r="E113" s="157">
        <f t="shared" si="4"/>
        <v>1038885</v>
      </c>
      <c r="F113" s="161">
        <f t="shared" si="5"/>
        <v>9.5182019802800236E-2</v>
      </c>
    </row>
    <row r="114" spans="1:6" ht="15" customHeight="1" x14ac:dyDescent="0.2">
      <c r="A114" s="147">
        <v>12</v>
      </c>
      <c r="B114" s="169" t="s">
        <v>244</v>
      </c>
      <c r="C114" s="157">
        <v>5859071</v>
      </c>
      <c r="D114" s="157">
        <v>5631331</v>
      </c>
      <c r="E114" s="157">
        <f t="shared" si="4"/>
        <v>-227740</v>
      </c>
      <c r="F114" s="161">
        <f t="shared" si="5"/>
        <v>-3.8869643327414875E-2</v>
      </c>
    </row>
    <row r="115" spans="1:6" ht="15" customHeight="1" x14ac:dyDescent="0.2">
      <c r="A115" s="147">
        <v>13</v>
      </c>
      <c r="B115" s="169" t="s">
        <v>245</v>
      </c>
      <c r="C115" s="157">
        <v>17822453</v>
      </c>
      <c r="D115" s="157">
        <v>17808028</v>
      </c>
      <c r="E115" s="157">
        <f t="shared" si="4"/>
        <v>-14425</v>
      </c>
      <c r="F115" s="161">
        <f t="shared" si="5"/>
        <v>-8.0937231255428198E-4</v>
      </c>
    </row>
    <row r="116" spans="1:6" ht="15" customHeight="1" x14ac:dyDescent="0.2">
      <c r="A116" s="147">
        <v>14</v>
      </c>
      <c r="B116" s="169" t="s">
        <v>246</v>
      </c>
      <c r="C116" s="157">
        <v>4887386</v>
      </c>
      <c r="D116" s="157">
        <v>6192775</v>
      </c>
      <c r="E116" s="157">
        <f t="shared" si="4"/>
        <v>1305389</v>
      </c>
      <c r="F116" s="161">
        <f t="shared" si="5"/>
        <v>0.26709349333160914</v>
      </c>
    </row>
    <row r="117" spans="1:6" ht="15" customHeight="1" x14ac:dyDescent="0.2">
      <c r="A117" s="147">
        <v>15</v>
      </c>
      <c r="B117" s="169" t="s">
        <v>203</v>
      </c>
      <c r="C117" s="157">
        <v>30957999</v>
      </c>
      <c r="D117" s="157">
        <v>31192307</v>
      </c>
      <c r="E117" s="157">
        <f t="shared" si="4"/>
        <v>234308</v>
      </c>
      <c r="F117" s="161">
        <f t="shared" si="5"/>
        <v>7.568577025924705E-3</v>
      </c>
    </row>
    <row r="118" spans="1:6" ht="15" customHeight="1" x14ac:dyDescent="0.2">
      <c r="A118" s="147">
        <v>16</v>
      </c>
      <c r="B118" s="169" t="s">
        <v>247</v>
      </c>
      <c r="C118" s="157">
        <v>4549210</v>
      </c>
      <c r="D118" s="157">
        <v>4197894</v>
      </c>
      <c r="E118" s="157">
        <f t="shared" si="4"/>
        <v>-351316</v>
      </c>
      <c r="F118" s="161">
        <f t="shared" si="5"/>
        <v>-7.7225716113347151E-2</v>
      </c>
    </row>
    <row r="119" spans="1:6" ht="15" customHeight="1" x14ac:dyDescent="0.2">
      <c r="A119" s="147">
        <v>17</v>
      </c>
      <c r="B119" s="169" t="s">
        <v>248</v>
      </c>
      <c r="C119" s="157">
        <v>40105204</v>
      </c>
      <c r="D119" s="157">
        <v>63770509</v>
      </c>
      <c r="E119" s="157">
        <f t="shared" si="4"/>
        <v>23665305</v>
      </c>
      <c r="F119" s="161">
        <f t="shared" si="5"/>
        <v>0.59008065387225062</v>
      </c>
    </row>
    <row r="120" spans="1:6" ht="15" customHeight="1" x14ac:dyDescent="0.2">
      <c r="A120" s="147">
        <v>18</v>
      </c>
      <c r="B120" s="169" t="s">
        <v>249</v>
      </c>
      <c r="C120" s="157">
        <v>12572703</v>
      </c>
      <c r="D120" s="157">
        <v>14232884</v>
      </c>
      <c r="E120" s="157">
        <f t="shared" si="4"/>
        <v>1660181</v>
      </c>
      <c r="F120" s="161">
        <f t="shared" si="5"/>
        <v>0.13204646606223022</v>
      </c>
    </row>
    <row r="121" spans="1:6" ht="15.75" customHeight="1" x14ac:dyDescent="0.25">
      <c r="A121" s="147"/>
      <c r="B121" s="165" t="s">
        <v>250</v>
      </c>
      <c r="C121" s="158">
        <f>SUM(C103:C120)</f>
        <v>406739390</v>
      </c>
      <c r="D121" s="158">
        <f>SUM(D103:D120)</f>
        <v>441283597</v>
      </c>
      <c r="E121" s="158">
        <f t="shared" si="4"/>
        <v>34544207</v>
      </c>
      <c r="F121" s="159">
        <f t="shared" si="5"/>
        <v>8.4929583535049313E-2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4195066</v>
      </c>
      <c r="D124" s="157">
        <v>4697420</v>
      </c>
      <c r="E124" s="157">
        <f t="shared" ref="E124:E130" si="6">D124-C124</f>
        <v>502354</v>
      </c>
      <c r="F124" s="161">
        <f t="shared" ref="F124:F130" si="7">IF(C124=0,0,E124/C124)</f>
        <v>0.11974877153303429</v>
      </c>
    </row>
    <row r="125" spans="1:6" ht="15" customHeight="1" x14ac:dyDescent="0.2">
      <c r="A125" s="147">
        <v>2</v>
      </c>
      <c r="B125" s="169" t="s">
        <v>253</v>
      </c>
      <c r="C125" s="157">
        <v>32286315</v>
      </c>
      <c r="D125" s="157">
        <v>34134120</v>
      </c>
      <c r="E125" s="157">
        <f t="shared" si="6"/>
        <v>1847805</v>
      </c>
      <c r="F125" s="161">
        <f t="shared" si="7"/>
        <v>5.7231833363454457E-2</v>
      </c>
    </row>
    <row r="126" spans="1:6" ht="15" customHeight="1" x14ac:dyDescent="0.2">
      <c r="A126" s="147">
        <v>3</v>
      </c>
      <c r="B126" s="169" t="s">
        <v>254</v>
      </c>
      <c r="C126" s="157">
        <v>22342375</v>
      </c>
      <c r="D126" s="157">
        <v>24758935</v>
      </c>
      <c r="E126" s="157">
        <f t="shared" si="6"/>
        <v>2416560</v>
      </c>
      <c r="F126" s="161">
        <f t="shared" si="7"/>
        <v>0.10816039028975209</v>
      </c>
    </row>
    <row r="127" spans="1:6" ht="15" customHeight="1" x14ac:dyDescent="0.2">
      <c r="A127" s="147">
        <v>4</v>
      </c>
      <c r="B127" s="169" t="s">
        <v>255</v>
      </c>
      <c r="C127" s="157">
        <v>1606562</v>
      </c>
      <c r="D127" s="157">
        <v>1824997</v>
      </c>
      <c r="E127" s="157">
        <f t="shared" si="6"/>
        <v>218435</v>
      </c>
      <c r="F127" s="161">
        <f t="shared" si="7"/>
        <v>0.13596425161307188</v>
      </c>
    </row>
    <row r="128" spans="1:6" ht="15" customHeight="1" x14ac:dyDescent="0.2">
      <c r="A128" s="147">
        <v>5</v>
      </c>
      <c r="B128" s="169" t="s">
        <v>256</v>
      </c>
      <c r="C128" s="157">
        <v>1751968</v>
      </c>
      <c r="D128" s="157">
        <v>1858894</v>
      </c>
      <c r="E128" s="157">
        <f t="shared" si="6"/>
        <v>106926</v>
      </c>
      <c r="F128" s="161">
        <f t="shared" si="7"/>
        <v>6.1031936656377288E-2</v>
      </c>
    </row>
    <row r="129" spans="1:6" ht="15" customHeight="1" x14ac:dyDescent="0.2">
      <c r="A129" s="147">
        <v>6</v>
      </c>
      <c r="B129" s="169" t="s">
        <v>257</v>
      </c>
      <c r="C129" s="157">
        <v>1461987</v>
      </c>
      <c r="D129" s="157">
        <v>1534093</v>
      </c>
      <c r="E129" s="157">
        <f t="shared" si="6"/>
        <v>72106</v>
      </c>
      <c r="F129" s="161">
        <f t="shared" si="7"/>
        <v>4.9320547993928814E-2</v>
      </c>
    </row>
    <row r="130" spans="1:6" ht="15.75" customHeight="1" x14ac:dyDescent="0.25">
      <c r="A130" s="147"/>
      <c r="B130" s="165" t="s">
        <v>258</v>
      </c>
      <c r="C130" s="158">
        <f>SUM(C124:C129)</f>
        <v>63644273</v>
      </c>
      <c r="D130" s="158">
        <f>SUM(D124:D129)</f>
        <v>68808459</v>
      </c>
      <c r="E130" s="158">
        <f t="shared" si="6"/>
        <v>5164186</v>
      </c>
      <c r="F130" s="159">
        <f t="shared" si="7"/>
        <v>8.1141409219962338E-2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79374950</v>
      </c>
      <c r="D133" s="157">
        <v>83096936</v>
      </c>
      <c r="E133" s="157">
        <f t="shared" ref="E133:E167" si="8">D133-C133</f>
        <v>3721986</v>
      </c>
      <c r="F133" s="161">
        <f t="shared" ref="F133:F167" si="9">IF(C133=0,0,E133/C133)</f>
        <v>4.689119174248299E-2</v>
      </c>
    </row>
    <row r="134" spans="1:6" ht="15" customHeight="1" x14ac:dyDescent="0.2">
      <c r="A134" s="147">
        <v>2</v>
      </c>
      <c r="B134" s="169" t="s">
        <v>261</v>
      </c>
      <c r="C134" s="157">
        <v>3856865</v>
      </c>
      <c r="D134" s="157">
        <v>4079185</v>
      </c>
      <c r="E134" s="157">
        <f t="shared" si="8"/>
        <v>222320</v>
      </c>
      <c r="F134" s="161">
        <f t="shared" si="9"/>
        <v>5.7642670925738909E-2</v>
      </c>
    </row>
    <row r="135" spans="1:6" ht="15" customHeight="1" x14ac:dyDescent="0.2">
      <c r="A135" s="147">
        <v>3</v>
      </c>
      <c r="B135" s="169" t="s">
        <v>262</v>
      </c>
      <c r="C135" s="157">
        <v>5082048</v>
      </c>
      <c r="D135" s="157">
        <v>4375304</v>
      </c>
      <c r="E135" s="157">
        <f t="shared" si="8"/>
        <v>-706744</v>
      </c>
      <c r="F135" s="161">
        <f t="shared" si="9"/>
        <v>-0.13906676993212186</v>
      </c>
    </row>
    <row r="136" spans="1:6" ht="15" customHeight="1" x14ac:dyDescent="0.2">
      <c r="A136" s="147">
        <v>4</v>
      </c>
      <c r="B136" s="169" t="s">
        <v>263</v>
      </c>
      <c r="C136" s="157">
        <v>11451578</v>
      </c>
      <c r="D136" s="157">
        <v>11452942</v>
      </c>
      <c r="E136" s="157">
        <f t="shared" si="8"/>
        <v>1364</v>
      </c>
      <c r="F136" s="161">
        <f t="shared" si="9"/>
        <v>1.1911022218946594E-4</v>
      </c>
    </row>
    <row r="137" spans="1:6" ht="15" customHeight="1" x14ac:dyDescent="0.2">
      <c r="A137" s="147">
        <v>5</v>
      </c>
      <c r="B137" s="169" t="s">
        <v>264</v>
      </c>
      <c r="C137" s="157">
        <v>19564471</v>
      </c>
      <c r="D137" s="157">
        <v>19134447</v>
      </c>
      <c r="E137" s="157">
        <f t="shared" si="8"/>
        <v>-430024</v>
      </c>
      <c r="F137" s="161">
        <f t="shared" si="9"/>
        <v>-2.1979842951030979E-2</v>
      </c>
    </row>
    <row r="138" spans="1:6" ht="15" customHeight="1" x14ac:dyDescent="0.2">
      <c r="A138" s="147">
        <v>6</v>
      </c>
      <c r="B138" s="169" t="s">
        <v>265</v>
      </c>
      <c r="C138" s="157">
        <v>1080245</v>
      </c>
      <c r="D138" s="157">
        <v>1116060</v>
      </c>
      <c r="E138" s="157">
        <f t="shared" si="8"/>
        <v>35815</v>
      </c>
      <c r="F138" s="161">
        <f t="shared" si="9"/>
        <v>3.3154515873713833E-2</v>
      </c>
    </row>
    <row r="139" spans="1:6" ht="15" customHeight="1" x14ac:dyDescent="0.2">
      <c r="A139" s="147">
        <v>7</v>
      </c>
      <c r="B139" s="169" t="s">
        <v>266</v>
      </c>
      <c r="C139" s="157">
        <v>14686597</v>
      </c>
      <c r="D139" s="157">
        <v>13992928</v>
      </c>
      <c r="E139" s="157">
        <f t="shared" si="8"/>
        <v>-693669</v>
      </c>
      <c r="F139" s="161">
        <f t="shared" si="9"/>
        <v>-4.7231431488179328E-2</v>
      </c>
    </row>
    <row r="140" spans="1:6" ht="15" customHeight="1" x14ac:dyDescent="0.2">
      <c r="A140" s="147">
        <v>8</v>
      </c>
      <c r="B140" s="169" t="s">
        <v>267</v>
      </c>
      <c r="C140" s="157">
        <v>2249999</v>
      </c>
      <c r="D140" s="157">
        <v>1931455</v>
      </c>
      <c r="E140" s="157">
        <f t="shared" si="8"/>
        <v>-318544</v>
      </c>
      <c r="F140" s="161">
        <f t="shared" si="9"/>
        <v>-0.14157517403341069</v>
      </c>
    </row>
    <row r="141" spans="1:6" ht="15" customHeight="1" x14ac:dyDescent="0.2">
      <c r="A141" s="147">
        <v>9</v>
      </c>
      <c r="B141" s="169" t="s">
        <v>268</v>
      </c>
      <c r="C141" s="157">
        <v>2484966</v>
      </c>
      <c r="D141" s="157">
        <v>2820951</v>
      </c>
      <c r="E141" s="157">
        <f t="shared" si="8"/>
        <v>335985</v>
      </c>
      <c r="F141" s="161">
        <f t="shared" si="9"/>
        <v>0.13520708130413053</v>
      </c>
    </row>
    <row r="142" spans="1:6" ht="15" customHeight="1" x14ac:dyDescent="0.2">
      <c r="A142" s="147">
        <v>10</v>
      </c>
      <c r="B142" s="169" t="s">
        <v>269</v>
      </c>
      <c r="C142" s="157">
        <v>25531895</v>
      </c>
      <c r="D142" s="157">
        <v>26915602</v>
      </c>
      <c r="E142" s="157">
        <f t="shared" si="8"/>
        <v>1383707</v>
      </c>
      <c r="F142" s="161">
        <f t="shared" si="9"/>
        <v>5.4195233060452423E-2</v>
      </c>
    </row>
    <row r="143" spans="1:6" ht="15" customHeight="1" x14ac:dyDescent="0.2">
      <c r="A143" s="147">
        <v>11</v>
      </c>
      <c r="B143" s="169" t="s">
        <v>270</v>
      </c>
      <c r="C143" s="157">
        <v>8848280</v>
      </c>
      <c r="D143" s="157">
        <v>10350791</v>
      </c>
      <c r="E143" s="157">
        <f t="shared" si="8"/>
        <v>1502511</v>
      </c>
      <c r="F143" s="161">
        <f t="shared" si="9"/>
        <v>0.16980825651991122</v>
      </c>
    </row>
    <row r="144" spans="1:6" ht="15" customHeight="1" x14ac:dyDescent="0.2">
      <c r="A144" s="147">
        <v>12</v>
      </c>
      <c r="B144" s="169" t="s">
        <v>271</v>
      </c>
      <c r="C144" s="157">
        <v>7723542</v>
      </c>
      <c r="D144" s="157">
        <v>9526185</v>
      </c>
      <c r="E144" s="157">
        <f t="shared" si="8"/>
        <v>1802643</v>
      </c>
      <c r="F144" s="161">
        <f t="shared" si="9"/>
        <v>0.23339589530295815</v>
      </c>
    </row>
    <row r="145" spans="1:6" ht="15" customHeight="1" x14ac:dyDescent="0.2">
      <c r="A145" s="147">
        <v>13</v>
      </c>
      <c r="B145" s="169" t="s">
        <v>272</v>
      </c>
      <c r="C145" s="157">
        <v>1142429</v>
      </c>
      <c r="D145" s="157">
        <v>1131552</v>
      </c>
      <c r="E145" s="157">
        <f t="shared" si="8"/>
        <v>-10877</v>
      </c>
      <c r="F145" s="161">
        <f t="shared" si="9"/>
        <v>-9.5209417828153869E-3</v>
      </c>
    </row>
    <row r="146" spans="1:6" ht="15" customHeight="1" x14ac:dyDescent="0.2">
      <c r="A146" s="147">
        <v>14</v>
      </c>
      <c r="B146" s="169" t="s">
        <v>273</v>
      </c>
      <c r="C146" s="157">
        <v>544232</v>
      </c>
      <c r="D146" s="157">
        <v>101170</v>
      </c>
      <c r="E146" s="157">
        <f t="shared" si="8"/>
        <v>-443062</v>
      </c>
      <c r="F146" s="161">
        <f t="shared" si="9"/>
        <v>-0.81410501403813085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656367</v>
      </c>
      <c r="D148" s="157">
        <v>767657</v>
      </c>
      <c r="E148" s="157">
        <f t="shared" si="8"/>
        <v>111290</v>
      </c>
      <c r="F148" s="161">
        <f t="shared" si="9"/>
        <v>0.16955453275377952</v>
      </c>
    </row>
    <row r="149" spans="1:6" ht="15" customHeight="1" x14ac:dyDescent="0.2">
      <c r="A149" s="147">
        <v>17</v>
      </c>
      <c r="B149" s="169" t="s">
        <v>276</v>
      </c>
      <c r="C149" s="157">
        <v>2767</v>
      </c>
      <c r="D149" s="157">
        <v>3101</v>
      </c>
      <c r="E149" s="157">
        <f t="shared" si="8"/>
        <v>334</v>
      </c>
      <c r="F149" s="161">
        <f t="shared" si="9"/>
        <v>0.12070834839176003</v>
      </c>
    </row>
    <row r="150" spans="1:6" ht="15" customHeight="1" x14ac:dyDescent="0.2">
      <c r="A150" s="147">
        <v>18</v>
      </c>
      <c r="B150" s="169" t="s">
        <v>277</v>
      </c>
      <c r="C150" s="157">
        <v>7310213</v>
      </c>
      <c r="D150" s="157">
        <v>8241184</v>
      </c>
      <c r="E150" s="157">
        <f t="shared" si="8"/>
        <v>930971</v>
      </c>
      <c r="F150" s="161">
        <f t="shared" si="9"/>
        <v>0.12735210314665249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1626423</v>
      </c>
      <c r="D152" s="157">
        <v>1752258</v>
      </c>
      <c r="E152" s="157">
        <f t="shared" si="8"/>
        <v>125835</v>
      </c>
      <c r="F152" s="161">
        <f t="shared" si="9"/>
        <v>7.7369171488597982E-2</v>
      </c>
    </row>
    <row r="153" spans="1:6" ht="15" customHeight="1" x14ac:dyDescent="0.2">
      <c r="A153" s="147">
        <v>21</v>
      </c>
      <c r="B153" s="169" t="s">
        <v>280</v>
      </c>
      <c r="C153" s="157">
        <v>567186</v>
      </c>
      <c r="D153" s="157">
        <v>660072</v>
      </c>
      <c r="E153" s="157">
        <f t="shared" si="8"/>
        <v>92886</v>
      </c>
      <c r="F153" s="161">
        <f t="shared" si="9"/>
        <v>0.16376638351440267</v>
      </c>
    </row>
    <row r="154" spans="1:6" ht="15" customHeight="1" x14ac:dyDescent="0.2">
      <c r="A154" s="147">
        <v>22</v>
      </c>
      <c r="B154" s="169" t="s">
        <v>281</v>
      </c>
      <c r="C154" s="157">
        <v>19466117</v>
      </c>
      <c r="D154" s="157">
        <v>20848878</v>
      </c>
      <c r="E154" s="157">
        <f t="shared" si="8"/>
        <v>1382761</v>
      </c>
      <c r="F154" s="161">
        <f t="shared" si="9"/>
        <v>7.1034248895144314E-2</v>
      </c>
    </row>
    <row r="155" spans="1:6" ht="15" customHeight="1" x14ac:dyDescent="0.2">
      <c r="A155" s="147">
        <v>23</v>
      </c>
      <c r="B155" s="169" t="s">
        <v>282</v>
      </c>
      <c r="C155" s="157">
        <v>6926821</v>
      </c>
      <c r="D155" s="157">
        <v>7108992</v>
      </c>
      <c r="E155" s="157">
        <f t="shared" si="8"/>
        <v>182171</v>
      </c>
      <c r="F155" s="161">
        <f t="shared" si="9"/>
        <v>2.6299365899595212E-2</v>
      </c>
    </row>
    <row r="156" spans="1:6" ht="15" customHeight="1" x14ac:dyDescent="0.2">
      <c r="A156" s="147">
        <v>24</v>
      </c>
      <c r="B156" s="169" t="s">
        <v>283</v>
      </c>
      <c r="C156" s="157">
        <v>31714975</v>
      </c>
      <c r="D156" s="157">
        <v>32773692</v>
      </c>
      <c r="E156" s="157">
        <f t="shared" si="8"/>
        <v>1058717</v>
      </c>
      <c r="F156" s="161">
        <f t="shared" si="9"/>
        <v>3.338224293098134E-2</v>
      </c>
    </row>
    <row r="157" spans="1:6" ht="15" customHeight="1" x14ac:dyDescent="0.2">
      <c r="A157" s="147">
        <v>25</v>
      </c>
      <c r="B157" s="169" t="s">
        <v>284</v>
      </c>
      <c r="C157" s="157">
        <v>2318895</v>
      </c>
      <c r="D157" s="157">
        <v>2379622</v>
      </c>
      <c r="E157" s="157">
        <f t="shared" si="8"/>
        <v>60727</v>
      </c>
      <c r="F157" s="161">
        <f t="shared" si="9"/>
        <v>2.6187904152624418E-2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443924</v>
      </c>
      <c r="D159" s="157">
        <v>386759</v>
      </c>
      <c r="E159" s="157">
        <f t="shared" si="8"/>
        <v>-57165</v>
      </c>
      <c r="F159" s="161">
        <f t="shared" si="9"/>
        <v>-0.12877204206125373</v>
      </c>
    </row>
    <row r="160" spans="1:6" ht="15" customHeight="1" x14ac:dyDescent="0.2">
      <c r="A160" s="147">
        <v>28</v>
      </c>
      <c r="B160" s="169" t="s">
        <v>287</v>
      </c>
      <c r="C160" s="157">
        <v>5959094</v>
      </c>
      <c r="D160" s="157">
        <v>6901051</v>
      </c>
      <c r="E160" s="157">
        <f t="shared" si="8"/>
        <v>941957</v>
      </c>
      <c r="F160" s="161">
        <f t="shared" si="9"/>
        <v>0.15807050534863185</v>
      </c>
    </row>
    <row r="161" spans="1:6" ht="15" customHeight="1" x14ac:dyDescent="0.2">
      <c r="A161" s="147">
        <v>29</v>
      </c>
      <c r="B161" s="169" t="s">
        <v>288</v>
      </c>
      <c r="C161" s="157">
        <v>1989457</v>
      </c>
      <c r="D161" s="157">
        <v>1941701</v>
      </c>
      <c r="E161" s="157">
        <f t="shared" si="8"/>
        <v>-47756</v>
      </c>
      <c r="F161" s="161">
        <f t="shared" si="9"/>
        <v>-2.400453993225287E-2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25676210</v>
      </c>
      <c r="D163" s="157">
        <v>25215066</v>
      </c>
      <c r="E163" s="157">
        <f t="shared" si="8"/>
        <v>-461144</v>
      </c>
      <c r="F163" s="161">
        <f t="shared" si="9"/>
        <v>-1.7959971506698223E-2</v>
      </c>
    </row>
    <row r="164" spans="1:6" ht="15" customHeight="1" x14ac:dyDescent="0.2">
      <c r="A164" s="147">
        <v>32</v>
      </c>
      <c r="B164" s="169" t="s">
        <v>291</v>
      </c>
      <c r="C164" s="157">
        <v>31026320</v>
      </c>
      <c r="D164" s="157">
        <v>16324905</v>
      </c>
      <c r="E164" s="157">
        <f t="shared" si="8"/>
        <v>-14701415</v>
      </c>
      <c r="F164" s="161">
        <f t="shared" si="9"/>
        <v>-0.47383689074308522</v>
      </c>
    </row>
    <row r="165" spans="1:6" ht="15" customHeight="1" x14ac:dyDescent="0.2">
      <c r="A165" s="147">
        <v>33</v>
      </c>
      <c r="B165" s="169" t="s">
        <v>292</v>
      </c>
      <c r="C165" s="157">
        <v>1109425</v>
      </c>
      <c r="D165" s="157">
        <v>1025787</v>
      </c>
      <c r="E165" s="157">
        <f t="shared" si="8"/>
        <v>-83638</v>
      </c>
      <c r="F165" s="161">
        <f t="shared" si="9"/>
        <v>-7.5388602203844329E-2</v>
      </c>
    </row>
    <row r="166" spans="1:6" ht="15" customHeight="1" x14ac:dyDescent="0.2">
      <c r="A166" s="147">
        <v>34</v>
      </c>
      <c r="B166" s="169" t="s">
        <v>293</v>
      </c>
      <c r="C166" s="157">
        <v>23105684</v>
      </c>
      <c r="D166" s="157">
        <v>26265621</v>
      </c>
      <c r="E166" s="157">
        <f t="shared" si="8"/>
        <v>3159937</v>
      </c>
      <c r="F166" s="161">
        <f t="shared" si="9"/>
        <v>0.13676015823638893</v>
      </c>
    </row>
    <row r="167" spans="1:6" ht="15.75" customHeight="1" x14ac:dyDescent="0.25">
      <c r="A167" s="147"/>
      <c r="B167" s="165" t="s">
        <v>294</v>
      </c>
      <c r="C167" s="158">
        <f>SUM(C133:C166)</f>
        <v>343521975</v>
      </c>
      <c r="D167" s="158">
        <f>SUM(D133:D166)</f>
        <v>342621854</v>
      </c>
      <c r="E167" s="158">
        <f t="shared" si="8"/>
        <v>-900121</v>
      </c>
      <c r="F167" s="159">
        <f t="shared" si="9"/>
        <v>-2.6202719636785974E-3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116735611</v>
      </c>
      <c r="D170" s="157">
        <v>125935990</v>
      </c>
      <c r="E170" s="157">
        <f t="shared" ref="E170:E183" si="10">D170-C170</f>
        <v>9200379</v>
      </c>
      <c r="F170" s="161">
        <f t="shared" ref="F170:F183" si="11">IF(C170=0,0,E170/C170)</f>
        <v>7.8813816291242955E-2</v>
      </c>
    </row>
    <row r="171" spans="1:6" ht="15" customHeight="1" x14ac:dyDescent="0.2">
      <c r="A171" s="147">
        <v>2</v>
      </c>
      <c r="B171" s="169" t="s">
        <v>297</v>
      </c>
      <c r="C171" s="157">
        <v>23764599</v>
      </c>
      <c r="D171" s="157">
        <v>24245423</v>
      </c>
      <c r="E171" s="157">
        <f t="shared" si="10"/>
        <v>480824</v>
      </c>
      <c r="F171" s="161">
        <f t="shared" si="11"/>
        <v>2.0232784066754082E-2</v>
      </c>
    </row>
    <row r="172" spans="1:6" ht="15" customHeight="1" x14ac:dyDescent="0.2">
      <c r="A172" s="147">
        <v>3</v>
      </c>
      <c r="B172" s="169" t="s">
        <v>298</v>
      </c>
      <c r="C172" s="157">
        <v>4155776</v>
      </c>
      <c r="D172" s="157">
        <v>4364376</v>
      </c>
      <c r="E172" s="157">
        <f t="shared" si="10"/>
        <v>208600</v>
      </c>
      <c r="F172" s="161">
        <f t="shared" si="11"/>
        <v>5.0195198201250499E-2</v>
      </c>
    </row>
    <row r="173" spans="1:6" ht="15" customHeight="1" x14ac:dyDescent="0.2">
      <c r="A173" s="147">
        <v>4</v>
      </c>
      <c r="B173" s="169" t="s">
        <v>299</v>
      </c>
      <c r="C173" s="157">
        <v>19674621</v>
      </c>
      <c r="D173" s="157">
        <v>20723599</v>
      </c>
      <c r="E173" s="157">
        <f t="shared" si="10"/>
        <v>1048978</v>
      </c>
      <c r="F173" s="161">
        <f t="shared" si="11"/>
        <v>5.3316300222504921E-2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3817551</v>
      </c>
      <c r="D175" s="157">
        <v>4072549</v>
      </c>
      <c r="E175" s="157">
        <f t="shared" si="10"/>
        <v>254998</v>
      </c>
      <c r="F175" s="161">
        <f t="shared" si="11"/>
        <v>6.6796226166985065E-2</v>
      </c>
    </row>
    <row r="176" spans="1:6" ht="15" customHeight="1" x14ac:dyDescent="0.2">
      <c r="A176" s="147">
        <v>7</v>
      </c>
      <c r="B176" s="169" t="s">
        <v>302</v>
      </c>
      <c r="C176" s="157">
        <v>3251998</v>
      </c>
      <c r="D176" s="157">
        <v>3332090</v>
      </c>
      <c r="E176" s="157">
        <f t="shared" si="10"/>
        <v>80092</v>
      </c>
      <c r="F176" s="161">
        <f t="shared" si="11"/>
        <v>2.4628551432073452E-2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15331813</v>
      </c>
      <c r="D179" s="157">
        <v>15973448</v>
      </c>
      <c r="E179" s="157">
        <f t="shared" si="10"/>
        <v>641635</v>
      </c>
      <c r="F179" s="161">
        <f t="shared" si="11"/>
        <v>4.1849910379157376E-2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13713917</v>
      </c>
      <c r="D181" s="157">
        <v>13302499</v>
      </c>
      <c r="E181" s="157">
        <f t="shared" si="10"/>
        <v>-411418</v>
      </c>
      <c r="F181" s="161">
        <f t="shared" si="11"/>
        <v>-3.0000035730127286E-2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200445886</v>
      </c>
      <c r="D183" s="158">
        <f>SUM(D170:D182)</f>
        <v>211949974</v>
      </c>
      <c r="E183" s="158">
        <f t="shared" si="10"/>
        <v>11504088</v>
      </c>
      <c r="F183" s="159">
        <f t="shared" si="11"/>
        <v>5.739248746666719E-2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18947884</v>
      </c>
      <c r="D186" s="157">
        <v>18256597</v>
      </c>
      <c r="E186" s="157">
        <f>D186-C186</f>
        <v>-691287</v>
      </c>
      <c r="F186" s="161">
        <f>IF(C186=0,0,E186/C186)</f>
        <v>-3.6483598907403061E-2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1033299408</v>
      </c>
      <c r="D188" s="158">
        <f>+D186+D183+D167+D130+D121</f>
        <v>1082920481</v>
      </c>
      <c r="E188" s="158">
        <f>D188-C188</f>
        <v>49621073</v>
      </c>
      <c r="F188" s="159">
        <f>IF(C188=0,0,E188/C188)</f>
        <v>4.8021969833548964E-2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FILING&amp;RHARTFORD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opLeftCell="A9"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976155739</v>
      </c>
      <c r="D11" s="183">
        <v>980434820</v>
      </c>
      <c r="E11" s="76">
        <v>1021691377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82924357</v>
      </c>
      <c r="D12" s="185">
        <v>114392501</v>
      </c>
      <c r="E12" s="185">
        <v>109875547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1059080096</v>
      </c>
      <c r="D13" s="76">
        <f>+D11+D12</f>
        <v>1094827321</v>
      </c>
      <c r="E13" s="76">
        <f>+E11+E12</f>
        <v>1131566924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1022794910</v>
      </c>
      <c r="D14" s="185">
        <v>1033299408</v>
      </c>
      <c r="E14" s="185">
        <v>1082920481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36285186</v>
      </c>
      <c r="D15" s="76">
        <f>+D13-D14</f>
        <v>61527913</v>
      </c>
      <c r="E15" s="76">
        <f>+E13-E14</f>
        <v>48646443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16343412</v>
      </c>
      <c r="D16" s="185">
        <v>-3733261</v>
      </c>
      <c r="E16" s="185">
        <v>15536597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52628598</v>
      </c>
      <c r="D17" s="76">
        <f>D15+D16</f>
        <v>57794652</v>
      </c>
      <c r="E17" s="76">
        <f>E15+E16</f>
        <v>64183040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3.3740369008187984E-2</v>
      </c>
      <c r="D20" s="189">
        <f>IF(+D27=0,0,+D24/+D27)</f>
        <v>5.6391025536331851E-2</v>
      </c>
      <c r="E20" s="189">
        <f>IF(+E27=0,0,+E24/+E27)</f>
        <v>4.2408067022226499E-2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1.5197186855617814E-2</v>
      </c>
      <c r="D21" s="189">
        <f>IF(D27=0,0,+D26/D27)</f>
        <v>-3.4215757713867492E-3</v>
      </c>
      <c r="E21" s="189">
        <f>IF(E27=0,0,+E26/E27)</f>
        <v>1.3544197812640137E-2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4.8937555863805798E-2</v>
      </c>
      <c r="D22" s="189">
        <f>IF(D27=0,0,+D28/D27)</f>
        <v>5.2969449764945102E-2</v>
      </c>
      <c r="E22" s="189">
        <f>IF(E27=0,0,+E28/E27)</f>
        <v>5.5952264834866636E-2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36285186</v>
      </c>
      <c r="D24" s="76">
        <f>+D15</f>
        <v>61527913</v>
      </c>
      <c r="E24" s="76">
        <f>+E15</f>
        <v>48646443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1059080096</v>
      </c>
      <c r="D25" s="76">
        <f>+D13</f>
        <v>1094827321</v>
      </c>
      <c r="E25" s="76">
        <f>+E13</f>
        <v>1131566924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16343412</v>
      </c>
      <c r="D26" s="76">
        <f>+D16</f>
        <v>-3733261</v>
      </c>
      <c r="E26" s="76">
        <f>+E16</f>
        <v>15536597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1075423508</v>
      </c>
      <c r="D27" s="76">
        <f>+D25+D26</f>
        <v>1091094060</v>
      </c>
      <c r="E27" s="76">
        <f>+E25+E26</f>
        <v>1147103521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52628598</v>
      </c>
      <c r="D28" s="76">
        <f>+D17</f>
        <v>57794652</v>
      </c>
      <c r="E28" s="76">
        <f>+E17</f>
        <v>64183040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135104064</v>
      </c>
      <c r="D31" s="76">
        <v>164284091</v>
      </c>
      <c r="E31" s="76">
        <v>23382042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444215909</v>
      </c>
      <c r="D32" s="76">
        <v>458523099</v>
      </c>
      <c r="E32" s="76">
        <v>337678783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-50229199</v>
      </c>
      <c r="D33" s="76">
        <f>+D32-C32</f>
        <v>14307190</v>
      </c>
      <c r="E33" s="76">
        <f>+E32-D32</f>
        <v>-120844316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0.89839999999999998</v>
      </c>
      <c r="D34" s="193">
        <f>IF(C32=0,0,+D33/C32)</f>
        <v>3.2207738872314901E-2</v>
      </c>
      <c r="E34" s="193">
        <f>IF(D32=0,0,+E33/D32)</f>
        <v>-0.26355120660998588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0.38903356010105139</v>
      </c>
      <c r="D38" s="195">
        <f>IF((D40+D41)=0,0,+D39/(D40+D41))</f>
        <v>0.37559560881118798</v>
      </c>
      <c r="E38" s="195">
        <f>IF((E40+E41)=0,0,+E39/(E40+E41))</f>
        <v>0.37609313248740478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1022794910</v>
      </c>
      <c r="D39" s="76">
        <v>1033299408</v>
      </c>
      <c r="E39" s="196">
        <v>1082920481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2554085582</v>
      </c>
      <c r="D40" s="76">
        <v>2636703049</v>
      </c>
      <c r="E40" s="196">
        <v>2773771605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74980429</v>
      </c>
      <c r="D41" s="76">
        <v>114392501</v>
      </c>
      <c r="E41" s="196">
        <v>105622852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1.483909162837727</v>
      </c>
      <c r="D43" s="197">
        <f>IF(D38=0,0,IF((D46-D47)=0,0,((+D44-D45)/(D46-D47)/D38)))</f>
        <v>1.6505620736177</v>
      </c>
      <c r="E43" s="197">
        <f>IF(E38=0,0,IF((E46-E47)=0,0,((+E44-E45)/(E46-E47)/E38)))</f>
        <v>1.6983932114289295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473999558</v>
      </c>
      <c r="D44" s="76">
        <v>524744151</v>
      </c>
      <c r="E44" s="196">
        <v>570070926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1722815</v>
      </c>
      <c r="D45" s="76">
        <v>15652039</v>
      </c>
      <c r="E45" s="196">
        <v>20222323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874205121</v>
      </c>
      <c r="D46" s="76">
        <v>863452136</v>
      </c>
      <c r="E46" s="196">
        <v>908727003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56113065</v>
      </c>
      <c r="D47" s="76">
        <v>42261478</v>
      </c>
      <c r="E47" s="76">
        <v>47912694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0.93653384649356042</v>
      </c>
      <c r="D49" s="198">
        <f>IF(D38=0,0,IF(D51=0,0,(D50/D51)/D38))</f>
        <v>0.86804104082424927</v>
      </c>
      <c r="E49" s="198">
        <f>IF(E38=0,0,IF(E51=0,0,(E50/E51)/E38))</f>
        <v>0.83991577286091734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424421835</v>
      </c>
      <c r="D50" s="199">
        <v>396185617</v>
      </c>
      <c r="E50" s="199">
        <v>396213947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1164896053</v>
      </c>
      <c r="D51" s="199">
        <v>1215172520</v>
      </c>
      <c r="E51" s="199">
        <v>1254291903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0.67125996567241963</v>
      </c>
      <c r="D53" s="198">
        <f>IF(D38=0,0,IF(D55=0,0,(D54/D55)/D38))</f>
        <v>0.53610408448903801</v>
      </c>
      <c r="E53" s="198">
        <f>IF(E38=0,0,IF(E55=0,0,(E54/E55)/E38))</f>
        <v>0.6041189088429253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131175003</v>
      </c>
      <c r="D54" s="199">
        <v>109105612</v>
      </c>
      <c r="E54" s="199">
        <v>134456877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502311671</v>
      </c>
      <c r="D55" s="199">
        <v>541847991</v>
      </c>
      <c r="E55" s="199">
        <v>591786682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21493944.691823449</v>
      </c>
      <c r="D57" s="88">
        <f>+D60*D38</f>
        <v>14404972.369611721</v>
      </c>
      <c r="E57" s="88">
        <f>+E60*E38</f>
        <v>9251862.8522052206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30609202</v>
      </c>
      <c r="D58" s="199">
        <v>24219691</v>
      </c>
      <c r="E58" s="199">
        <v>20579150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24640388</v>
      </c>
      <c r="D59" s="199">
        <v>14132654</v>
      </c>
      <c r="E59" s="199">
        <v>4020775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55249590</v>
      </c>
      <c r="D60" s="76">
        <v>38352345</v>
      </c>
      <c r="E60" s="201">
        <v>24599925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2.1014911671611125E-2</v>
      </c>
      <c r="D62" s="202">
        <f>IF(D63=0,0,+D57/D63)</f>
        <v>1.3940753529989173E-2</v>
      </c>
      <c r="E62" s="202">
        <f>IF(E63=0,0,+E57/E63)</f>
        <v>8.543436950847751E-3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1022794910</v>
      </c>
      <c r="D63" s="199">
        <v>1033299408</v>
      </c>
      <c r="E63" s="199">
        <v>1082920481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1.5538104157705013</v>
      </c>
      <c r="D67" s="203">
        <f>IF(D69=0,0,D68/D69)</f>
        <v>1.6274283121863249</v>
      </c>
      <c r="E67" s="203">
        <f>IF(E69=0,0,E68/E69)</f>
        <v>1.0850950679189093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206280426</v>
      </c>
      <c r="D68" s="204">
        <v>235041845</v>
      </c>
      <c r="E68" s="204">
        <v>218021738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132757783</v>
      </c>
      <c r="D69" s="204">
        <v>144425314</v>
      </c>
      <c r="E69" s="204">
        <v>200924089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3.1137651739540182</v>
      </c>
      <c r="D71" s="203">
        <f>IF((D77/365)=0,0,+D74/(D77/365))</f>
        <v>9.8302213673060361</v>
      </c>
      <c r="E71" s="203">
        <f>IF((E77/365)=0,0,+E74/(E77/365))</f>
        <v>3.7798976044635957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8310780</v>
      </c>
      <c r="D72" s="183">
        <v>26532108</v>
      </c>
      <c r="E72" s="183">
        <v>10748539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8310780</v>
      </c>
      <c r="D74" s="204">
        <f>+D72+D73</f>
        <v>26532108</v>
      </c>
      <c r="E74" s="204">
        <f>+E72+E73</f>
        <v>10748539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1022794910</v>
      </c>
      <c r="D75" s="204">
        <f>+D14</f>
        <v>1033299408</v>
      </c>
      <c r="E75" s="204">
        <f>+E14</f>
        <v>1082920481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48593411</v>
      </c>
      <c r="D76" s="204">
        <v>48151764</v>
      </c>
      <c r="E76" s="204">
        <v>45004340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974201499</v>
      </c>
      <c r="D77" s="204">
        <f>+D75-D76</f>
        <v>985147644</v>
      </c>
      <c r="E77" s="204">
        <f>+E75-E76</f>
        <v>1037916141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40.987676229807015</v>
      </c>
      <c r="D79" s="203">
        <f>IF((D84/365)=0,0,+D83/(D84/365))</f>
        <v>36.225085911371444</v>
      </c>
      <c r="E79" s="203">
        <f>IF((E84/365)=0,0,+E83/(E84/365))</f>
        <v>40.332795746988083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128300658</v>
      </c>
      <c r="D80" s="212">
        <v>130223226</v>
      </c>
      <c r="E80" s="212">
        <v>143861135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18683246</v>
      </c>
      <c r="D82" s="212">
        <v>32918197</v>
      </c>
      <c r="E82" s="212">
        <v>30963410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109617412</v>
      </c>
      <c r="D83" s="212">
        <f>+D80+D81-D82</f>
        <v>97305029</v>
      </c>
      <c r="E83" s="212">
        <f>+E80+E81-E82</f>
        <v>112897725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976155739</v>
      </c>
      <c r="D84" s="204">
        <f>+D11</f>
        <v>980434820</v>
      </c>
      <c r="E84" s="204">
        <f>+E11</f>
        <v>1021691377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49.73980315647205</v>
      </c>
      <c r="D86" s="203">
        <f>IF((D90/365)=0,0,+D87/(D90/365))</f>
        <v>53.509989016428086</v>
      </c>
      <c r="E86" s="203">
        <f>IF((E90/365)=0,0,+E87/(E90/365))</f>
        <v>70.658205984099823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132757783</v>
      </c>
      <c r="D87" s="76">
        <f>+D69</f>
        <v>144425314</v>
      </c>
      <c r="E87" s="76">
        <f>+E69</f>
        <v>200924089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1022794910</v>
      </c>
      <c r="D88" s="76">
        <f t="shared" si="0"/>
        <v>1033299408</v>
      </c>
      <c r="E88" s="76">
        <f t="shared" si="0"/>
        <v>1082920481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48593411</v>
      </c>
      <c r="D89" s="201">
        <f t="shared" si="0"/>
        <v>48151764</v>
      </c>
      <c r="E89" s="201">
        <f t="shared" si="0"/>
        <v>45004340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974201499</v>
      </c>
      <c r="D90" s="76">
        <f>+D88-D89</f>
        <v>985147644</v>
      </c>
      <c r="E90" s="76">
        <f>+E88-E89</f>
        <v>1037916141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38.291003306191627</v>
      </c>
      <c r="D94" s="214">
        <f>IF(D96=0,0,(D95/D96)*100)</f>
        <v>35.52350813738385</v>
      </c>
      <c r="E94" s="214">
        <f>IF(E96=0,0,(E95/E96)*100)</f>
        <v>25.289716794645628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444215909</v>
      </c>
      <c r="D95" s="76">
        <f>+D32</f>
        <v>458523099</v>
      </c>
      <c r="E95" s="76">
        <f>+E32</f>
        <v>337678783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1160105170</v>
      </c>
      <c r="D96" s="76">
        <v>1290759621</v>
      </c>
      <c r="E96" s="76">
        <v>1335241457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24.109730959226027</v>
      </c>
      <c r="D98" s="214">
        <f>IF(D104=0,0,(D101/D104)*100)</f>
        <v>19.060161631356618</v>
      </c>
      <c r="E98" s="214">
        <f>IF(E104=0,0,(E101/E104)*100)</f>
        <v>17.493620082761694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52628598</v>
      </c>
      <c r="D99" s="76">
        <f>+D28</f>
        <v>57794652</v>
      </c>
      <c r="E99" s="76">
        <f>+E28</f>
        <v>64183040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48593411</v>
      </c>
      <c r="D100" s="201">
        <f>+D76</f>
        <v>48151764</v>
      </c>
      <c r="E100" s="201">
        <f>+E76</f>
        <v>45004340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101222009</v>
      </c>
      <c r="D101" s="76">
        <f>+D99+D100</f>
        <v>105946416</v>
      </c>
      <c r="E101" s="76">
        <f>+E99+E100</f>
        <v>109187380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132757783</v>
      </c>
      <c r="D102" s="204">
        <f>+D69</f>
        <v>144425314</v>
      </c>
      <c r="E102" s="204">
        <f>+E69</f>
        <v>200924089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287081033</v>
      </c>
      <c r="D103" s="216">
        <v>411427349</v>
      </c>
      <c r="E103" s="216">
        <v>423231343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419838816</v>
      </c>
      <c r="D104" s="204">
        <f>+D102+D103</f>
        <v>555852663</v>
      </c>
      <c r="E104" s="204">
        <f>+E102+E103</f>
        <v>624155432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39.256424649455184</v>
      </c>
      <c r="D106" s="214">
        <f>IF(D109=0,0,(D107/D109)*100)</f>
        <v>47.293193531409045</v>
      </c>
      <c r="E106" s="214">
        <f>IF(E109=0,0,(E107/E109)*100)</f>
        <v>55.621725685905773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287081033</v>
      </c>
      <c r="D107" s="204">
        <f>+D103</f>
        <v>411427349</v>
      </c>
      <c r="E107" s="204">
        <f>+E103</f>
        <v>423231343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444215909</v>
      </c>
      <c r="D108" s="204">
        <f>+D32</f>
        <v>458523099</v>
      </c>
      <c r="E108" s="204">
        <f>+E32</f>
        <v>337678783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731296942</v>
      </c>
      <c r="D109" s="204">
        <f>+D107+D108</f>
        <v>869950448</v>
      </c>
      <c r="E109" s="204">
        <f>+E107+E108</f>
        <v>760910126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1.132632598280942</v>
      </c>
      <c r="D111" s="214">
        <f>IF((+D113+D115)=0,0,((+D112+D113+D114)/(+D113+D115)))</f>
        <v>8.5495577130371601</v>
      </c>
      <c r="E111" s="214">
        <f>IF((+E113+E115)=0,0,((+E112+E113+E114)/(+E113+E115)))</f>
        <v>8.459336239807822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52628598</v>
      </c>
      <c r="D112" s="76">
        <f>+D17</f>
        <v>57794652</v>
      </c>
      <c r="E112" s="76">
        <f>+E17</f>
        <v>64183040</v>
      </c>
    </row>
    <row r="113" spans="1:8" ht="24" customHeight="1" x14ac:dyDescent="0.2">
      <c r="A113" s="85">
        <v>17</v>
      </c>
      <c r="B113" s="75" t="s">
        <v>88</v>
      </c>
      <c r="C113" s="218">
        <v>8386515</v>
      </c>
      <c r="D113" s="76">
        <v>11557893</v>
      </c>
      <c r="E113" s="76">
        <v>12644818</v>
      </c>
    </row>
    <row r="114" spans="1:8" ht="24" customHeight="1" x14ac:dyDescent="0.2">
      <c r="A114" s="85">
        <v>18</v>
      </c>
      <c r="B114" s="75" t="s">
        <v>374</v>
      </c>
      <c r="C114" s="218">
        <v>48593411</v>
      </c>
      <c r="D114" s="76">
        <v>48151764</v>
      </c>
      <c r="E114" s="76">
        <v>45004340</v>
      </c>
    </row>
    <row r="115" spans="1:8" ht="24" customHeight="1" x14ac:dyDescent="0.2">
      <c r="A115" s="85">
        <v>19</v>
      </c>
      <c r="B115" s="75" t="s">
        <v>104</v>
      </c>
      <c r="C115" s="218">
        <v>88386723</v>
      </c>
      <c r="D115" s="76">
        <v>2186012</v>
      </c>
      <c r="E115" s="76">
        <v>1757281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15.074538541861159</v>
      </c>
      <c r="D119" s="214">
        <f>IF(+D121=0,0,(+D120)/(+D121))</f>
        <v>16.201490852962312</v>
      </c>
      <c r="E119" s="214">
        <f>IF(+E121=0,0,(+E120)/(+E121))</f>
        <v>18.299663121378959</v>
      </c>
    </row>
    <row r="120" spans="1:8" ht="24" customHeight="1" x14ac:dyDescent="0.2">
      <c r="A120" s="85">
        <v>21</v>
      </c>
      <c r="B120" s="75" t="s">
        <v>378</v>
      </c>
      <c r="C120" s="218">
        <v>732523247</v>
      </c>
      <c r="D120" s="218">
        <v>780130364</v>
      </c>
      <c r="E120" s="218">
        <v>823564261</v>
      </c>
    </row>
    <row r="121" spans="1:8" ht="24" customHeight="1" x14ac:dyDescent="0.2">
      <c r="A121" s="85">
        <v>22</v>
      </c>
      <c r="B121" s="75" t="s">
        <v>374</v>
      </c>
      <c r="C121" s="218">
        <v>48593411</v>
      </c>
      <c r="D121" s="218">
        <v>48151764</v>
      </c>
      <c r="E121" s="218">
        <v>45004340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233240</v>
      </c>
      <c r="D124" s="218">
        <v>230835</v>
      </c>
      <c r="E124" s="218">
        <v>233354</v>
      </c>
    </row>
    <row r="125" spans="1:8" ht="24" customHeight="1" x14ac:dyDescent="0.2">
      <c r="A125" s="85">
        <v>2</v>
      </c>
      <c r="B125" s="75" t="s">
        <v>381</v>
      </c>
      <c r="C125" s="218">
        <v>42755</v>
      </c>
      <c r="D125" s="218">
        <v>43350</v>
      </c>
      <c r="E125" s="218">
        <v>43336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5.4552683896620282</v>
      </c>
      <c r="D126" s="219">
        <f>IF(D125=0,0,D124/D125)</f>
        <v>5.3249134948096888</v>
      </c>
      <c r="E126" s="219">
        <f>IF(E125=0,0,E124/E125)</f>
        <v>5.3847609377884442</v>
      </c>
    </row>
    <row r="127" spans="1:8" ht="24" customHeight="1" x14ac:dyDescent="0.2">
      <c r="A127" s="85">
        <v>4</v>
      </c>
      <c r="B127" s="75" t="s">
        <v>383</v>
      </c>
      <c r="C127" s="218">
        <v>673</v>
      </c>
      <c r="D127" s="218">
        <v>673</v>
      </c>
      <c r="E127" s="218">
        <v>645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802</v>
      </c>
      <c r="E128" s="218">
        <v>800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818</v>
      </c>
      <c r="D129" s="218">
        <v>867</v>
      </c>
      <c r="E129" s="218">
        <v>867</v>
      </c>
    </row>
    <row r="130" spans="1:7" ht="24" customHeight="1" x14ac:dyDescent="0.2">
      <c r="A130" s="85">
        <v>7</v>
      </c>
      <c r="B130" s="75" t="s">
        <v>386</v>
      </c>
      <c r="C130" s="193">
        <v>0.94950000000000001</v>
      </c>
      <c r="D130" s="193">
        <v>0.93969999999999998</v>
      </c>
      <c r="E130" s="193">
        <v>0.99119999999999997</v>
      </c>
    </row>
    <row r="131" spans="1:7" ht="24" customHeight="1" x14ac:dyDescent="0.2">
      <c r="A131" s="85">
        <v>8</v>
      </c>
      <c r="B131" s="75" t="s">
        <v>387</v>
      </c>
      <c r="C131" s="193">
        <v>0.78110000000000002</v>
      </c>
      <c r="D131" s="193">
        <v>0.78849999999999998</v>
      </c>
      <c r="E131" s="193">
        <v>0.79910000000000003</v>
      </c>
    </row>
    <row r="132" spans="1:7" ht="24" customHeight="1" x14ac:dyDescent="0.2">
      <c r="A132" s="85">
        <v>9</v>
      </c>
      <c r="B132" s="75" t="s">
        <v>388</v>
      </c>
      <c r="C132" s="219">
        <v>5807</v>
      </c>
      <c r="D132" s="219">
        <v>5517.2</v>
      </c>
      <c r="E132" s="219">
        <v>5575.7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0.32030722140461149</v>
      </c>
      <c r="D135" s="227">
        <f>IF(D149=0,0,D143/D149)</f>
        <v>0.31144601524674764</v>
      </c>
      <c r="E135" s="227">
        <f>IF(E149=0,0,E143/E149)</f>
        <v>0.31034073153258052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0.45609123719645195</v>
      </c>
      <c r="D136" s="227">
        <f>IF(D149=0,0,D144/D149)</f>
        <v>0.46086817416199682</v>
      </c>
      <c r="E136" s="227">
        <f>IF(E149=0,0,E144/E149)</f>
        <v>0.4521972539984957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0.19666986671866346</v>
      </c>
      <c r="D137" s="227">
        <f>IF(D149=0,0,D145/D149)</f>
        <v>0.20550209141128051</v>
      </c>
      <c r="E137" s="227">
        <f>IF(E149=0,0,E145/E149)</f>
        <v>0.21335090493148226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2.1969923559123711E-2</v>
      </c>
      <c r="D139" s="227">
        <f>IF(D149=0,0,D147/D149)</f>
        <v>1.6028152285115366E-2</v>
      </c>
      <c r="E139" s="227">
        <f>IF(E149=0,0,E147/E149)</f>
        <v>1.7273482039268335E-2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4.961751121149393E-3</v>
      </c>
      <c r="D140" s="227">
        <f>IF(D149=0,0,D148/D149)</f>
        <v>6.1555668948596876E-3</v>
      </c>
      <c r="E140" s="227">
        <f>IF(E149=0,0,E148/E149)</f>
        <v>6.837627498173196E-3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1.0000000000000002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818092056</v>
      </c>
      <c r="D143" s="229">
        <f>+D46-D147</f>
        <v>821190658</v>
      </c>
      <c r="E143" s="229">
        <f>+E46-E147</f>
        <v>860814309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1164896053</v>
      </c>
      <c r="D144" s="229">
        <f>+D51</f>
        <v>1215172520</v>
      </c>
      <c r="E144" s="229">
        <f>+E51</f>
        <v>1254291903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502311671</v>
      </c>
      <c r="D145" s="229">
        <f>+D55</f>
        <v>541847991</v>
      </c>
      <c r="E145" s="229">
        <f>+E55</f>
        <v>591786682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56113065</v>
      </c>
      <c r="D147" s="229">
        <f>+D47</f>
        <v>42261478</v>
      </c>
      <c r="E147" s="229">
        <f>+E47</f>
        <v>47912694</v>
      </c>
    </row>
    <row r="148" spans="1:7" ht="20.100000000000001" customHeight="1" x14ac:dyDescent="0.2">
      <c r="A148" s="226">
        <v>13</v>
      </c>
      <c r="B148" s="224" t="s">
        <v>402</v>
      </c>
      <c r="C148" s="230">
        <v>12672737</v>
      </c>
      <c r="D148" s="229">
        <v>16230402</v>
      </c>
      <c r="E148" s="229">
        <v>18966017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2554085582</v>
      </c>
      <c r="D149" s="229">
        <f>SUM(D143:D148)</f>
        <v>2636703049</v>
      </c>
      <c r="E149" s="229">
        <f>SUM(E143:E148)</f>
        <v>2773771605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0.45638727984371752</v>
      </c>
      <c r="D152" s="227">
        <f>IF(D166=0,0,D160/D166)</f>
        <v>0.49059010235659539</v>
      </c>
      <c r="E152" s="227">
        <f>IF(E166=0,0,E160/E166)</f>
        <v>0.49869896424410676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0.41014242105487098</v>
      </c>
      <c r="D153" s="227">
        <f>IF(D166=0,0,D161/D166)</f>
        <v>0.38178698474165496</v>
      </c>
      <c r="E153" s="227">
        <f>IF(E166=0,0,E161/E166)</f>
        <v>0.35935616442399038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0.1267616999778062</v>
      </c>
      <c r="D154" s="227">
        <f>IF(D166=0,0,D162/D166)</f>
        <v>0.10514037066588645</v>
      </c>
      <c r="E154" s="227">
        <f>IF(E166=0,0,E162/E166)</f>
        <v>0.12194903275110669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1.6648519394145862E-3</v>
      </c>
      <c r="D156" s="227">
        <f>IF(D166=0,0,D164/D166)</f>
        <v>1.5083194640225388E-2</v>
      </c>
      <c r="E156" s="227">
        <f>IF(E166=0,0,E164/E166)</f>
        <v>1.83411424157238E-2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5.0437471841907472E-3</v>
      </c>
      <c r="D157" s="227">
        <f>IF(D166=0,0,D165/D166)</f>
        <v>7.3993475956378469E-3</v>
      </c>
      <c r="E157" s="227">
        <f>IF(E166=0,0,E165/E166)</f>
        <v>1.654696165072405E-3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472276743</v>
      </c>
      <c r="D160" s="229">
        <f>+D44-D164</f>
        <v>509092112</v>
      </c>
      <c r="E160" s="229">
        <f>+E44-E164</f>
        <v>549848603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424421835</v>
      </c>
      <c r="D161" s="229">
        <f>+D50</f>
        <v>396185617</v>
      </c>
      <c r="E161" s="229">
        <f>+E50</f>
        <v>396213947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131175003</v>
      </c>
      <c r="D162" s="229">
        <f>+D54</f>
        <v>109105612</v>
      </c>
      <c r="E162" s="229">
        <f>+E54</f>
        <v>134456877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1722815</v>
      </c>
      <c r="D164" s="229">
        <f>+D45</f>
        <v>15652039</v>
      </c>
      <c r="E164" s="229">
        <f>+E45</f>
        <v>20222323</v>
      </c>
    </row>
    <row r="165" spans="1:6" ht="20.100000000000001" customHeight="1" x14ac:dyDescent="0.2">
      <c r="A165" s="226">
        <v>13</v>
      </c>
      <c r="B165" s="224" t="s">
        <v>417</v>
      </c>
      <c r="C165" s="230">
        <v>5219349</v>
      </c>
      <c r="D165" s="229">
        <v>7678405</v>
      </c>
      <c r="E165" s="229">
        <v>1824412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1034815745</v>
      </c>
      <c r="D166" s="229">
        <f>SUM(D160:D165)</f>
        <v>1037713785</v>
      </c>
      <c r="E166" s="229">
        <f>SUM(E160:E165)</f>
        <v>1102566162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14754</v>
      </c>
      <c r="D169" s="218">
        <v>14392</v>
      </c>
      <c r="E169" s="218">
        <v>14621</v>
      </c>
    </row>
    <row r="170" spans="1:6" ht="20.100000000000001" customHeight="1" x14ac:dyDescent="0.2">
      <c r="A170" s="226">
        <v>2</v>
      </c>
      <c r="B170" s="224" t="s">
        <v>420</v>
      </c>
      <c r="C170" s="218">
        <v>17602</v>
      </c>
      <c r="D170" s="218">
        <v>17992</v>
      </c>
      <c r="E170" s="218">
        <v>17826</v>
      </c>
    </row>
    <row r="171" spans="1:6" ht="20.100000000000001" customHeight="1" x14ac:dyDescent="0.2">
      <c r="A171" s="226">
        <v>3</v>
      </c>
      <c r="B171" s="224" t="s">
        <v>421</v>
      </c>
      <c r="C171" s="218">
        <v>10142</v>
      </c>
      <c r="D171" s="218">
        <v>10634</v>
      </c>
      <c r="E171" s="218">
        <v>10567</v>
      </c>
    </row>
    <row r="172" spans="1:6" ht="20.100000000000001" customHeight="1" x14ac:dyDescent="0.2">
      <c r="A172" s="226">
        <v>4</v>
      </c>
      <c r="B172" s="224" t="s">
        <v>422</v>
      </c>
      <c r="C172" s="218">
        <v>10142</v>
      </c>
      <c r="D172" s="218">
        <v>10634</v>
      </c>
      <c r="E172" s="218">
        <v>10567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257</v>
      </c>
      <c r="D174" s="218">
        <v>332</v>
      </c>
      <c r="E174" s="218">
        <v>322</v>
      </c>
    </row>
    <row r="175" spans="1:6" ht="20.100000000000001" customHeight="1" x14ac:dyDescent="0.2">
      <c r="A175" s="226">
        <v>7</v>
      </c>
      <c r="B175" s="224" t="s">
        <v>425</v>
      </c>
      <c r="C175" s="218">
        <v>549</v>
      </c>
      <c r="D175" s="218">
        <v>406</v>
      </c>
      <c r="E175" s="218">
        <v>547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42755</v>
      </c>
      <c r="D176" s="218">
        <f>+D169+D170+D171+D174</f>
        <v>43350</v>
      </c>
      <c r="E176" s="218">
        <f>+E169+E170+E171+E174</f>
        <v>43336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1.4782999999999999</v>
      </c>
      <c r="D179" s="231">
        <v>1.50315</v>
      </c>
      <c r="E179" s="231">
        <v>1.53467</v>
      </c>
    </row>
    <row r="180" spans="1:6" ht="20.100000000000001" customHeight="1" x14ac:dyDescent="0.2">
      <c r="A180" s="226">
        <v>2</v>
      </c>
      <c r="B180" s="224" t="s">
        <v>420</v>
      </c>
      <c r="C180" s="231">
        <v>1.86389</v>
      </c>
      <c r="D180" s="231">
        <v>1.8848199999999999</v>
      </c>
      <c r="E180" s="231">
        <v>1.96007</v>
      </c>
    </row>
    <row r="181" spans="1:6" ht="20.100000000000001" customHeight="1" x14ac:dyDescent="0.2">
      <c r="A181" s="226">
        <v>3</v>
      </c>
      <c r="B181" s="224" t="s">
        <v>421</v>
      </c>
      <c r="C181" s="231">
        <v>1.2605200000000001</v>
      </c>
      <c r="D181" s="231">
        <v>1.26519</v>
      </c>
      <c r="E181" s="231">
        <v>1.38947</v>
      </c>
    </row>
    <row r="182" spans="1:6" ht="20.100000000000001" customHeight="1" x14ac:dyDescent="0.2">
      <c r="A182" s="226">
        <v>4</v>
      </c>
      <c r="B182" s="224" t="s">
        <v>422</v>
      </c>
      <c r="C182" s="231">
        <v>1.2605200000000001</v>
      </c>
      <c r="D182" s="231">
        <v>1.26519</v>
      </c>
      <c r="E182" s="231">
        <v>1.38947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1.29735</v>
      </c>
      <c r="D184" s="231">
        <v>1.3554200000000001</v>
      </c>
      <c r="E184" s="231">
        <v>1.47359</v>
      </c>
    </row>
    <row r="185" spans="1:6" ht="20.100000000000001" customHeight="1" x14ac:dyDescent="0.2">
      <c r="A185" s="226">
        <v>7</v>
      </c>
      <c r="B185" s="224" t="s">
        <v>425</v>
      </c>
      <c r="C185" s="231">
        <v>1.4432499999999999</v>
      </c>
      <c r="D185" s="231">
        <v>1.1089</v>
      </c>
      <c r="E185" s="231">
        <v>1.2351300000000001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1.5842970000000001</v>
      </c>
      <c r="D186" s="231">
        <v>1.6020540000000001</v>
      </c>
      <c r="E186" s="231">
        <v>1.6737960000000001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23512</v>
      </c>
      <c r="D189" s="218">
        <v>24341</v>
      </c>
      <c r="E189" s="218">
        <v>20155</v>
      </c>
    </row>
    <row r="190" spans="1:6" ht="20.100000000000001" customHeight="1" x14ac:dyDescent="0.2">
      <c r="A190" s="226">
        <v>2</v>
      </c>
      <c r="B190" s="224" t="s">
        <v>433</v>
      </c>
      <c r="C190" s="218">
        <v>79877</v>
      </c>
      <c r="D190" s="218">
        <v>82947</v>
      </c>
      <c r="E190" s="218">
        <v>85860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103389</v>
      </c>
      <c r="D191" s="218">
        <f>+D190+D189</f>
        <v>107288</v>
      </c>
      <c r="E191" s="218">
        <f>+E190+E189</f>
        <v>106015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9" orientation="portrait" horizontalDpi="1200" verticalDpi="1200" r:id="rId1"/>
  <headerFooter>
    <oddHeader>&amp;LOFFICE OF HEALTH CARE ACCESS&amp;CTWELVE MONTHS ACTUAL FILING&amp;RHARTFORD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8509345</v>
      </c>
      <c r="D14" s="258">
        <v>24265795</v>
      </c>
      <c r="E14" s="258">
        <f t="shared" ref="E14:E24" si="0">D14-C14</f>
        <v>15756450</v>
      </c>
      <c r="F14" s="259">
        <f t="shared" ref="F14:F24" si="1">IF(C14=0,0,E14/C14)</f>
        <v>1.8516642585298868</v>
      </c>
    </row>
    <row r="15" spans="1:7" ht="20.25" customHeight="1" x14ac:dyDescent="0.3">
      <c r="A15" s="256">
        <v>2</v>
      </c>
      <c r="B15" s="257" t="s">
        <v>442</v>
      </c>
      <c r="C15" s="258">
        <v>2500235</v>
      </c>
      <c r="D15" s="258">
        <v>7931849</v>
      </c>
      <c r="E15" s="258">
        <f t="shared" si="0"/>
        <v>5431614</v>
      </c>
      <c r="F15" s="259">
        <f t="shared" si="1"/>
        <v>2.1724413905092921</v>
      </c>
    </row>
    <row r="16" spans="1:7" ht="20.25" customHeight="1" x14ac:dyDescent="0.3">
      <c r="A16" s="256">
        <v>3</v>
      </c>
      <c r="B16" s="257" t="s">
        <v>443</v>
      </c>
      <c r="C16" s="258">
        <v>4665949</v>
      </c>
      <c r="D16" s="258">
        <v>11977165</v>
      </c>
      <c r="E16" s="258">
        <f t="shared" si="0"/>
        <v>7311216</v>
      </c>
      <c r="F16" s="259">
        <f t="shared" si="1"/>
        <v>1.56693011432401</v>
      </c>
    </row>
    <row r="17" spans="1:6" ht="20.25" customHeight="1" x14ac:dyDescent="0.3">
      <c r="A17" s="256">
        <v>4</v>
      </c>
      <c r="B17" s="257" t="s">
        <v>444</v>
      </c>
      <c r="C17" s="258">
        <v>1671368</v>
      </c>
      <c r="D17" s="258">
        <v>3379955</v>
      </c>
      <c r="E17" s="258">
        <f t="shared" si="0"/>
        <v>1708587</v>
      </c>
      <c r="F17" s="259">
        <f t="shared" si="1"/>
        <v>1.0222685847760637</v>
      </c>
    </row>
    <row r="18" spans="1:6" ht="20.25" customHeight="1" x14ac:dyDescent="0.3">
      <c r="A18" s="256">
        <v>5</v>
      </c>
      <c r="B18" s="257" t="s">
        <v>381</v>
      </c>
      <c r="C18" s="260">
        <v>189</v>
      </c>
      <c r="D18" s="260">
        <v>520</v>
      </c>
      <c r="E18" s="260">
        <f t="shared" si="0"/>
        <v>331</v>
      </c>
      <c r="F18" s="259">
        <f t="shared" si="1"/>
        <v>1.7513227513227514</v>
      </c>
    </row>
    <row r="19" spans="1:6" ht="20.25" customHeight="1" x14ac:dyDescent="0.3">
      <c r="A19" s="256">
        <v>6</v>
      </c>
      <c r="B19" s="257" t="s">
        <v>380</v>
      </c>
      <c r="C19" s="260">
        <v>1167</v>
      </c>
      <c r="D19" s="260">
        <v>3314</v>
      </c>
      <c r="E19" s="260">
        <f t="shared" si="0"/>
        <v>2147</v>
      </c>
      <c r="F19" s="259">
        <f t="shared" si="1"/>
        <v>1.8397600685518423</v>
      </c>
    </row>
    <row r="20" spans="1:6" ht="20.25" customHeight="1" x14ac:dyDescent="0.3">
      <c r="A20" s="256">
        <v>7</v>
      </c>
      <c r="B20" s="257" t="s">
        <v>445</v>
      </c>
      <c r="C20" s="260">
        <v>902</v>
      </c>
      <c r="D20" s="260">
        <v>2195</v>
      </c>
      <c r="E20" s="260">
        <f t="shared" si="0"/>
        <v>1293</v>
      </c>
      <c r="F20" s="259">
        <f t="shared" si="1"/>
        <v>1.4334811529933482</v>
      </c>
    </row>
    <row r="21" spans="1:6" ht="20.25" customHeight="1" x14ac:dyDescent="0.3">
      <c r="A21" s="256">
        <v>8</v>
      </c>
      <c r="B21" s="257" t="s">
        <v>446</v>
      </c>
      <c r="C21" s="260">
        <v>260</v>
      </c>
      <c r="D21" s="260">
        <v>951</v>
      </c>
      <c r="E21" s="260">
        <f t="shared" si="0"/>
        <v>691</v>
      </c>
      <c r="F21" s="259">
        <f t="shared" si="1"/>
        <v>2.6576923076923076</v>
      </c>
    </row>
    <row r="22" spans="1:6" ht="20.25" customHeight="1" x14ac:dyDescent="0.3">
      <c r="A22" s="256">
        <v>9</v>
      </c>
      <c r="B22" s="257" t="s">
        <v>447</v>
      </c>
      <c r="C22" s="260">
        <v>153</v>
      </c>
      <c r="D22" s="260">
        <v>361</v>
      </c>
      <c r="E22" s="260">
        <f t="shared" si="0"/>
        <v>208</v>
      </c>
      <c r="F22" s="259">
        <f t="shared" si="1"/>
        <v>1.3594771241830066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13175294</v>
      </c>
      <c r="D23" s="263">
        <f>+D14+D16</f>
        <v>36242960</v>
      </c>
      <c r="E23" s="263">
        <f t="shared" si="0"/>
        <v>23067666</v>
      </c>
      <c r="F23" s="264">
        <f t="shared" si="1"/>
        <v>1.7508274198663043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4171603</v>
      </c>
      <c r="D24" s="263">
        <f>+D15+D17</f>
        <v>11311804</v>
      </c>
      <c r="E24" s="263">
        <f t="shared" si="0"/>
        <v>7140201</v>
      </c>
      <c r="F24" s="264">
        <f t="shared" si="1"/>
        <v>1.7116204490216351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66062465</v>
      </c>
      <c r="D40" s="258">
        <v>66038073</v>
      </c>
      <c r="E40" s="258">
        <f t="shared" ref="E40:E50" si="4">D40-C40</f>
        <v>-24392</v>
      </c>
      <c r="F40" s="259">
        <f t="shared" ref="F40:F50" si="5">IF(C40=0,0,E40/C40)</f>
        <v>-3.6922630725329426E-4</v>
      </c>
    </row>
    <row r="41" spans="1:6" ht="20.25" customHeight="1" x14ac:dyDescent="0.3">
      <c r="A41" s="256">
        <v>2</v>
      </c>
      <c r="B41" s="257" t="s">
        <v>442</v>
      </c>
      <c r="C41" s="258">
        <v>22514616</v>
      </c>
      <c r="D41" s="258">
        <v>22004306</v>
      </c>
      <c r="E41" s="258">
        <f t="shared" si="4"/>
        <v>-510310</v>
      </c>
      <c r="F41" s="259">
        <f t="shared" si="5"/>
        <v>-2.2665720792217819E-2</v>
      </c>
    </row>
    <row r="42" spans="1:6" ht="20.25" customHeight="1" x14ac:dyDescent="0.3">
      <c r="A42" s="256">
        <v>3</v>
      </c>
      <c r="B42" s="257" t="s">
        <v>443</v>
      </c>
      <c r="C42" s="258">
        <v>31406943</v>
      </c>
      <c r="D42" s="258">
        <v>32533001</v>
      </c>
      <c r="E42" s="258">
        <f t="shared" si="4"/>
        <v>1126058</v>
      </c>
      <c r="F42" s="259">
        <f t="shared" si="5"/>
        <v>3.585379194657691E-2</v>
      </c>
    </row>
    <row r="43" spans="1:6" ht="20.25" customHeight="1" x14ac:dyDescent="0.3">
      <c r="A43" s="256">
        <v>4</v>
      </c>
      <c r="B43" s="257" t="s">
        <v>444</v>
      </c>
      <c r="C43" s="258">
        <v>9486233</v>
      </c>
      <c r="D43" s="258">
        <v>9180372</v>
      </c>
      <c r="E43" s="258">
        <f t="shared" si="4"/>
        <v>-305861</v>
      </c>
      <c r="F43" s="259">
        <f t="shared" si="5"/>
        <v>-3.2242619383268362E-2</v>
      </c>
    </row>
    <row r="44" spans="1:6" ht="20.25" customHeight="1" x14ac:dyDescent="0.3">
      <c r="A44" s="256">
        <v>5</v>
      </c>
      <c r="B44" s="257" t="s">
        <v>381</v>
      </c>
      <c r="C44" s="260">
        <v>1255</v>
      </c>
      <c r="D44" s="260">
        <v>1168</v>
      </c>
      <c r="E44" s="260">
        <f t="shared" si="4"/>
        <v>-87</v>
      </c>
      <c r="F44" s="259">
        <f t="shared" si="5"/>
        <v>-6.932270916334661E-2</v>
      </c>
    </row>
    <row r="45" spans="1:6" ht="20.25" customHeight="1" x14ac:dyDescent="0.3">
      <c r="A45" s="256">
        <v>6</v>
      </c>
      <c r="B45" s="257" t="s">
        <v>380</v>
      </c>
      <c r="C45" s="260">
        <v>7802</v>
      </c>
      <c r="D45" s="260">
        <v>7010</v>
      </c>
      <c r="E45" s="260">
        <f t="shared" si="4"/>
        <v>-792</v>
      </c>
      <c r="F45" s="259">
        <f t="shared" si="5"/>
        <v>-0.10151243270956165</v>
      </c>
    </row>
    <row r="46" spans="1:6" ht="20.25" customHeight="1" x14ac:dyDescent="0.3">
      <c r="A46" s="256">
        <v>7</v>
      </c>
      <c r="B46" s="257" t="s">
        <v>445</v>
      </c>
      <c r="C46" s="260">
        <v>4912</v>
      </c>
      <c r="D46" s="260">
        <v>4852</v>
      </c>
      <c r="E46" s="260">
        <f t="shared" si="4"/>
        <v>-60</v>
      </c>
      <c r="F46" s="259">
        <f t="shared" si="5"/>
        <v>-1.2214983713355049E-2</v>
      </c>
    </row>
    <row r="47" spans="1:6" ht="20.25" customHeight="1" x14ac:dyDescent="0.3">
      <c r="A47" s="256">
        <v>8</v>
      </c>
      <c r="B47" s="257" t="s">
        <v>446</v>
      </c>
      <c r="C47" s="260">
        <v>800</v>
      </c>
      <c r="D47" s="260">
        <v>747</v>
      </c>
      <c r="E47" s="260">
        <f t="shared" si="4"/>
        <v>-53</v>
      </c>
      <c r="F47" s="259">
        <f t="shared" si="5"/>
        <v>-6.6250000000000003E-2</v>
      </c>
    </row>
    <row r="48" spans="1:6" ht="20.25" customHeight="1" x14ac:dyDescent="0.3">
      <c r="A48" s="256">
        <v>9</v>
      </c>
      <c r="B48" s="257" t="s">
        <v>447</v>
      </c>
      <c r="C48" s="260">
        <v>767</v>
      </c>
      <c r="D48" s="260">
        <v>663</v>
      </c>
      <c r="E48" s="260">
        <f t="shared" si="4"/>
        <v>-104</v>
      </c>
      <c r="F48" s="259">
        <f t="shared" si="5"/>
        <v>-0.13559322033898305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97469408</v>
      </c>
      <c r="D49" s="263">
        <f>+D40+D42</f>
        <v>98571074</v>
      </c>
      <c r="E49" s="263">
        <f t="shared" si="4"/>
        <v>1101666</v>
      </c>
      <c r="F49" s="264">
        <f t="shared" si="5"/>
        <v>1.1302684838303316E-2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32000849</v>
      </c>
      <c r="D50" s="263">
        <f>+D41+D43</f>
        <v>31184678</v>
      </c>
      <c r="E50" s="263">
        <f t="shared" si="4"/>
        <v>-816171</v>
      </c>
      <c r="F50" s="264">
        <f t="shared" si="5"/>
        <v>-2.5504667079301553E-2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11521964</v>
      </c>
      <c r="D66" s="258">
        <v>3221910</v>
      </c>
      <c r="E66" s="258">
        <f t="shared" ref="E66:E76" si="8">D66-C66</f>
        <v>-8300054</v>
      </c>
      <c r="F66" s="259">
        <f t="shared" ref="F66:F76" si="9">IF(C66=0,0,E66/C66)</f>
        <v>-0.72036798587463036</v>
      </c>
    </row>
    <row r="67" spans="1:6" ht="20.25" customHeight="1" x14ac:dyDescent="0.3">
      <c r="A67" s="256">
        <v>2</v>
      </c>
      <c r="B67" s="257" t="s">
        <v>442</v>
      </c>
      <c r="C67" s="258">
        <v>6107595</v>
      </c>
      <c r="D67" s="258">
        <v>1272580</v>
      </c>
      <c r="E67" s="258">
        <f t="shared" si="8"/>
        <v>-4835015</v>
      </c>
      <c r="F67" s="259">
        <f t="shared" si="9"/>
        <v>-0.79163975345451032</v>
      </c>
    </row>
    <row r="68" spans="1:6" ht="20.25" customHeight="1" x14ac:dyDescent="0.3">
      <c r="A68" s="256">
        <v>3</v>
      </c>
      <c r="B68" s="257" t="s">
        <v>443</v>
      </c>
      <c r="C68" s="258">
        <v>8552368</v>
      </c>
      <c r="D68" s="258">
        <v>3869574</v>
      </c>
      <c r="E68" s="258">
        <f t="shared" si="8"/>
        <v>-4682794</v>
      </c>
      <c r="F68" s="259">
        <f t="shared" si="9"/>
        <v>-0.54754355752699135</v>
      </c>
    </row>
    <row r="69" spans="1:6" ht="20.25" customHeight="1" x14ac:dyDescent="0.3">
      <c r="A69" s="256">
        <v>4</v>
      </c>
      <c r="B69" s="257" t="s">
        <v>444</v>
      </c>
      <c r="C69" s="258">
        <v>2147730</v>
      </c>
      <c r="D69" s="258">
        <v>1057639</v>
      </c>
      <c r="E69" s="258">
        <f t="shared" si="8"/>
        <v>-1090091</v>
      </c>
      <c r="F69" s="259">
        <f t="shared" si="9"/>
        <v>-0.5075549533693714</v>
      </c>
    </row>
    <row r="70" spans="1:6" ht="20.25" customHeight="1" x14ac:dyDescent="0.3">
      <c r="A70" s="256">
        <v>5</v>
      </c>
      <c r="B70" s="257" t="s">
        <v>381</v>
      </c>
      <c r="C70" s="260">
        <v>199</v>
      </c>
      <c r="D70" s="260">
        <v>67</v>
      </c>
      <c r="E70" s="260">
        <f t="shared" si="8"/>
        <v>-132</v>
      </c>
      <c r="F70" s="259">
        <f t="shared" si="9"/>
        <v>-0.66331658291457285</v>
      </c>
    </row>
    <row r="71" spans="1:6" ht="20.25" customHeight="1" x14ac:dyDescent="0.3">
      <c r="A71" s="256">
        <v>6</v>
      </c>
      <c r="B71" s="257" t="s">
        <v>380</v>
      </c>
      <c r="C71" s="260">
        <v>1949</v>
      </c>
      <c r="D71" s="260">
        <v>513</v>
      </c>
      <c r="E71" s="260">
        <f t="shared" si="8"/>
        <v>-1436</v>
      </c>
      <c r="F71" s="259">
        <f t="shared" si="9"/>
        <v>-0.73678809645972299</v>
      </c>
    </row>
    <row r="72" spans="1:6" ht="20.25" customHeight="1" x14ac:dyDescent="0.3">
      <c r="A72" s="256">
        <v>7</v>
      </c>
      <c r="B72" s="257" t="s">
        <v>445</v>
      </c>
      <c r="C72" s="260">
        <v>209</v>
      </c>
      <c r="D72" s="260">
        <v>612</v>
      </c>
      <c r="E72" s="260">
        <f t="shared" si="8"/>
        <v>403</v>
      </c>
      <c r="F72" s="259">
        <f t="shared" si="9"/>
        <v>1.9282296650717703</v>
      </c>
    </row>
    <row r="73" spans="1:6" ht="20.25" customHeight="1" x14ac:dyDescent="0.3">
      <c r="A73" s="256">
        <v>8</v>
      </c>
      <c r="B73" s="257" t="s">
        <v>446</v>
      </c>
      <c r="C73" s="260">
        <v>152</v>
      </c>
      <c r="D73" s="260">
        <v>161</v>
      </c>
      <c r="E73" s="260">
        <f t="shared" si="8"/>
        <v>9</v>
      </c>
      <c r="F73" s="259">
        <f t="shared" si="9"/>
        <v>5.921052631578947E-2</v>
      </c>
    </row>
    <row r="74" spans="1:6" ht="20.25" customHeight="1" x14ac:dyDescent="0.3">
      <c r="A74" s="256">
        <v>9</v>
      </c>
      <c r="B74" s="257" t="s">
        <v>447</v>
      </c>
      <c r="C74" s="260">
        <v>164</v>
      </c>
      <c r="D74" s="260">
        <v>61</v>
      </c>
      <c r="E74" s="260">
        <f t="shared" si="8"/>
        <v>-103</v>
      </c>
      <c r="F74" s="259">
        <f t="shared" si="9"/>
        <v>-0.62804878048780488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20074332</v>
      </c>
      <c r="D75" s="263">
        <f>+D66+D68</f>
        <v>7091484</v>
      </c>
      <c r="E75" s="263">
        <f t="shared" si="8"/>
        <v>-12982848</v>
      </c>
      <c r="F75" s="264">
        <f t="shared" si="9"/>
        <v>-0.64673873083298616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8255325</v>
      </c>
      <c r="D76" s="263">
        <f>+D67+D69</f>
        <v>2330219</v>
      </c>
      <c r="E76" s="263">
        <f t="shared" si="8"/>
        <v>-5925106</v>
      </c>
      <c r="F76" s="264">
        <f t="shared" si="9"/>
        <v>-0.71773140366975252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58709066</v>
      </c>
      <c r="D92" s="258">
        <v>70737727</v>
      </c>
      <c r="E92" s="258">
        <f t="shared" ref="E92:E102" si="12">D92-C92</f>
        <v>12028661</v>
      </c>
      <c r="F92" s="259">
        <f t="shared" ref="F92:F102" si="13">IF(C92=0,0,E92/C92)</f>
        <v>0.20488592000424602</v>
      </c>
    </row>
    <row r="93" spans="1:6" ht="20.25" customHeight="1" x14ac:dyDescent="0.3">
      <c r="A93" s="256">
        <v>2</v>
      </c>
      <c r="B93" s="257" t="s">
        <v>442</v>
      </c>
      <c r="C93" s="258">
        <v>19036008</v>
      </c>
      <c r="D93" s="258">
        <v>24084566</v>
      </c>
      <c r="E93" s="258">
        <f t="shared" si="12"/>
        <v>5048558</v>
      </c>
      <c r="F93" s="259">
        <f t="shared" si="13"/>
        <v>0.26521096229839786</v>
      </c>
    </row>
    <row r="94" spans="1:6" ht="20.25" customHeight="1" x14ac:dyDescent="0.3">
      <c r="A94" s="256">
        <v>3</v>
      </c>
      <c r="B94" s="257" t="s">
        <v>443</v>
      </c>
      <c r="C94" s="258">
        <v>30074008</v>
      </c>
      <c r="D94" s="258">
        <v>33828586</v>
      </c>
      <c r="E94" s="258">
        <f t="shared" si="12"/>
        <v>3754578</v>
      </c>
      <c r="F94" s="259">
        <f t="shared" si="13"/>
        <v>0.12484461665368979</v>
      </c>
    </row>
    <row r="95" spans="1:6" ht="20.25" customHeight="1" x14ac:dyDescent="0.3">
      <c r="A95" s="256">
        <v>4</v>
      </c>
      <c r="B95" s="257" t="s">
        <v>444</v>
      </c>
      <c r="C95" s="258">
        <v>8470310</v>
      </c>
      <c r="D95" s="258">
        <v>9538018</v>
      </c>
      <c r="E95" s="258">
        <f t="shared" si="12"/>
        <v>1067708</v>
      </c>
      <c r="F95" s="259">
        <f t="shared" si="13"/>
        <v>0.12605300160206651</v>
      </c>
    </row>
    <row r="96" spans="1:6" ht="20.25" customHeight="1" x14ac:dyDescent="0.3">
      <c r="A96" s="256">
        <v>5</v>
      </c>
      <c r="B96" s="257" t="s">
        <v>381</v>
      </c>
      <c r="C96" s="260">
        <v>1296</v>
      </c>
      <c r="D96" s="260">
        <v>1474</v>
      </c>
      <c r="E96" s="260">
        <f t="shared" si="12"/>
        <v>178</v>
      </c>
      <c r="F96" s="259">
        <f t="shared" si="13"/>
        <v>0.13734567901234568</v>
      </c>
    </row>
    <row r="97" spans="1:6" ht="20.25" customHeight="1" x14ac:dyDescent="0.3">
      <c r="A97" s="256">
        <v>6</v>
      </c>
      <c r="B97" s="257" t="s">
        <v>380</v>
      </c>
      <c r="C97" s="260">
        <v>7358</v>
      </c>
      <c r="D97" s="260">
        <v>9383</v>
      </c>
      <c r="E97" s="260">
        <f t="shared" si="12"/>
        <v>2025</v>
      </c>
      <c r="F97" s="259">
        <f t="shared" si="13"/>
        <v>0.2752106550693123</v>
      </c>
    </row>
    <row r="98" spans="1:6" ht="20.25" customHeight="1" x14ac:dyDescent="0.3">
      <c r="A98" s="256">
        <v>7</v>
      </c>
      <c r="B98" s="257" t="s">
        <v>445</v>
      </c>
      <c r="C98" s="260">
        <v>4903</v>
      </c>
      <c r="D98" s="260">
        <v>5053</v>
      </c>
      <c r="E98" s="260">
        <f t="shared" si="12"/>
        <v>150</v>
      </c>
      <c r="F98" s="259">
        <f t="shared" si="13"/>
        <v>3.0593514174994903E-2</v>
      </c>
    </row>
    <row r="99" spans="1:6" ht="20.25" customHeight="1" x14ac:dyDescent="0.3">
      <c r="A99" s="256">
        <v>8</v>
      </c>
      <c r="B99" s="257" t="s">
        <v>446</v>
      </c>
      <c r="C99" s="260">
        <v>1426</v>
      </c>
      <c r="D99" s="260">
        <v>1631</v>
      </c>
      <c r="E99" s="260">
        <f t="shared" si="12"/>
        <v>205</v>
      </c>
      <c r="F99" s="259">
        <f t="shared" si="13"/>
        <v>0.14375876577840113</v>
      </c>
    </row>
    <row r="100" spans="1:6" ht="20.25" customHeight="1" x14ac:dyDescent="0.3">
      <c r="A100" s="256">
        <v>9</v>
      </c>
      <c r="B100" s="257" t="s">
        <v>447</v>
      </c>
      <c r="C100" s="260">
        <v>948</v>
      </c>
      <c r="D100" s="260">
        <v>969</v>
      </c>
      <c r="E100" s="260">
        <f t="shared" si="12"/>
        <v>21</v>
      </c>
      <c r="F100" s="259">
        <f t="shared" si="13"/>
        <v>2.2151898734177215E-2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88783074</v>
      </c>
      <c r="D101" s="263">
        <f>+D92+D94</f>
        <v>104566313</v>
      </c>
      <c r="E101" s="263">
        <f t="shared" si="12"/>
        <v>15783239</v>
      </c>
      <c r="F101" s="264">
        <f t="shared" si="13"/>
        <v>0.17777306291512276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27506318</v>
      </c>
      <c r="D102" s="263">
        <f>+D93+D95</f>
        <v>33622584</v>
      </c>
      <c r="E102" s="263">
        <f t="shared" si="12"/>
        <v>6116266</v>
      </c>
      <c r="F102" s="264">
        <f t="shared" si="13"/>
        <v>0.22235858685266419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20126700</v>
      </c>
      <c r="D105" s="258">
        <v>18496780</v>
      </c>
      <c r="E105" s="258">
        <f t="shared" ref="E105:E115" si="14">D105-C105</f>
        <v>-1629920</v>
      </c>
      <c r="F105" s="259">
        <f t="shared" ref="F105:F115" si="15">IF(C105=0,0,E105/C105)</f>
        <v>-8.098297286688827E-2</v>
      </c>
    </row>
    <row r="106" spans="1:6" ht="20.25" customHeight="1" x14ac:dyDescent="0.3">
      <c r="A106" s="256">
        <v>2</v>
      </c>
      <c r="B106" s="257" t="s">
        <v>442</v>
      </c>
      <c r="C106" s="258">
        <v>6524723</v>
      </c>
      <c r="D106" s="258">
        <v>6234397</v>
      </c>
      <c r="E106" s="258">
        <f t="shared" si="14"/>
        <v>-290326</v>
      </c>
      <c r="F106" s="259">
        <f t="shared" si="15"/>
        <v>-4.4496295091760986E-2</v>
      </c>
    </row>
    <row r="107" spans="1:6" ht="20.25" customHeight="1" x14ac:dyDescent="0.3">
      <c r="A107" s="256">
        <v>3</v>
      </c>
      <c r="B107" s="257" t="s">
        <v>443</v>
      </c>
      <c r="C107" s="258">
        <v>11762443</v>
      </c>
      <c r="D107" s="258">
        <v>10772481</v>
      </c>
      <c r="E107" s="258">
        <f t="shared" si="14"/>
        <v>-989962</v>
      </c>
      <c r="F107" s="259">
        <f t="shared" si="15"/>
        <v>-8.416295832421887E-2</v>
      </c>
    </row>
    <row r="108" spans="1:6" ht="20.25" customHeight="1" x14ac:dyDescent="0.3">
      <c r="A108" s="256">
        <v>4</v>
      </c>
      <c r="B108" s="257" t="s">
        <v>444</v>
      </c>
      <c r="C108" s="258">
        <v>2931067</v>
      </c>
      <c r="D108" s="258">
        <v>2974803</v>
      </c>
      <c r="E108" s="258">
        <f t="shared" si="14"/>
        <v>43736</v>
      </c>
      <c r="F108" s="259">
        <f t="shared" si="15"/>
        <v>1.4921528576453558E-2</v>
      </c>
    </row>
    <row r="109" spans="1:6" ht="20.25" customHeight="1" x14ac:dyDescent="0.3">
      <c r="A109" s="256">
        <v>5</v>
      </c>
      <c r="B109" s="257" t="s">
        <v>381</v>
      </c>
      <c r="C109" s="260">
        <v>511</v>
      </c>
      <c r="D109" s="260">
        <v>462</v>
      </c>
      <c r="E109" s="260">
        <f t="shared" si="14"/>
        <v>-49</v>
      </c>
      <c r="F109" s="259">
        <f t="shared" si="15"/>
        <v>-9.5890410958904104E-2</v>
      </c>
    </row>
    <row r="110" spans="1:6" ht="20.25" customHeight="1" x14ac:dyDescent="0.3">
      <c r="A110" s="256">
        <v>6</v>
      </c>
      <c r="B110" s="257" t="s">
        <v>380</v>
      </c>
      <c r="C110" s="260">
        <v>3153</v>
      </c>
      <c r="D110" s="260">
        <v>2976</v>
      </c>
      <c r="E110" s="260">
        <f t="shared" si="14"/>
        <v>-177</v>
      </c>
      <c r="F110" s="259">
        <f t="shared" si="15"/>
        <v>-5.6137012369172214E-2</v>
      </c>
    </row>
    <row r="111" spans="1:6" ht="20.25" customHeight="1" x14ac:dyDescent="0.3">
      <c r="A111" s="256">
        <v>7</v>
      </c>
      <c r="B111" s="257" t="s">
        <v>445</v>
      </c>
      <c r="C111" s="260">
        <v>2447</v>
      </c>
      <c r="D111" s="260">
        <v>2019</v>
      </c>
      <c r="E111" s="260">
        <f t="shared" si="14"/>
        <v>-428</v>
      </c>
      <c r="F111" s="259">
        <f t="shared" si="15"/>
        <v>-0.17490805067429505</v>
      </c>
    </row>
    <row r="112" spans="1:6" ht="20.25" customHeight="1" x14ac:dyDescent="0.3">
      <c r="A112" s="256">
        <v>8</v>
      </c>
      <c r="B112" s="257" t="s">
        <v>446</v>
      </c>
      <c r="C112" s="260">
        <v>1340</v>
      </c>
      <c r="D112" s="260">
        <v>1136</v>
      </c>
      <c r="E112" s="260">
        <f t="shared" si="14"/>
        <v>-204</v>
      </c>
      <c r="F112" s="259">
        <f t="shared" si="15"/>
        <v>-0.15223880597014924</v>
      </c>
    </row>
    <row r="113" spans="1:6" ht="20.25" customHeight="1" x14ac:dyDescent="0.3">
      <c r="A113" s="256">
        <v>9</v>
      </c>
      <c r="B113" s="257" t="s">
        <v>447</v>
      </c>
      <c r="C113" s="260">
        <v>439</v>
      </c>
      <c r="D113" s="260">
        <v>343</v>
      </c>
      <c r="E113" s="260">
        <f t="shared" si="14"/>
        <v>-96</v>
      </c>
      <c r="F113" s="259">
        <f t="shared" si="15"/>
        <v>-0.21867881548974943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31889143</v>
      </c>
      <c r="D114" s="263">
        <f>+D105+D107</f>
        <v>29269261</v>
      </c>
      <c r="E114" s="263">
        <f t="shared" si="14"/>
        <v>-2619882</v>
      </c>
      <c r="F114" s="264">
        <f t="shared" si="15"/>
        <v>-8.2155923726140903E-2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9455790</v>
      </c>
      <c r="D115" s="263">
        <f>+D106+D108</f>
        <v>9209200</v>
      </c>
      <c r="E115" s="263">
        <f t="shared" si="14"/>
        <v>-246590</v>
      </c>
      <c r="F115" s="264">
        <f t="shared" si="15"/>
        <v>-2.6078201821317943E-2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34075749</v>
      </c>
      <c r="D118" s="258">
        <v>38419924</v>
      </c>
      <c r="E118" s="258">
        <f t="shared" ref="E118:E128" si="16">D118-C118</f>
        <v>4344175</v>
      </c>
      <c r="F118" s="259">
        <f t="shared" ref="F118:F128" si="17">IF(C118=0,0,E118/C118)</f>
        <v>0.12748582577011</v>
      </c>
    </row>
    <row r="119" spans="1:6" ht="20.25" customHeight="1" x14ac:dyDescent="0.3">
      <c r="A119" s="256">
        <v>2</v>
      </c>
      <c r="B119" s="257" t="s">
        <v>442</v>
      </c>
      <c r="C119" s="258">
        <v>10061691</v>
      </c>
      <c r="D119" s="258">
        <v>13121581</v>
      </c>
      <c r="E119" s="258">
        <f t="shared" si="16"/>
        <v>3059890</v>
      </c>
      <c r="F119" s="259">
        <f t="shared" si="17"/>
        <v>0.30411289712633793</v>
      </c>
    </row>
    <row r="120" spans="1:6" ht="20.25" customHeight="1" x14ac:dyDescent="0.3">
      <c r="A120" s="256">
        <v>3</v>
      </c>
      <c r="B120" s="257" t="s">
        <v>443</v>
      </c>
      <c r="C120" s="258">
        <v>17507005</v>
      </c>
      <c r="D120" s="258">
        <v>19947604</v>
      </c>
      <c r="E120" s="258">
        <f t="shared" si="16"/>
        <v>2440599</v>
      </c>
      <c r="F120" s="259">
        <f t="shared" si="17"/>
        <v>0.13940699737048112</v>
      </c>
    </row>
    <row r="121" spans="1:6" ht="20.25" customHeight="1" x14ac:dyDescent="0.3">
      <c r="A121" s="256">
        <v>4</v>
      </c>
      <c r="B121" s="257" t="s">
        <v>444</v>
      </c>
      <c r="C121" s="258">
        <v>5286971</v>
      </c>
      <c r="D121" s="258">
        <v>5634496</v>
      </c>
      <c r="E121" s="258">
        <f t="shared" si="16"/>
        <v>347525</v>
      </c>
      <c r="F121" s="259">
        <f t="shared" si="17"/>
        <v>6.5732344663891662E-2</v>
      </c>
    </row>
    <row r="122" spans="1:6" ht="20.25" customHeight="1" x14ac:dyDescent="0.3">
      <c r="A122" s="256">
        <v>5</v>
      </c>
      <c r="B122" s="257" t="s">
        <v>381</v>
      </c>
      <c r="C122" s="260">
        <v>737</v>
      </c>
      <c r="D122" s="260">
        <v>721</v>
      </c>
      <c r="E122" s="260">
        <f t="shared" si="16"/>
        <v>-16</v>
      </c>
      <c r="F122" s="259">
        <f t="shared" si="17"/>
        <v>-2.1709633649932156E-2</v>
      </c>
    </row>
    <row r="123" spans="1:6" ht="20.25" customHeight="1" x14ac:dyDescent="0.3">
      <c r="A123" s="256">
        <v>6</v>
      </c>
      <c r="B123" s="257" t="s">
        <v>380</v>
      </c>
      <c r="C123" s="260">
        <v>4356</v>
      </c>
      <c r="D123" s="260">
        <v>4513</v>
      </c>
      <c r="E123" s="260">
        <f t="shared" si="16"/>
        <v>157</v>
      </c>
      <c r="F123" s="259">
        <f t="shared" si="17"/>
        <v>3.6042240587695132E-2</v>
      </c>
    </row>
    <row r="124" spans="1:6" ht="20.25" customHeight="1" x14ac:dyDescent="0.3">
      <c r="A124" s="256">
        <v>7</v>
      </c>
      <c r="B124" s="257" t="s">
        <v>445</v>
      </c>
      <c r="C124" s="260">
        <v>2869</v>
      </c>
      <c r="D124" s="260">
        <v>2985</v>
      </c>
      <c r="E124" s="260">
        <f t="shared" si="16"/>
        <v>116</v>
      </c>
      <c r="F124" s="259">
        <f t="shared" si="17"/>
        <v>4.0432206343673754E-2</v>
      </c>
    </row>
    <row r="125" spans="1:6" ht="20.25" customHeight="1" x14ac:dyDescent="0.3">
      <c r="A125" s="256">
        <v>8</v>
      </c>
      <c r="B125" s="257" t="s">
        <v>446</v>
      </c>
      <c r="C125" s="260">
        <v>602</v>
      </c>
      <c r="D125" s="260">
        <v>637</v>
      </c>
      <c r="E125" s="260">
        <f t="shared" si="16"/>
        <v>35</v>
      </c>
      <c r="F125" s="259">
        <f t="shared" si="17"/>
        <v>5.8139534883720929E-2</v>
      </c>
    </row>
    <row r="126" spans="1:6" ht="20.25" customHeight="1" x14ac:dyDescent="0.3">
      <c r="A126" s="256">
        <v>9</v>
      </c>
      <c r="B126" s="257" t="s">
        <v>447</v>
      </c>
      <c r="C126" s="260">
        <v>532</v>
      </c>
      <c r="D126" s="260">
        <v>445</v>
      </c>
      <c r="E126" s="260">
        <f t="shared" si="16"/>
        <v>-87</v>
      </c>
      <c r="F126" s="259">
        <f t="shared" si="17"/>
        <v>-0.16353383458646617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51582754</v>
      </c>
      <c r="D127" s="263">
        <f>+D118+D120</f>
        <v>58367528</v>
      </c>
      <c r="E127" s="263">
        <f t="shared" si="16"/>
        <v>6784774</v>
      </c>
      <c r="F127" s="264">
        <f t="shared" si="17"/>
        <v>0.13153182941725058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15348662</v>
      </c>
      <c r="D128" s="263">
        <f>+D119+D121</f>
        <v>18756077</v>
      </c>
      <c r="E128" s="263">
        <f t="shared" si="16"/>
        <v>3407415</v>
      </c>
      <c r="F128" s="264">
        <f t="shared" si="17"/>
        <v>0.22200078417258781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199005289</v>
      </c>
      <c r="D198" s="263">
        <f t="shared" si="28"/>
        <v>221180209</v>
      </c>
      <c r="E198" s="263">
        <f t="shared" ref="E198:E208" si="29">D198-C198</f>
        <v>22174920</v>
      </c>
      <c r="F198" s="273">
        <f t="shared" ref="F198:F208" si="30">IF(C198=0,0,E198/C198)</f>
        <v>0.11142879725171526</v>
      </c>
    </row>
    <row r="199" spans="1:9" ht="20.25" customHeight="1" x14ac:dyDescent="0.3">
      <c r="A199" s="271"/>
      <c r="B199" s="272" t="s">
        <v>466</v>
      </c>
      <c r="C199" s="263">
        <f t="shared" si="28"/>
        <v>66744868</v>
      </c>
      <c r="D199" s="263">
        <f t="shared" si="28"/>
        <v>74649279</v>
      </c>
      <c r="E199" s="263">
        <f t="shared" si="29"/>
        <v>7904411</v>
      </c>
      <c r="F199" s="273">
        <f t="shared" si="30"/>
        <v>0.11842724747017254</v>
      </c>
    </row>
    <row r="200" spans="1:9" ht="20.25" customHeight="1" x14ac:dyDescent="0.3">
      <c r="A200" s="271"/>
      <c r="B200" s="272" t="s">
        <v>467</v>
      </c>
      <c r="C200" s="263">
        <f t="shared" si="28"/>
        <v>103968716</v>
      </c>
      <c r="D200" s="263">
        <f t="shared" si="28"/>
        <v>112928411</v>
      </c>
      <c r="E200" s="263">
        <f t="shared" si="29"/>
        <v>8959695</v>
      </c>
      <c r="F200" s="273">
        <f t="shared" si="30"/>
        <v>8.6176836116741123E-2</v>
      </c>
    </row>
    <row r="201" spans="1:9" ht="20.25" customHeight="1" x14ac:dyDescent="0.3">
      <c r="A201" s="271"/>
      <c r="B201" s="272" t="s">
        <v>468</v>
      </c>
      <c r="C201" s="263">
        <f t="shared" si="28"/>
        <v>29993679</v>
      </c>
      <c r="D201" s="263">
        <f t="shared" si="28"/>
        <v>31765283</v>
      </c>
      <c r="E201" s="263">
        <f t="shared" si="29"/>
        <v>1771604</v>
      </c>
      <c r="F201" s="273">
        <f t="shared" si="30"/>
        <v>5.9065911854294363E-2</v>
      </c>
    </row>
    <row r="202" spans="1:9" ht="20.25" customHeight="1" x14ac:dyDescent="0.3">
      <c r="A202" s="271"/>
      <c r="B202" s="272" t="s">
        <v>138</v>
      </c>
      <c r="C202" s="274">
        <f t="shared" si="28"/>
        <v>4187</v>
      </c>
      <c r="D202" s="274">
        <f t="shared" si="28"/>
        <v>4412</v>
      </c>
      <c r="E202" s="274">
        <f t="shared" si="29"/>
        <v>225</v>
      </c>
      <c r="F202" s="273">
        <f t="shared" si="30"/>
        <v>5.3737759732505372E-2</v>
      </c>
    </row>
    <row r="203" spans="1:9" ht="20.25" customHeight="1" x14ac:dyDescent="0.3">
      <c r="A203" s="271"/>
      <c r="B203" s="272" t="s">
        <v>140</v>
      </c>
      <c r="C203" s="274">
        <f t="shared" si="28"/>
        <v>25785</v>
      </c>
      <c r="D203" s="274">
        <f t="shared" si="28"/>
        <v>27709</v>
      </c>
      <c r="E203" s="274">
        <f t="shared" si="29"/>
        <v>1924</v>
      </c>
      <c r="F203" s="273">
        <f t="shared" si="30"/>
        <v>7.4617025402365714E-2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16242</v>
      </c>
      <c r="D204" s="274">
        <f t="shared" si="28"/>
        <v>17716</v>
      </c>
      <c r="E204" s="274">
        <f t="shared" si="29"/>
        <v>1474</v>
      </c>
      <c r="F204" s="273">
        <f t="shared" si="30"/>
        <v>9.0752370397734275E-2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4580</v>
      </c>
      <c r="D205" s="274">
        <f t="shared" si="28"/>
        <v>5263</v>
      </c>
      <c r="E205" s="274">
        <f t="shared" si="29"/>
        <v>683</v>
      </c>
      <c r="F205" s="273">
        <f t="shared" si="30"/>
        <v>0.14912663755458516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3003</v>
      </c>
      <c r="D206" s="274">
        <f t="shared" si="28"/>
        <v>2842</v>
      </c>
      <c r="E206" s="274">
        <f t="shared" si="29"/>
        <v>-161</v>
      </c>
      <c r="F206" s="273">
        <f t="shared" si="30"/>
        <v>-5.3613053613053616E-2</v>
      </c>
    </row>
    <row r="207" spans="1:9" ht="20.25" customHeight="1" x14ac:dyDescent="0.3">
      <c r="A207" s="271"/>
      <c r="B207" s="262" t="s">
        <v>471</v>
      </c>
      <c r="C207" s="263">
        <f>+C198+C200</f>
        <v>302974005</v>
      </c>
      <c r="D207" s="263">
        <f>+D198+D200</f>
        <v>334108620</v>
      </c>
      <c r="E207" s="263">
        <f t="shared" si="29"/>
        <v>31134615</v>
      </c>
      <c r="F207" s="273">
        <f t="shared" si="30"/>
        <v>0.10276332122948964</v>
      </c>
    </row>
    <row r="208" spans="1:9" ht="20.25" customHeight="1" x14ac:dyDescent="0.3">
      <c r="A208" s="271"/>
      <c r="B208" s="262" t="s">
        <v>472</v>
      </c>
      <c r="C208" s="263">
        <f>+C199+C201</f>
        <v>96738547</v>
      </c>
      <c r="D208" s="263">
        <f>+D199+D201</f>
        <v>106414562</v>
      </c>
      <c r="E208" s="263">
        <f t="shared" si="29"/>
        <v>9676015</v>
      </c>
      <c r="F208" s="273">
        <f t="shared" si="30"/>
        <v>0.10002233132569172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51" fitToHeight="2" orientation="portrait" horizontalDpi="1200" verticalDpi="1200" r:id="rId1"/>
  <headerFooter>
    <oddHeader>&amp;LOFFICE OF HEALTH CARE ACCESS&amp;CTWELVE MONTHS ACTUAL FILING&amp;RHARTFORD HOSPITAL</oddHeader>
    <oddFooter>&amp;LREPORT 200&amp;C&amp;P of &amp;N&amp;R&amp;D,&amp;T</oddFooter>
  </headerFooter>
  <rowBreaks count="4" manualBreakCount="4">
    <brk id="51" max="5" man="1"/>
    <brk id="90" max="5" man="1"/>
    <brk id="129" max="5" man="1"/>
    <brk id="16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FILING&amp;RHARTFORD HOSPITAL</oddHeader>
    <oddFooter>&amp;LREPORT 250&amp;C&amp;P of &amp;N&amp;R&amp;D,&amp;T</oddFooter>
  </headerFooter>
  <rowBreaks count="2" manualBreakCount="2">
    <brk id="48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376098000</v>
      </c>
      <c r="D13" s="22">
        <v>293434000</v>
      </c>
      <c r="E13" s="22">
        <f t="shared" ref="E13:E22" si="0">D13-C13</f>
        <v>-82664000</v>
      </c>
      <c r="F13" s="306">
        <f t="shared" ref="F13:F22" si="1">IF(C13=0,0,E13/C13)</f>
        <v>-0.21979377715382692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296632000</v>
      </c>
      <c r="D15" s="22">
        <v>315862000</v>
      </c>
      <c r="E15" s="22">
        <f t="shared" si="0"/>
        <v>19230000</v>
      </c>
      <c r="F15" s="306">
        <f t="shared" si="1"/>
        <v>6.4827800102483887E-2</v>
      </c>
    </row>
    <row r="16" spans="1:8" ht="35.1" customHeight="1" x14ac:dyDescent="0.2">
      <c r="A16" s="304">
        <v>4</v>
      </c>
      <c r="B16" s="305" t="s">
        <v>19</v>
      </c>
      <c r="C16" s="22">
        <v>5448000</v>
      </c>
      <c r="D16" s="22">
        <v>13047000</v>
      </c>
      <c r="E16" s="22">
        <f t="shared" si="0"/>
        <v>7599000</v>
      </c>
      <c r="F16" s="306">
        <f t="shared" si="1"/>
        <v>1.3948237885462555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30961000</v>
      </c>
      <c r="D19" s="22">
        <v>32633000</v>
      </c>
      <c r="E19" s="22">
        <f t="shared" si="0"/>
        <v>1672000</v>
      </c>
      <c r="F19" s="306">
        <f t="shared" si="1"/>
        <v>5.4003423662026422E-2</v>
      </c>
    </row>
    <row r="20" spans="1:11" ht="24" customHeight="1" x14ac:dyDescent="0.2">
      <c r="A20" s="304">
        <v>8</v>
      </c>
      <c r="B20" s="305" t="s">
        <v>23</v>
      </c>
      <c r="C20" s="22">
        <v>25231000</v>
      </c>
      <c r="D20" s="22">
        <v>30666000</v>
      </c>
      <c r="E20" s="22">
        <f t="shared" si="0"/>
        <v>5435000</v>
      </c>
      <c r="F20" s="306">
        <f t="shared" si="1"/>
        <v>0.21540961515595894</v>
      </c>
    </row>
    <row r="21" spans="1:11" ht="24" customHeight="1" x14ac:dyDescent="0.2">
      <c r="A21" s="304">
        <v>9</v>
      </c>
      <c r="B21" s="305" t="s">
        <v>24</v>
      </c>
      <c r="C21" s="22">
        <v>33815000</v>
      </c>
      <c r="D21" s="22">
        <v>24889000</v>
      </c>
      <c r="E21" s="22">
        <f t="shared" si="0"/>
        <v>-8926000</v>
      </c>
      <c r="F21" s="306">
        <f t="shared" si="1"/>
        <v>-0.26396569569717582</v>
      </c>
    </row>
    <row r="22" spans="1:11" ht="24" customHeight="1" x14ac:dyDescent="0.25">
      <c r="A22" s="307"/>
      <c r="B22" s="308" t="s">
        <v>25</v>
      </c>
      <c r="C22" s="309">
        <f>SUM(C13:C21)</f>
        <v>768185000</v>
      </c>
      <c r="D22" s="309">
        <f>SUM(D13:D21)</f>
        <v>710531000</v>
      </c>
      <c r="E22" s="309">
        <f t="shared" si="0"/>
        <v>-57654000</v>
      </c>
      <c r="F22" s="310">
        <f t="shared" si="1"/>
        <v>-7.505223351145883E-2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169546000</v>
      </c>
      <c r="D25" s="22">
        <v>177904000</v>
      </c>
      <c r="E25" s="22">
        <f>D25-C25</f>
        <v>8358000</v>
      </c>
      <c r="F25" s="306">
        <f>IF(C25=0,0,E25/C25)</f>
        <v>4.9296356151133029E-2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120177000</v>
      </c>
      <c r="D27" s="22">
        <v>73457000</v>
      </c>
      <c r="E27" s="22">
        <f>D27-C27</f>
        <v>-46720000</v>
      </c>
      <c r="F27" s="306">
        <f>IF(C27=0,0,E27/C27)</f>
        <v>-0.38875991246245123</v>
      </c>
    </row>
    <row r="28" spans="1:11" ht="35.1" customHeight="1" x14ac:dyDescent="0.2">
      <c r="A28" s="304">
        <v>4</v>
      </c>
      <c r="B28" s="305" t="s">
        <v>31</v>
      </c>
      <c r="C28" s="22">
        <v>1127378000</v>
      </c>
      <c r="D28" s="22">
        <v>1372417000</v>
      </c>
      <c r="E28" s="22">
        <f>D28-C28</f>
        <v>245039000</v>
      </c>
      <c r="F28" s="306">
        <f>IF(C28=0,0,E28/C28)</f>
        <v>0.21735300848517533</v>
      </c>
    </row>
    <row r="29" spans="1:11" ht="35.1" customHeight="1" x14ac:dyDescent="0.25">
      <c r="A29" s="307"/>
      <c r="B29" s="308" t="s">
        <v>32</v>
      </c>
      <c r="C29" s="309">
        <f>SUM(C25:C28)</f>
        <v>1417101000</v>
      </c>
      <c r="D29" s="309">
        <f>SUM(D25:D28)</f>
        <v>1623778000</v>
      </c>
      <c r="E29" s="309">
        <f>D29-C29</f>
        <v>206677000</v>
      </c>
      <c r="F29" s="310">
        <f>IF(C29=0,0,E29/C29)</f>
        <v>0.14584493271827484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68809000</v>
      </c>
      <c r="D32" s="22">
        <v>84840000</v>
      </c>
      <c r="E32" s="22">
        <f>D32-C32</f>
        <v>16031000</v>
      </c>
      <c r="F32" s="306">
        <f>IF(C32=0,0,E32/C32)</f>
        <v>0.23297824412504178</v>
      </c>
    </row>
    <row r="33" spans="1:8" ht="24" customHeight="1" x14ac:dyDescent="0.2">
      <c r="A33" s="304">
        <v>7</v>
      </c>
      <c r="B33" s="305" t="s">
        <v>35</v>
      </c>
      <c r="C33" s="22">
        <v>98877000</v>
      </c>
      <c r="D33" s="22">
        <v>93226000</v>
      </c>
      <c r="E33" s="22">
        <f>D33-C33</f>
        <v>-5651000</v>
      </c>
      <c r="F33" s="306">
        <f>IF(C33=0,0,E33/C33)</f>
        <v>-5.7151814881114919E-2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2614733000</v>
      </c>
      <c r="D36" s="22">
        <v>2776258000</v>
      </c>
      <c r="E36" s="22">
        <f>D36-C36</f>
        <v>161525000</v>
      </c>
      <c r="F36" s="306">
        <f>IF(C36=0,0,E36/C36)</f>
        <v>6.1774949870598644E-2</v>
      </c>
    </row>
    <row r="37" spans="1:8" ht="24" customHeight="1" x14ac:dyDescent="0.2">
      <c r="A37" s="304">
        <v>2</v>
      </c>
      <c r="B37" s="305" t="s">
        <v>39</v>
      </c>
      <c r="C37" s="22">
        <v>1651933000</v>
      </c>
      <c r="D37" s="22">
        <v>1776336000</v>
      </c>
      <c r="E37" s="22">
        <f>D37-C37</f>
        <v>124403000</v>
      </c>
      <c r="F37" s="22">
        <f>IF(C37=0,0,E37/C37)</f>
        <v>7.5307533659052753E-2</v>
      </c>
    </row>
    <row r="38" spans="1:8" ht="24" customHeight="1" x14ac:dyDescent="0.25">
      <c r="A38" s="307"/>
      <c r="B38" s="308" t="s">
        <v>40</v>
      </c>
      <c r="C38" s="309">
        <f>C36-C37</f>
        <v>962800000</v>
      </c>
      <c r="D38" s="309">
        <f>D36-D37</f>
        <v>999922000</v>
      </c>
      <c r="E38" s="309">
        <f>D38-C38</f>
        <v>37122000</v>
      </c>
      <c r="F38" s="310">
        <f>IF(C38=0,0,E38/C38)</f>
        <v>3.8556294142085584E-2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184090000</v>
      </c>
      <c r="D40" s="22">
        <v>249465000</v>
      </c>
      <c r="E40" s="22">
        <f>D40-C40</f>
        <v>65375000</v>
      </c>
      <c r="F40" s="306">
        <f>IF(C40=0,0,E40/C40)</f>
        <v>0.35512521049486662</v>
      </c>
    </row>
    <row r="41" spans="1:8" ht="24" customHeight="1" x14ac:dyDescent="0.25">
      <c r="A41" s="307"/>
      <c r="B41" s="308" t="s">
        <v>42</v>
      </c>
      <c r="C41" s="309">
        <f>+C38+C40</f>
        <v>1146890000</v>
      </c>
      <c r="D41" s="309">
        <f>+D38+D40</f>
        <v>1249387000</v>
      </c>
      <c r="E41" s="309">
        <f>D41-C41</f>
        <v>102497000</v>
      </c>
      <c r="F41" s="310">
        <f>IF(C41=0,0,E41/C41)</f>
        <v>8.9369512333353676E-2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3499862000</v>
      </c>
      <c r="D43" s="309">
        <f>D22+D29+D31+D32+D33+D41</f>
        <v>3761762000</v>
      </c>
      <c r="E43" s="309">
        <f>D43-C43</f>
        <v>261900000</v>
      </c>
      <c r="F43" s="310">
        <f>IF(C43=0,0,E43/C43)</f>
        <v>7.4831521928578892E-2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184210000</v>
      </c>
      <c r="D49" s="22">
        <v>212994000</v>
      </c>
      <c r="E49" s="22">
        <f t="shared" ref="E49:E56" si="2">D49-C49</f>
        <v>28784000</v>
      </c>
      <c r="F49" s="306">
        <f t="shared" ref="F49:F56" si="3">IF(C49=0,0,E49/C49)</f>
        <v>0.15625644644698986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84180000</v>
      </c>
      <c r="D50" s="22">
        <v>103571000</v>
      </c>
      <c r="E50" s="22">
        <f t="shared" si="2"/>
        <v>19391000</v>
      </c>
      <c r="F50" s="306">
        <f t="shared" si="3"/>
        <v>0.23035162746495605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66491000</v>
      </c>
      <c r="D51" s="22">
        <v>50436000</v>
      </c>
      <c r="E51" s="22">
        <f t="shared" si="2"/>
        <v>-16055000</v>
      </c>
      <c r="F51" s="306">
        <f t="shared" si="3"/>
        <v>-0.24146125039479027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44207000</v>
      </c>
      <c r="D53" s="22">
        <v>52582000</v>
      </c>
      <c r="E53" s="22">
        <f t="shared" si="2"/>
        <v>8375000</v>
      </c>
      <c r="F53" s="306">
        <f t="shared" si="3"/>
        <v>0.1894496346732418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45923000</v>
      </c>
      <c r="D55" s="22">
        <v>60135000</v>
      </c>
      <c r="E55" s="22">
        <f t="shared" si="2"/>
        <v>14212000</v>
      </c>
      <c r="F55" s="306">
        <f t="shared" si="3"/>
        <v>0.30947455523376088</v>
      </c>
    </row>
    <row r="56" spans="1:6" ht="24" customHeight="1" x14ac:dyDescent="0.25">
      <c r="A56" s="307"/>
      <c r="B56" s="308" t="s">
        <v>54</v>
      </c>
      <c r="C56" s="309">
        <f>SUM(C49:C55)</f>
        <v>425011000</v>
      </c>
      <c r="D56" s="309">
        <f>SUM(D49:D55)</f>
        <v>479718000</v>
      </c>
      <c r="E56" s="309">
        <f t="shared" si="2"/>
        <v>54707000</v>
      </c>
      <c r="F56" s="310">
        <f t="shared" si="3"/>
        <v>0.1287190213900346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739514000</v>
      </c>
      <c r="D59" s="22">
        <v>735764000</v>
      </c>
      <c r="E59" s="22">
        <f>D59-C59</f>
        <v>-3750000</v>
      </c>
      <c r="F59" s="306">
        <f>IF(C59=0,0,E59/C59)</f>
        <v>-5.0708979140354337E-3</v>
      </c>
    </row>
    <row r="60" spans="1:6" ht="24" customHeight="1" x14ac:dyDescent="0.2">
      <c r="A60" s="304">
        <v>2</v>
      </c>
      <c r="B60" s="305" t="s">
        <v>57</v>
      </c>
      <c r="C60" s="22">
        <v>96794000</v>
      </c>
      <c r="D60" s="22">
        <v>105837000</v>
      </c>
      <c r="E60" s="22">
        <f>D60-C60</f>
        <v>9043000</v>
      </c>
      <c r="F60" s="306">
        <f>IF(C60=0,0,E60/C60)</f>
        <v>9.3425212306547933E-2</v>
      </c>
    </row>
    <row r="61" spans="1:6" ht="24" customHeight="1" x14ac:dyDescent="0.25">
      <c r="A61" s="307"/>
      <c r="B61" s="308" t="s">
        <v>58</v>
      </c>
      <c r="C61" s="309">
        <f>SUM(C59:C60)</f>
        <v>836308000</v>
      </c>
      <c r="D61" s="309">
        <f>SUM(D59:D60)</f>
        <v>841601000</v>
      </c>
      <c r="E61" s="309">
        <f>D61-C61</f>
        <v>5293000</v>
      </c>
      <c r="F61" s="310">
        <f>IF(C61=0,0,E61/C61)</f>
        <v>6.3290079731390825E-3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499491000</v>
      </c>
      <c r="D63" s="22">
        <v>690103000</v>
      </c>
      <c r="E63" s="22">
        <f>D63-C63</f>
        <v>190612000</v>
      </c>
      <c r="F63" s="306">
        <f>IF(C63=0,0,E63/C63)</f>
        <v>0.38161248150617327</v>
      </c>
    </row>
    <row r="64" spans="1:6" ht="24" customHeight="1" x14ac:dyDescent="0.2">
      <c r="A64" s="304">
        <v>4</v>
      </c>
      <c r="B64" s="305" t="s">
        <v>60</v>
      </c>
      <c r="C64" s="22">
        <v>197898000</v>
      </c>
      <c r="D64" s="22">
        <v>184042000</v>
      </c>
      <c r="E64" s="22">
        <f>D64-C64</f>
        <v>-13856000</v>
      </c>
      <c r="F64" s="306">
        <f>IF(C64=0,0,E64/C64)</f>
        <v>-7.0015866759643858E-2</v>
      </c>
    </row>
    <row r="65" spans="1:6" ht="24" customHeight="1" x14ac:dyDescent="0.25">
      <c r="A65" s="307"/>
      <c r="B65" s="308" t="s">
        <v>61</v>
      </c>
      <c r="C65" s="309">
        <f>SUM(C61:C64)</f>
        <v>1533697000</v>
      </c>
      <c r="D65" s="309">
        <f>SUM(D61:D64)</f>
        <v>1715746000</v>
      </c>
      <c r="E65" s="309">
        <f>D65-C65</f>
        <v>182049000</v>
      </c>
      <c r="F65" s="310">
        <f>IF(C65=0,0,E65/C65)</f>
        <v>0.11869945628112985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3018000</v>
      </c>
      <c r="E67" s="22">
        <f>D67-C67</f>
        <v>3018000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1094448000</v>
      </c>
      <c r="D70" s="22">
        <v>1087549000</v>
      </c>
      <c r="E70" s="22">
        <f>D70-C70</f>
        <v>-6899000</v>
      </c>
      <c r="F70" s="306">
        <f>IF(C70=0,0,E70/C70)</f>
        <v>-6.3036343435229451E-3</v>
      </c>
    </row>
    <row r="71" spans="1:6" ht="24" customHeight="1" x14ac:dyDescent="0.2">
      <c r="A71" s="304">
        <v>2</v>
      </c>
      <c r="B71" s="305" t="s">
        <v>65</v>
      </c>
      <c r="C71" s="22">
        <v>174109000</v>
      </c>
      <c r="D71" s="22">
        <v>193564000</v>
      </c>
      <c r="E71" s="22">
        <f>D71-C71</f>
        <v>19455000</v>
      </c>
      <c r="F71" s="306">
        <f>IF(C71=0,0,E71/C71)</f>
        <v>0.11174034656450844</v>
      </c>
    </row>
    <row r="72" spans="1:6" ht="24" customHeight="1" x14ac:dyDescent="0.2">
      <c r="A72" s="304">
        <v>3</v>
      </c>
      <c r="B72" s="305" t="s">
        <v>66</v>
      </c>
      <c r="C72" s="22">
        <v>272597000</v>
      </c>
      <c r="D72" s="22">
        <v>282167000</v>
      </c>
      <c r="E72" s="22">
        <f>D72-C72</f>
        <v>9570000</v>
      </c>
      <c r="F72" s="306">
        <f>IF(C72=0,0,E72/C72)</f>
        <v>3.5106769333484958E-2</v>
      </c>
    </row>
    <row r="73" spans="1:6" ht="24" customHeight="1" x14ac:dyDescent="0.25">
      <c r="A73" s="304"/>
      <c r="B73" s="308" t="s">
        <v>67</v>
      </c>
      <c r="C73" s="309">
        <f>SUM(C70:C72)</f>
        <v>1541154000</v>
      </c>
      <c r="D73" s="309">
        <f>SUM(D70:D72)</f>
        <v>1563280000</v>
      </c>
      <c r="E73" s="309">
        <f>D73-C73</f>
        <v>22126000</v>
      </c>
      <c r="F73" s="310">
        <f>IF(C73=0,0,E73/C73)</f>
        <v>1.4356774209456032E-2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3499862000</v>
      </c>
      <c r="D75" s="309">
        <f>D56+D65+D67+D73</f>
        <v>3761762000</v>
      </c>
      <c r="E75" s="309">
        <f>D75-C75</f>
        <v>261900000</v>
      </c>
      <c r="F75" s="310">
        <f>IF(C75=0,0,E75/C75)</f>
        <v>7.4831521928578892E-2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5657713000</v>
      </c>
      <c r="D11" s="76">
        <v>6009180000</v>
      </c>
      <c r="E11" s="76">
        <f t="shared" ref="E11:E20" si="0">D11-C11</f>
        <v>351467000</v>
      </c>
      <c r="F11" s="77">
        <f t="shared" ref="F11:F20" si="1">IF(C11=0,0,E11/C11)</f>
        <v>6.2121744245422134E-2</v>
      </c>
    </row>
    <row r="12" spans="1:7" ht="23.1" customHeight="1" x14ac:dyDescent="0.2">
      <c r="A12" s="74">
        <v>2</v>
      </c>
      <c r="B12" s="75" t="s">
        <v>72</v>
      </c>
      <c r="C12" s="76">
        <v>3318875000</v>
      </c>
      <c r="D12" s="76">
        <v>3570361000</v>
      </c>
      <c r="E12" s="76">
        <f t="shared" si="0"/>
        <v>251486000</v>
      </c>
      <c r="F12" s="77">
        <f t="shared" si="1"/>
        <v>7.5774471771308055E-2</v>
      </c>
    </row>
    <row r="13" spans="1:7" ht="23.1" customHeight="1" x14ac:dyDescent="0.2">
      <c r="A13" s="74">
        <v>3</v>
      </c>
      <c r="B13" s="75" t="s">
        <v>73</v>
      </c>
      <c r="C13" s="76">
        <v>49416000</v>
      </c>
      <c r="D13" s="76">
        <v>50327000</v>
      </c>
      <c r="E13" s="76">
        <f t="shared" si="0"/>
        <v>911000</v>
      </c>
      <c r="F13" s="77">
        <f t="shared" si="1"/>
        <v>1.8435324591225512E-2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2289422000</v>
      </c>
      <c r="D15" s="79">
        <f>D11-D12-D13-D14</f>
        <v>2388492000</v>
      </c>
      <c r="E15" s="79">
        <f t="shared" si="0"/>
        <v>99070000</v>
      </c>
      <c r="F15" s="80">
        <f t="shared" si="1"/>
        <v>4.3272930896968757E-2</v>
      </c>
    </row>
    <row r="16" spans="1:7" ht="23.1" customHeight="1" x14ac:dyDescent="0.2">
      <c r="A16" s="74">
        <v>5</v>
      </c>
      <c r="B16" s="75" t="s">
        <v>76</v>
      </c>
      <c r="C16" s="76">
        <v>50042000</v>
      </c>
      <c r="D16" s="76">
        <v>37690000</v>
      </c>
      <c r="E16" s="76">
        <f t="shared" si="0"/>
        <v>-12352000</v>
      </c>
      <c r="F16" s="77">
        <f t="shared" si="1"/>
        <v>-0.24683266056512529</v>
      </c>
      <c r="G16" s="65"/>
    </row>
    <row r="17" spans="1:7" ht="31.5" customHeight="1" x14ac:dyDescent="0.25">
      <c r="A17" s="71"/>
      <c r="B17" s="81" t="s">
        <v>77</v>
      </c>
      <c r="C17" s="79">
        <f>C15-C16</f>
        <v>2239380000</v>
      </c>
      <c r="D17" s="79">
        <f>D15-D16</f>
        <v>2350802000</v>
      </c>
      <c r="E17" s="79">
        <f t="shared" si="0"/>
        <v>111422000</v>
      </c>
      <c r="F17" s="80">
        <f t="shared" si="1"/>
        <v>4.9755735962632518E-2</v>
      </c>
    </row>
    <row r="18" spans="1:7" ht="23.1" customHeight="1" x14ac:dyDescent="0.2">
      <c r="A18" s="74">
        <v>6</v>
      </c>
      <c r="B18" s="75" t="s">
        <v>78</v>
      </c>
      <c r="C18" s="76">
        <v>192865000</v>
      </c>
      <c r="D18" s="76">
        <v>300042000</v>
      </c>
      <c r="E18" s="76">
        <f t="shared" si="0"/>
        <v>107177000</v>
      </c>
      <c r="F18" s="77">
        <f t="shared" si="1"/>
        <v>0.55570995255748845</v>
      </c>
      <c r="G18" s="65"/>
    </row>
    <row r="19" spans="1:7" ht="33" customHeight="1" x14ac:dyDescent="0.2">
      <c r="A19" s="74">
        <v>7</v>
      </c>
      <c r="B19" s="82" t="s">
        <v>79</v>
      </c>
      <c r="C19" s="76">
        <v>14350000</v>
      </c>
      <c r="D19" s="76">
        <v>13087000</v>
      </c>
      <c r="E19" s="76">
        <f t="shared" si="0"/>
        <v>-1263000</v>
      </c>
      <c r="F19" s="77">
        <f t="shared" si="1"/>
        <v>-8.8013937282229962E-2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2446595000</v>
      </c>
      <c r="D20" s="79">
        <f>SUM(D17:D19)</f>
        <v>2663931000</v>
      </c>
      <c r="E20" s="79">
        <f t="shared" si="0"/>
        <v>217336000</v>
      </c>
      <c r="F20" s="80">
        <f t="shared" si="1"/>
        <v>8.8832029821036995E-2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1122021000</v>
      </c>
      <c r="D23" s="76">
        <v>1177584000</v>
      </c>
      <c r="E23" s="76">
        <f t="shared" ref="E23:E32" si="2">D23-C23</f>
        <v>55563000</v>
      </c>
      <c r="F23" s="77">
        <f t="shared" ref="F23:F32" si="3">IF(C23=0,0,E23/C23)</f>
        <v>4.952046352073624E-2</v>
      </c>
    </row>
    <row r="24" spans="1:7" ht="23.1" customHeight="1" x14ac:dyDescent="0.2">
      <c r="A24" s="74">
        <v>2</v>
      </c>
      <c r="B24" s="75" t="s">
        <v>83</v>
      </c>
      <c r="C24" s="76">
        <v>283891000</v>
      </c>
      <c r="D24" s="76">
        <v>277448000</v>
      </c>
      <c r="E24" s="76">
        <f t="shared" si="2"/>
        <v>-6443000</v>
      </c>
      <c r="F24" s="77">
        <f t="shared" si="3"/>
        <v>-2.2695330249990313E-2</v>
      </c>
    </row>
    <row r="25" spans="1:7" ht="23.1" customHeight="1" x14ac:dyDescent="0.2">
      <c r="A25" s="74">
        <v>3</v>
      </c>
      <c r="B25" s="75" t="s">
        <v>84</v>
      </c>
      <c r="C25" s="76">
        <v>74842000</v>
      </c>
      <c r="D25" s="76">
        <v>61962000</v>
      </c>
      <c r="E25" s="76">
        <f t="shared" si="2"/>
        <v>-12880000</v>
      </c>
      <c r="F25" s="77">
        <f t="shared" si="3"/>
        <v>-0.17209588199139519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390438000</v>
      </c>
      <c r="D26" s="76">
        <v>356009000</v>
      </c>
      <c r="E26" s="76">
        <f t="shared" si="2"/>
        <v>-34429000</v>
      </c>
      <c r="F26" s="77">
        <f t="shared" si="3"/>
        <v>-8.8180453746817683E-2</v>
      </c>
    </row>
    <row r="27" spans="1:7" ht="23.1" customHeight="1" x14ac:dyDescent="0.2">
      <c r="A27" s="74">
        <v>5</v>
      </c>
      <c r="B27" s="75" t="s">
        <v>86</v>
      </c>
      <c r="C27" s="76">
        <v>125330000</v>
      </c>
      <c r="D27" s="76">
        <v>138197000</v>
      </c>
      <c r="E27" s="76">
        <f t="shared" si="2"/>
        <v>12867000</v>
      </c>
      <c r="F27" s="77">
        <f t="shared" si="3"/>
        <v>0.10266496449373654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25328000</v>
      </c>
      <c r="D29" s="76">
        <v>27681000</v>
      </c>
      <c r="E29" s="76">
        <f t="shared" si="2"/>
        <v>2353000</v>
      </c>
      <c r="F29" s="77">
        <f t="shared" si="3"/>
        <v>9.2901137081490837E-2</v>
      </c>
    </row>
    <row r="30" spans="1:7" ht="23.1" customHeight="1" x14ac:dyDescent="0.2">
      <c r="A30" s="74">
        <v>8</v>
      </c>
      <c r="B30" s="75" t="s">
        <v>89</v>
      </c>
      <c r="C30" s="76">
        <v>22352000</v>
      </c>
      <c r="D30" s="76">
        <v>21421000</v>
      </c>
      <c r="E30" s="76">
        <f t="shared" si="2"/>
        <v>-931000</v>
      </c>
      <c r="F30" s="77">
        <f t="shared" si="3"/>
        <v>-4.1651753758052967E-2</v>
      </c>
    </row>
    <row r="31" spans="1:7" ht="23.1" customHeight="1" x14ac:dyDescent="0.2">
      <c r="A31" s="74">
        <v>9</v>
      </c>
      <c r="B31" s="75" t="s">
        <v>90</v>
      </c>
      <c r="C31" s="76">
        <v>372386000</v>
      </c>
      <c r="D31" s="76">
        <v>468076000</v>
      </c>
      <c r="E31" s="76">
        <f t="shared" si="2"/>
        <v>95690000</v>
      </c>
      <c r="F31" s="77">
        <f t="shared" si="3"/>
        <v>0.25696454753938119</v>
      </c>
    </row>
    <row r="32" spans="1:7" ht="23.1" customHeight="1" x14ac:dyDescent="0.25">
      <c r="A32" s="71"/>
      <c r="B32" s="78" t="s">
        <v>91</v>
      </c>
      <c r="C32" s="79">
        <f>SUM(C23:C31)</f>
        <v>2416588000</v>
      </c>
      <c r="D32" s="79">
        <f>SUM(D23:D31)</f>
        <v>2528378000</v>
      </c>
      <c r="E32" s="79">
        <f t="shared" si="2"/>
        <v>111790000</v>
      </c>
      <c r="F32" s="80">
        <f t="shared" si="3"/>
        <v>4.6259436858910166E-2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30007000</v>
      </c>
      <c r="D34" s="79">
        <f>+D20-D32</f>
        <v>135553000</v>
      </c>
      <c r="E34" s="79">
        <f>D34-C34</f>
        <v>105546000</v>
      </c>
      <c r="F34" s="80">
        <f>IF(C34=0,0,E34/C34)</f>
        <v>3.5173792781684274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50773000</v>
      </c>
      <c r="D37" s="76">
        <v>15253000</v>
      </c>
      <c r="E37" s="76">
        <f>D37-C37</f>
        <v>-35520000</v>
      </c>
      <c r="F37" s="77">
        <f>IF(C37=0,0,E37/C37)</f>
        <v>-0.69958442479270477</v>
      </c>
    </row>
    <row r="38" spans="1:6" ht="23.1" customHeight="1" x14ac:dyDescent="0.2">
      <c r="A38" s="85">
        <v>2</v>
      </c>
      <c r="B38" s="75" t="s">
        <v>95</v>
      </c>
      <c r="C38" s="76">
        <v>402000</v>
      </c>
      <c r="D38" s="76">
        <v>955000</v>
      </c>
      <c r="E38" s="76">
        <f>D38-C38</f>
        <v>553000</v>
      </c>
      <c r="F38" s="77">
        <f>IF(C38=0,0,E38/C38)</f>
        <v>1.3756218905472637</v>
      </c>
    </row>
    <row r="39" spans="1:6" ht="23.1" customHeight="1" x14ac:dyDescent="0.2">
      <c r="A39" s="85">
        <v>3</v>
      </c>
      <c r="B39" s="75" t="s">
        <v>96</v>
      </c>
      <c r="C39" s="76">
        <v>1819000</v>
      </c>
      <c r="D39" s="76">
        <v>-8728000</v>
      </c>
      <c r="E39" s="76">
        <f>D39-C39</f>
        <v>-10547000</v>
      </c>
      <c r="F39" s="77">
        <f>IF(C39=0,0,E39/C39)</f>
        <v>-5.7982407916437602</v>
      </c>
    </row>
    <row r="40" spans="1:6" ht="23.1" customHeight="1" x14ac:dyDescent="0.25">
      <c r="A40" s="83"/>
      <c r="B40" s="78" t="s">
        <v>97</v>
      </c>
      <c r="C40" s="79">
        <f>SUM(C37:C39)</f>
        <v>52994000</v>
      </c>
      <c r="D40" s="79">
        <f>SUM(D37:D39)</f>
        <v>7480000</v>
      </c>
      <c r="E40" s="79">
        <f>D40-C40</f>
        <v>-45514000</v>
      </c>
      <c r="F40" s="80">
        <f>IF(C40=0,0,E40/C40)</f>
        <v>-0.85885194550326449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83001000</v>
      </c>
      <c r="D42" s="79">
        <f>D34+D40</f>
        <v>143033000</v>
      </c>
      <c r="E42" s="79">
        <f>D42-C42</f>
        <v>60032000</v>
      </c>
      <c r="F42" s="80">
        <f>IF(C42=0,0,E42/C42)</f>
        <v>0.72326839435669454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-66362000</v>
      </c>
      <c r="D45" s="76">
        <v>74113000</v>
      </c>
      <c r="E45" s="76">
        <f>D45-C45</f>
        <v>140475000</v>
      </c>
      <c r="F45" s="77">
        <f>IF(C45=0,0,E45/C45)</f>
        <v>-2.1167987703806395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-9907000</v>
      </c>
      <c r="E46" s="76">
        <f>D46-C46</f>
        <v>-9907000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-66362000</v>
      </c>
      <c r="D47" s="79">
        <f>SUM(D45:D46)</f>
        <v>64206000</v>
      </c>
      <c r="E47" s="79">
        <f>D47-C47</f>
        <v>130568000</v>
      </c>
      <c r="F47" s="80">
        <f>IF(C47=0,0,E47/C47)</f>
        <v>-1.9675115276815045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16639000</v>
      </c>
      <c r="D49" s="79">
        <f>D42+D47</f>
        <v>207239000</v>
      </c>
      <c r="E49" s="79">
        <f>D49-C49</f>
        <v>190600000</v>
      </c>
      <c r="F49" s="80">
        <f>IF(C49=0,0,E49/C49)</f>
        <v>11.455015325440231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68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2017-09-21T18:30:26Z</dcterms:created>
  <dcterms:modified xsi:type="dcterms:W3CDTF">2017-09-21T19:10:36Z</dcterms:modified>
</cp:coreProperties>
</file>