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6AR12M\Excel Downloads\"/>
    </mc:Choice>
  </mc:AlternateContent>
  <bookViews>
    <workbookView xWindow="0" yWindow="0" windowWidth="21570" windowHeight="951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/>
</workbook>
</file>

<file path=xl/calcChain.xml><?xml version="1.0" encoding="utf-8"?>
<calcChain xmlns="http://schemas.openxmlformats.org/spreadsheetml/2006/main">
  <c r="E97" i="22" l="1"/>
  <c r="D97" i="22"/>
  <c r="C97" i="22"/>
  <c r="E96" i="22"/>
  <c r="D96" i="22"/>
  <c r="D98" i="22"/>
  <c r="C96" i="22"/>
  <c r="C98" i="22"/>
  <c r="E92" i="22"/>
  <c r="D92" i="22"/>
  <c r="C92" i="22"/>
  <c r="E91" i="22"/>
  <c r="E93" i="22" s="1"/>
  <c r="D91" i="22"/>
  <c r="D93" i="22" s="1"/>
  <c r="C91" i="22"/>
  <c r="C93" i="22" s="1"/>
  <c r="E87" i="22"/>
  <c r="D87" i="22"/>
  <c r="C87" i="22"/>
  <c r="E86" i="22"/>
  <c r="D86" i="22"/>
  <c r="D88" i="22" s="1"/>
  <c r="C86" i="22"/>
  <c r="E83" i="22"/>
  <c r="D83" i="22"/>
  <c r="C83" i="22"/>
  <c r="E76" i="22"/>
  <c r="D76" i="22"/>
  <c r="C76" i="22"/>
  <c r="E75" i="22"/>
  <c r="E77" i="22"/>
  <c r="D75" i="22"/>
  <c r="D77" i="22" s="1"/>
  <c r="D109" i="22" s="1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 s="1"/>
  <c r="D12" i="22"/>
  <c r="C12" i="22"/>
  <c r="D21" i="21"/>
  <c r="C21" i="21"/>
  <c r="D19" i="21"/>
  <c r="E19" i="21" s="1"/>
  <c r="F19" i="21" s="1"/>
  <c r="C19" i="21"/>
  <c r="E17" i="21"/>
  <c r="F17" i="21" s="1"/>
  <c r="E15" i="21"/>
  <c r="F15" i="21" s="1"/>
  <c r="D45" i="20"/>
  <c r="C45" i="20"/>
  <c r="D44" i="20"/>
  <c r="C44" i="20"/>
  <c r="D43" i="20"/>
  <c r="E43" i="20" s="1"/>
  <c r="F43" i="20" s="1"/>
  <c r="C43" i="20"/>
  <c r="D36" i="20"/>
  <c r="D40" i="20" s="1"/>
  <c r="C36" i="20"/>
  <c r="C40" i="20" s="1"/>
  <c r="E35" i="20"/>
  <c r="F35" i="20" s="1"/>
  <c r="F34" i="20"/>
  <c r="E34" i="20"/>
  <c r="F33" i="20"/>
  <c r="E33" i="20"/>
  <c r="E30" i="20"/>
  <c r="F30" i="20" s="1"/>
  <c r="F29" i="20"/>
  <c r="E29" i="20"/>
  <c r="E28" i="20"/>
  <c r="F28" i="20" s="1"/>
  <c r="E27" i="20"/>
  <c r="F27" i="20" s="1"/>
  <c r="D25" i="20"/>
  <c r="D39" i="20" s="1"/>
  <c r="D41" i="20" s="1"/>
  <c r="C25" i="20"/>
  <c r="F24" i="20"/>
  <c r="E24" i="20"/>
  <c r="E23" i="20"/>
  <c r="F23" i="20" s="1"/>
  <c r="E22" i="20"/>
  <c r="D19" i="20"/>
  <c r="C19" i="20"/>
  <c r="E18" i="20"/>
  <c r="F18" i="20" s="1"/>
  <c r="D16" i="20"/>
  <c r="C16" i="20"/>
  <c r="E15" i="20"/>
  <c r="F15" i="20" s="1"/>
  <c r="E13" i="20"/>
  <c r="F13" i="20" s="1"/>
  <c r="E12" i="20"/>
  <c r="F12" i="20" s="1"/>
  <c r="C137" i="19"/>
  <c r="C139" i="19" s="1"/>
  <c r="C143" i="19" s="1"/>
  <c r="C115" i="19"/>
  <c r="C105" i="19"/>
  <c r="C96" i="19"/>
  <c r="C95" i="19"/>
  <c r="C89" i="19"/>
  <c r="C88" i="19"/>
  <c r="C83" i="19"/>
  <c r="C77" i="19"/>
  <c r="C78" i="19" s="1"/>
  <c r="C63" i="19"/>
  <c r="C59" i="19"/>
  <c r="C60" i="19" s="1"/>
  <c r="C48" i="19"/>
  <c r="C36" i="19"/>
  <c r="C32" i="19"/>
  <c r="C33" i="19" s="1"/>
  <c r="C21" i="19"/>
  <c r="E328" i="18"/>
  <c r="E325" i="18"/>
  <c r="D324" i="18"/>
  <c r="D326" i="18"/>
  <c r="C324" i="18"/>
  <c r="C326" i="18" s="1"/>
  <c r="C330" i="18" s="1"/>
  <c r="E318" i="18"/>
  <c r="E315" i="18"/>
  <c r="D314" i="18"/>
  <c r="E314" i="18" s="1"/>
  <c r="C314" i="18"/>
  <c r="C316" i="18" s="1"/>
  <c r="C320" i="18" s="1"/>
  <c r="E308" i="18"/>
  <c r="E305" i="18"/>
  <c r="D301" i="18"/>
  <c r="C301" i="18"/>
  <c r="D293" i="18"/>
  <c r="C293" i="18"/>
  <c r="D292" i="18"/>
  <c r="E292" i="18" s="1"/>
  <c r="C292" i="18"/>
  <c r="D291" i="18"/>
  <c r="E291" i="18" s="1"/>
  <c r="C291" i="18"/>
  <c r="D290" i="18"/>
  <c r="E290" i="18" s="1"/>
  <c r="C290" i="18"/>
  <c r="D288" i="18"/>
  <c r="C288" i="18"/>
  <c r="D287" i="18"/>
  <c r="C287" i="18"/>
  <c r="D282" i="18"/>
  <c r="C282" i="18"/>
  <c r="D281" i="18"/>
  <c r="E281" i="18" s="1"/>
  <c r="C281" i="18"/>
  <c r="D280" i="18"/>
  <c r="E280" i="18" s="1"/>
  <c r="C280" i="18"/>
  <c r="D279" i="18"/>
  <c r="C279" i="18"/>
  <c r="D278" i="18"/>
  <c r="E278" i="18" s="1"/>
  <c r="C278" i="18"/>
  <c r="D277" i="18"/>
  <c r="C277" i="18"/>
  <c r="E277" i="18" s="1"/>
  <c r="D276" i="18"/>
  <c r="C276" i="18"/>
  <c r="E270" i="18"/>
  <c r="D265" i="18"/>
  <c r="C265" i="18"/>
  <c r="C302" i="18" s="1"/>
  <c r="D262" i="18"/>
  <c r="C262" i="18"/>
  <c r="D251" i="18"/>
  <c r="C251" i="18"/>
  <c r="D233" i="18"/>
  <c r="C233" i="18"/>
  <c r="D232" i="18"/>
  <c r="E232" i="18" s="1"/>
  <c r="C232" i="18"/>
  <c r="D231" i="18"/>
  <c r="C231" i="18"/>
  <c r="D230" i="18"/>
  <c r="C230" i="18"/>
  <c r="E230" i="18" s="1"/>
  <c r="D228" i="18"/>
  <c r="E228" i="18" s="1"/>
  <c r="C228" i="18"/>
  <c r="D227" i="18"/>
  <c r="C227" i="18"/>
  <c r="E227" i="18"/>
  <c r="D221" i="18"/>
  <c r="C221" i="18"/>
  <c r="C245" i="18" s="1"/>
  <c r="D220" i="18"/>
  <c r="E220" i="18" s="1"/>
  <c r="D244" i="18"/>
  <c r="E244" i="18" s="1"/>
  <c r="C220" i="18"/>
  <c r="D219" i="18"/>
  <c r="C219" i="18"/>
  <c r="C243" i="18" s="1"/>
  <c r="D218" i="18"/>
  <c r="D217" i="18" s="1"/>
  <c r="D242" i="18"/>
  <c r="C218" i="18"/>
  <c r="C217" i="18"/>
  <c r="D216" i="18"/>
  <c r="D240" i="18" s="1"/>
  <c r="C216" i="18"/>
  <c r="D215" i="18"/>
  <c r="D239" i="18" s="1"/>
  <c r="E215" i="18"/>
  <c r="C215" i="18"/>
  <c r="E209" i="18"/>
  <c r="E208" i="18"/>
  <c r="E207" i="18"/>
  <c r="E206" i="18"/>
  <c r="D205" i="18"/>
  <c r="D210" i="18" s="1"/>
  <c r="D229" i="18"/>
  <c r="C205" i="18"/>
  <c r="E205" i="18" s="1"/>
  <c r="E204" i="18"/>
  <c r="E203" i="18"/>
  <c r="E197" i="18"/>
  <c r="E196" i="18"/>
  <c r="D195" i="18"/>
  <c r="C195" i="18"/>
  <c r="E194" i="18"/>
  <c r="E193" i="18"/>
  <c r="E192" i="18"/>
  <c r="E191" i="18"/>
  <c r="E190" i="18"/>
  <c r="D188" i="18"/>
  <c r="E188" i="18" s="1"/>
  <c r="C188" i="18"/>
  <c r="E186" i="18"/>
  <c r="E185" i="18"/>
  <c r="D179" i="18"/>
  <c r="E179" i="18" s="1"/>
  <c r="C179" i="18"/>
  <c r="D178" i="18"/>
  <c r="C178" i="18"/>
  <c r="E178" i="18"/>
  <c r="D177" i="18"/>
  <c r="C177" i="18"/>
  <c r="E177" i="18" s="1"/>
  <c r="D176" i="18"/>
  <c r="E176" i="18" s="1"/>
  <c r="C176" i="18"/>
  <c r="D174" i="18"/>
  <c r="C174" i="18"/>
  <c r="D173" i="18"/>
  <c r="C173" i="18"/>
  <c r="D167" i="18"/>
  <c r="C167" i="18"/>
  <c r="D166" i="18"/>
  <c r="E166" i="18" s="1"/>
  <c r="C166" i="18"/>
  <c r="D165" i="18"/>
  <c r="C165" i="18"/>
  <c r="E165" i="18"/>
  <c r="D164" i="18"/>
  <c r="C164" i="18"/>
  <c r="D162" i="18"/>
  <c r="E162" i="18"/>
  <c r="C162" i="18"/>
  <c r="D161" i="18"/>
  <c r="C161" i="18"/>
  <c r="E161" i="18"/>
  <c r="E155" i="18"/>
  <c r="E154" i="18"/>
  <c r="E153" i="18"/>
  <c r="E152" i="18"/>
  <c r="D151" i="18"/>
  <c r="D156" i="18" s="1"/>
  <c r="C151" i="18"/>
  <c r="E150" i="18"/>
  <c r="E149" i="18"/>
  <c r="E143" i="18"/>
  <c r="E142" i="18"/>
  <c r="E141" i="18"/>
  <c r="E140" i="18"/>
  <c r="D139" i="18"/>
  <c r="D163" i="18"/>
  <c r="C139" i="18"/>
  <c r="E138" i="18"/>
  <c r="E137" i="18"/>
  <c r="D75" i="18"/>
  <c r="C75" i="18"/>
  <c r="E75" i="18"/>
  <c r="D74" i="18"/>
  <c r="C74" i="18"/>
  <c r="E74" i="18" s="1"/>
  <c r="D73" i="18"/>
  <c r="E73" i="18" s="1"/>
  <c r="C73" i="18"/>
  <c r="D72" i="18"/>
  <c r="C72" i="18"/>
  <c r="E72" i="18" s="1"/>
  <c r="C71" i="18"/>
  <c r="D70" i="18"/>
  <c r="C70" i="18"/>
  <c r="D69" i="18"/>
  <c r="E69" i="18" s="1"/>
  <c r="C69" i="18"/>
  <c r="E64" i="18"/>
  <c r="E63" i="18"/>
  <c r="E62" i="18"/>
  <c r="E61" i="18"/>
  <c r="D60" i="18"/>
  <c r="D289" i="18"/>
  <c r="E289" i="18"/>
  <c r="C60" i="18"/>
  <c r="C289" i="18" s="1"/>
  <c r="E59" i="18"/>
  <c r="E58" i="18"/>
  <c r="D54" i="18"/>
  <c r="C54" i="18"/>
  <c r="C55" i="18" s="1"/>
  <c r="E53" i="18"/>
  <c r="E52" i="18"/>
  <c r="E51" i="18"/>
  <c r="E50" i="18"/>
  <c r="E49" i="18"/>
  <c r="E48" i="18"/>
  <c r="E47" i="18"/>
  <c r="D42" i="18"/>
  <c r="E42" i="18" s="1"/>
  <c r="C42" i="18"/>
  <c r="D41" i="18"/>
  <c r="E41" i="18" s="1"/>
  <c r="C41" i="18"/>
  <c r="D40" i="18"/>
  <c r="E40" i="18"/>
  <c r="C40" i="18"/>
  <c r="D39" i="18"/>
  <c r="C39" i="18"/>
  <c r="D38" i="18"/>
  <c r="C38" i="18"/>
  <c r="D37" i="18"/>
  <c r="D43" i="18" s="1"/>
  <c r="C37" i="18"/>
  <c r="C43" i="18" s="1"/>
  <c r="D36" i="18"/>
  <c r="C36" i="18"/>
  <c r="D32" i="18"/>
  <c r="D33" i="18" s="1"/>
  <c r="C32" i="18"/>
  <c r="E31" i="18"/>
  <c r="E30" i="18"/>
  <c r="E29" i="18"/>
  <c r="E28" i="18"/>
  <c r="E27" i="18"/>
  <c r="E26" i="18"/>
  <c r="E25" i="18"/>
  <c r="D21" i="18"/>
  <c r="C21" i="18"/>
  <c r="C283" i="18"/>
  <c r="E20" i="18"/>
  <c r="E19" i="18"/>
  <c r="E18" i="18"/>
  <c r="E17" i="18"/>
  <c r="E16" i="18"/>
  <c r="E15" i="18"/>
  <c r="E14" i="18"/>
  <c r="E335" i="17"/>
  <c r="F335" i="17" s="1"/>
  <c r="F334" i="17"/>
  <c r="E334" i="17"/>
  <c r="E333" i="17"/>
  <c r="F333" i="17" s="1"/>
  <c r="F332" i="17"/>
  <c r="E332" i="17"/>
  <c r="E331" i="17"/>
  <c r="F331" i="17" s="1"/>
  <c r="F330" i="17"/>
  <c r="E330" i="17"/>
  <c r="E329" i="17"/>
  <c r="F329" i="17" s="1"/>
  <c r="F316" i="17"/>
  <c r="E316" i="17"/>
  <c r="D311" i="17"/>
  <c r="C311" i="17"/>
  <c r="F311" i="17" s="1"/>
  <c r="E308" i="17"/>
  <c r="F308" i="17" s="1"/>
  <c r="D307" i="17"/>
  <c r="E307" i="17" s="1"/>
  <c r="C307" i="17"/>
  <c r="D299" i="17"/>
  <c r="C299" i="17"/>
  <c r="D298" i="17"/>
  <c r="C298" i="17"/>
  <c r="D297" i="17"/>
  <c r="E297" i="17" s="1"/>
  <c r="C297" i="17"/>
  <c r="D296" i="17"/>
  <c r="C296" i="17"/>
  <c r="D295" i="17"/>
  <c r="C295" i="17"/>
  <c r="D294" i="17"/>
  <c r="E294" i="17" s="1"/>
  <c r="F294" i="17" s="1"/>
  <c r="C294" i="17"/>
  <c r="D250" i="17"/>
  <c r="E250" i="17" s="1"/>
  <c r="C250" i="17"/>
  <c r="C306" i="17"/>
  <c r="F249" i="17"/>
  <c r="E249" i="17"/>
  <c r="E248" i="17"/>
  <c r="F248" i="17" s="1"/>
  <c r="F245" i="17"/>
  <c r="E245" i="17"/>
  <c r="F244" i="17"/>
  <c r="E244" i="17"/>
  <c r="E243" i="17"/>
  <c r="F243" i="17" s="1"/>
  <c r="D238" i="17"/>
  <c r="C238" i="17"/>
  <c r="D237" i="17"/>
  <c r="C237" i="17"/>
  <c r="E234" i="17"/>
  <c r="F234" i="17" s="1"/>
  <c r="E233" i="17"/>
  <c r="F233" i="17" s="1"/>
  <c r="D230" i="17"/>
  <c r="C230" i="17"/>
  <c r="D229" i="17"/>
  <c r="C229" i="17"/>
  <c r="E228" i="17"/>
  <c r="F228" i="17" s="1"/>
  <c r="D226" i="17"/>
  <c r="C226" i="17"/>
  <c r="C227" i="17" s="1"/>
  <c r="E225" i="17"/>
  <c r="F225" i="17"/>
  <c r="E224" i="17"/>
  <c r="F224" i="17" s="1"/>
  <c r="D223" i="17"/>
  <c r="C223" i="17"/>
  <c r="E222" i="17"/>
  <c r="F222" i="17" s="1"/>
  <c r="E221" i="17"/>
  <c r="F221" i="17" s="1"/>
  <c r="D204" i="17"/>
  <c r="C204" i="17"/>
  <c r="C269" i="17" s="1"/>
  <c r="D203" i="17"/>
  <c r="C203" i="17"/>
  <c r="D198" i="17"/>
  <c r="C198" i="17"/>
  <c r="D191" i="17"/>
  <c r="C191" i="17"/>
  <c r="D189" i="17"/>
  <c r="C189" i="17"/>
  <c r="C278" i="17"/>
  <c r="D188" i="17"/>
  <c r="C188" i="17"/>
  <c r="C277" i="17" s="1"/>
  <c r="D180" i="17"/>
  <c r="C180" i="17"/>
  <c r="D179" i="17"/>
  <c r="D181" i="17" s="1"/>
  <c r="C179" i="17"/>
  <c r="D171" i="17"/>
  <c r="C171" i="17"/>
  <c r="C172" i="17" s="1"/>
  <c r="D170" i="17"/>
  <c r="C170" i="17"/>
  <c r="E169" i="17"/>
  <c r="F169" i="17" s="1"/>
  <c r="E168" i="17"/>
  <c r="F168" i="17" s="1"/>
  <c r="D165" i="17"/>
  <c r="C165" i="17"/>
  <c r="D164" i="17"/>
  <c r="E164" i="17" s="1"/>
  <c r="F164" i="17" s="1"/>
  <c r="C164" i="17"/>
  <c r="E163" i="17"/>
  <c r="F163" i="17" s="1"/>
  <c r="D158" i="17"/>
  <c r="D159" i="17"/>
  <c r="D161" i="17" s="1"/>
  <c r="D162" i="17" s="1"/>
  <c r="C158" i="17"/>
  <c r="C159" i="17" s="1"/>
  <c r="E157" i="17"/>
  <c r="F157" i="17" s="1"/>
  <c r="E156" i="17"/>
  <c r="F156" i="17" s="1"/>
  <c r="D155" i="17"/>
  <c r="C155" i="17"/>
  <c r="E154" i="17"/>
  <c r="F154" i="17" s="1"/>
  <c r="F153" i="17"/>
  <c r="E153" i="17"/>
  <c r="D145" i="17"/>
  <c r="C145" i="17"/>
  <c r="D144" i="17"/>
  <c r="C144" i="17"/>
  <c r="E144" i="17" s="1"/>
  <c r="D136" i="17"/>
  <c r="E136" i="17" s="1"/>
  <c r="F136" i="17" s="1"/>
  <c r="D137" i="17"/>
  <c r="C136" i="17"/>
  <c r="C137" i="17" s="1"/>
  <c r="D135" i="17"/>
  <c r="C135" i="17"/>
  <c r="E134" i="17"/>
  <c r="F134" i="17" s="1"/>
  <c r="E133" i="17"/>
  <c r="F133" i="17" s="1"/>
  <c r="D130" i="17"/>
  <c r="C130" i="17"/>
  <c r="D129" i="17"/>
  <c r="E129" i="17" s="1"/>
  <c r="F129" i="17" s="1"/>
  <c r="C129" i="17"/>
  <c r="E128" i="17"/>
  <c r="F128" i="17" s="1"/>
  <c r="D123" i="17"/>
  <c r="D192" i="17"/>
  <c r="D193" i="17" s="1"/>
  <c r="C123" i="17"/>
  <c r="E123" i="17" s="1"/>
  <c r="F123" i="17" s="1"/>
  <c r="E122" i="17"/>
  <c r="F122" i="17" s="1"/>
  <c r="E121" i="17"/>
  <c r="F121" i="17" s="1"/>
  <c r="D120" i="17"/>
  <c r="C120" i="17"/>
  <c r="F119" i="17"/>
  <c r="E119" i="17"/>
  <c r="E118" i="17"/>
  <c r="F118" i="17" s="1"/>
  <c r="D110" i="17"/>
  <c r="C110" i="17"/>
  <c r="D109" i="17"/>
  <c r="C109" i="17"/>
  <c r="D101" i="17"/>
  <c r="D102" i="17"/>
  <c r="C101" i="17"/>
  <c r="E101" i="17" s="1"/>
  <c r="F101" i="17" s="1"/>
  <c r="C102" i="17"/>
  <c r="C103" i="17" s="1"/>
  <c r="D100" i="17"/>
  <c r="E100" i="17" s="1"/>
  <c r="C100" i="17"/>
  <c r="F100" i="17" s="1"/>
  <c r="E99" i="17"/>
  <c r="F99" i="17" s="1"/>
  <c r="E98" i="17"/>
  <c r="F98" i="17" s="1"/>
  <c r="D95" i="17"/>
  <c r="E95" i="17" s="1"/>
  <c r="F95" i="17"/>
  <c r="C95" i="17"/>
  <c r="D94" i="17"/>
  <c r="C94" i="17"/>
  <c r="E94" i="17" s="1"/>
  <c r="F94" i="17" s="1"/>
  <c r="E93" i="17"/>
  <c r="F93" i="17" s="1"/>
  <c r="D88" i="17"/>
  <c r="C88" i="17"/>
  <c r="E87" i="17"/>
  <c r="F87" i="17" s="1"/>
  <c r="E86" i="17"/>
  <c r="F86" i="17" s="1"/>
  <c r="D85" i="17"/>
  <c r="C85" i="17"/>
  <c r="E84" i="17"/>
  <c r="F84" i="17" s="1"/>
  <c r="E83" i="17"/>
  <c r="F83" i="17" s="1"/>
  <c r="D76" i="17"/>
  <c r="D77" i="17" s="1"/>
  <c r="E77" i="17" s="1"/>
  <c r="C76" i="17"/>
  <c r="C77" i="17"/>
  <c r="E74" i="17"/>
  <c r="F74" i="17" s="1"/>
  <c r="E73" i="17"/>
  <c r="F73" i="17" s="1"/>
  <c r="D67" i="17"/>
  <c r="C67" i="17"/>
  <c r="D66" i="17"/>
  <c r="E66" i="17" s="1"/>
  <c r="C66" i="17"/>
  <c r="D59" i="17"/>
  <c r="D60" i="17" s="1"/>
  <c r="D61" i="17" s="1"/>
  <c r="C59" i="17"/>
  <c r="C60" i="17" s="1"/>
  <c r="D58" i="17"/>
  <c r="C58" i="17"/>
  <c r="E57" i="17"/>
  <c r="F57" i="17" s="1"/>
  <c r="E56" i="17"/>
  <c r="F56" i="17" s="1"/>
  <c r="D53" i="17"/>
  <c r="C53" i="17"/>
  <c r="D52" i="17"/>
  <c r="E52" i="17" s="1"/>
  <c r="F52" i="17" s="1"/>
  <c r="C52" i="17"/>
  <c r="E51" i="17"/>
  <c r="F51" i="17" s="1"/>
  <c r="D47" i="17"/>
  <c r="C47" i="17"/>
  <c r="E46" i="17"/>
  <c r="F46" i="17" s="1"/>
  <c r="E45" i="17"/>
  <c r="F45" i="17" s="1"/>
  <c r="D44" i="17"/>
  <c r="C44" i="17"/>
  <c r="E43" i="17"/>
  <c r="F43" i="17"/>
  <c r="E42" i="17"/>
  <c r="F42" i="17" s="1"/>
  <c r="D36" i="17"/>
  <c r="C36" i="17"/>
  <c r="D35" i="17"/>
  <c r="C35" i="17"/>
  <c r="D30" i="17"/>
  <c r="C30" i="17"/>
  <c r="C31" i="17"/>
  <c r="C32" i="17" s="1"/>
  <c r="D29" i="17"/>
  <c r="E29" i="17" s="1"/>
  <c r="F29" i="17" s="1"/>
  <c r="C29" i="17"/>
  <c r="E28" i="17"/>
  <c r="F28" i="17" s="1"/>
  <c r="E27" i="17"/>
  <c r="F27" i="17"/>
  <c r="D24" i="17"/>
  <c r="C24" i="17"/>
  <c r="D23" i="17"/>
  <c r="C23" i="17"/>
  <c r="E22" i="17"/>
  <c r="F22" i="17" s="1"/>
  <c r="D20" i="17"/>
  <c r="C20" i="17"/>
  <c r="E19" i="17"/>
  <c r="F19" i="17" s="1"/>
  <c r="E18" i="17"/>
  <c r="F18" i="17"/>
  <c r="D17" i="17"/>
  <c r="C17" i="17"/>
  <c r="E16" i="17"/>
  <c r="F16" i="17"/>
  <c r="E15" i="17"/>
  <c r="F15" i="17" s="1"/>
  <c r="D21" i="16"/>
  <c r="C21" i="16"/>
  <c r="E20" i="16"/>
  <c r="F20" i="16" s="1"/>
  <c r="D17" i="16"/>
  <c r="E17" i="16" s="1"/>
  <c r="C17" i="16"/>
  <c r="E16" i="16"/>
  <c r="F16" i="16" s="1"/>
  <c r="D13" i="16"/>
  <c r="C13" i="16"/>
  <c r="E12" i="16"/>
  <c r="F12" i="16" s="1"/>
  <c r="D107" i="15"/>
  <c r="C107" i="15"/>
  <c r="E106" i="15"/>
  <c r="F106" i="15" s="1"/>
  <c r="F105" i="15"/>
  <c r="E105" i="15"/>
  <c r="E104" i="15"/>
  <c r="F104" i="15" s="1"/>
  <c r="D100" i="15"/>
  <c r="C100" i="15"/>
  <c r="E99" i="15"/>
  <c r="F99" i="15" s="1"/>
  <c r="F98" i="15"/>
  <c r="E98" i="15"/>
  <c r="E97" i="15"/>
  <c r="F97" i="15" s="1"/>
  <c r="E96" i="15"/>
  <c r="F96" i="15" s="1"/>
  <c r="E95" i="15"/>
  <c r="F95" i="15" s="1"/>
  <c r="D92" i="15"/>
  <c r="C92" i="15"/>
  <c r="E91" i="15"/>
  <c r="F91" i="15" s="1"/>
  <c r="E90" i="15"/>
  <c r="F90" i="15" s="1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E74" i="15"/>
  <c r="F74" i="15" s="1"/>
  <c r="E73" i="15"/>
  <c r="D70" i="15"/>
  <c r="E70" i="15"/>
  <c r="C70" i="15"/>
  <c r="F69" i="15"/>
  <c r="E69" i="15"/>
  <c r="E68" i="15"/>
  <c r="F68" i="15" s="1"/>
  <c r="D65" i="15"/>
  <c r="E65" i="15"/>
  <c r="C65" i="15"/>
  <c r="F64" i="15"/>
  <c r="E64" i="15"/>
  <c r="E63" i="15"/>
  <c r="F63" i="15" s="1"/>
  <c r="D60" i="15"/>
  <c r="C60" i="15"/>
  <c r="F60" i="15" s="1"/>
  <c r="F59" i="15"/>
  <c r="E59" i="15"/>
  <c r="F58" i="15"/>
  <c r="E58" i="15"/>
  <c r="D55" i="15"/>
  <c r="E55" i="15" s="1"/>
  <c r="C55" i="15"/>
  <c r="F55" i="15" s="1"/>
  <c r="F54" i="15"/>
  <c r="E54" i="15"/>
  <c r="F53" i="15"/>
  <c r="E53" i="15"/>
  <c r="D50" i="15"/>
  <c r="C50" i="15"/>
  <c r="F50" i="15" s="1"/>
  <c r="F49" i="15"/>
  <c r="E49" i="15"/>
  <c r="F48" i="15"/>
  <c r="E48" i="15"/>
  <c r="D45" i="15"/>
  <c r="E45" i="15" s="1"/>
  <c r="C45" i="15"/>
  <c r="F45" i="15" s="1"/>
  <c r="F44" i="15"/>
  <c r="E44" i="15"/>
  <c r="F43" i="15"/>
  <c r="E43" i="15"/>
  <c r="F37" i="15"/>
  <c r="D37" i="15"/>
  <c r="C37" i="15"/>
  <c r="F36" i="15"/>
  <c r="E36" i="15"/>
  <c r="F35" i="15"/>
  <c r="E35" i="15"/>
  <c r="F34" i="15"/>
  <c r="E34" i="15"/>
  <c r="F33" i="15"/>
  <c r="E33" i="15"/>
  <c r="D30" i="15"/>
  <c r="C30" i="15"/>
  <c r="F30" i="15" s="1"/>
  <c r="F29" i="15"/>
  <c r="E29" i="15"/>
  <c r="F28" i="15"/>
  <c r="E28" i="15"/>
  <c r="F27" i="15"/>
  <c r="E27" i="15"/>
  <c r="F26" i="15"/>
  <c r="E26" i="15"/>
  <c r="D23" i="15"/>
  <c r="E23" i="15"/>
  <c r="C23" i="15"/>
  <c r="F22" i="15"/>
  <c r="E22" i="15"/>
  <c r="E21" i="15"/>
  <c r="F21" i="15" s="1"/>
  <c r="E20" i="15"/>
  <c r="F20" i="15" s="1"/>
  <c r="E19" i="15"/>
  <c r="F19" i="15" s="1"/>
  <c r="D16" i="15"/>
  <c r="C16" i="15"/>
  <c r="F15" i="15"/>
  <c r="E15" i="15"/>
  <c r="E14" i="15"/>
  <c r="F14" i="15" s="1"/>
  <c r="E13" i="15"/>
  <c r="F13" i="15" s="1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F17" i="14"/>
  <c r="F33" i="14"/>
  <c r="E17" i="14"/>
  <c r="E31" i="14" s="1"/>
  <c r="D17" i="14"/>
  <c r="C17" i="14"/>
  <c r="C31" i="14" s="1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 s="1"/>
  <c r="D78" i="13"/>
  <c r="C78" i="13"/>
  <c r="C80" i="13" s="1"/>
  <c r="C77" i="13" s="1"/>
  <c r="E75" i="13"/>
  <c r="E73" i="13"/>
  <c r="D73" i="13"/>
  <c r="D75" i="13" s="1"/>
  <c r="C73" i="13"/>
  <c r="C75" i="13" s="1"/>
  <c r="E71" i="13"/>
  <c r="D71" i="13"/>
  <c r="C71" i="13"/>
  <c r="E66" i="13"/>
  <c r="E65" i="13" s="1"/>
  <c r="D66" i="13"/>
  <c r="C66" i="13"/>
  <c r="C65" i="13"/>
  <c r="D65" i="13"/>
  <c r="E60" i="13"/>
  <c r="D60" i="13"/>
  <c r="C60" i="13"/>
  <c r="E58" i="13"/>
  <c r="D58" i="13"/>
  <c r="C58" i="13"/>
  <c r="E55" i="13"/>
  <c r="D55" i="13"/>
  <c r="C55" i="13"/>
  <c r="E54" i="13"/>
  <c r="D54" i="13"/>
  <c r="C54" i="13"/>
  <c r="E46" i="13"/>
  <c r="D46" i="13"/>
  <c r="D59" i="13"/>
  <c r="D61" i="13" s="1"/>
  <c r="D57" i="13" s="1"/>
  <c r="C46" i="13"/>
  <c r="C59" i="13" s="1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13" i="13"/>
  <c r="D13" i="13"/>
  <c r="D25" i="13" s="1"/>
  <c r="D27" i="13" s="1"/>
  <c r="C13" i="13"/>
  <c r="C15" i="13" s="1"/>
  <c r="C25" i="13"/>
  <c r="C27" i="13" s="1"/>
  <c r="D47" i="12"/>
  <c r="C47" i="12"/>
  <c r="E46" i="12"/>
  <c r="F46" i="12" s="1"/>
  <c r="F45" i="12"/>
  <c r="E45" i="12"/>
  <c r="F40" i="12"/>
  <c r="D40" i="12"/>
  <c r="E40" i="12" s="1"/>
  <c r="C40" i="12"/>
  <c r="F39" i="12"/>
  <c r="E39" i="12"/>
  <c r="F38" i="12"/>
  <c r="E38" i="12"/>
  <c r="F37" i="12"/>
  <c r="E37" i="12"/>
  <c r="D32" i="12"/>
  <c r="C32" i="12"/>
  <c r="E31" i="12"/>
  <c r="F31" i="12" s="1"/>
  <c r="E30" i="12"/>
  <c r="F30" i="12" s="1"/>
  <c r="E29" i="12"/>
  <c r="F29" i="12" s="1"/>
  <c r="F28" i="12"/>
  <c r="E28" i="12"/>
  <c r="E27" i="12"/>
  <c r="F27" i="12" s="1"/>
  <c r="F26" i="12"/>
  <c r="E26" i="12"/>
  <c r="E25" i="12"/>
  <c r="F25" i="12" s="1"/>
  <c r="E24" i="12"/>
  <c r="F24" i="12" s="1"/>
  <c r="E23" i="12"/>
  <c r="F23" i="12" s="1"/>
  <c r="F19" i="12"/>
  <c r="E19" i="12"/>
  <c r="F18" i="12"/>
  <c r="E18" i="12"/>
  <c r="E16" i="12"/>
  <c r="F16" i="12" s="1"/>
  <c r="D15" i="12"/>
  <c r="D17" i="12"/>
  <c r="E17" i="12" s="1"/>
  <c r="F17" i="12" s="1"/>
  <c r="C15" i="12"/>
  <c r="C17" i="12" s="1"/>
  <c r="E14" i="12"/>
  <c r="F14" i="12" s="1"/>
  <c r="E13" i="12"/>
  <c r="F13" i="12" s="1"/>
  <c r="E12" i="12"/>
  <c r="F12" i="12" s="1"/>
  <c r="F11" i="12"/>
  <c r="E11" i="12"/>
  <c r="D73" i="11"/>
  <c r="E73" i="11" s="1"/>
  <c r="C73" i="11"/>
  <c r="F72" i="11"/>
  <c r="E72" i="11"/>
  <c r="F71" i="11"/>
  <c r="E71" i="11"/>
  <c r="E70" i="11"/>
  <c r="F70" i="11" s="1"/>
  <c r="F67" i="11"/>
  <c r="E67" i="11"/>
  <c r="E64" i="11"/>
  <c r="F64" i="11" s="1"/>
  <c r="E63" i="11"/>
  <c r="F63" i="11" s="1"/>
  <c r="D61" i="11"/>
  <c r="D65" i="11" s="1"/>
  <c r="C61" i="11"/>
  <c r="F61" i="11" s="1"/>
  <c r="C65" i="11"/>
  <c r="F60" i="11"/>
  <c r="E60" i="11"/>
  <c r="F59" i="11"/>
  <c r="E59" i="11"/>
  <c r="D56" i="11"/>
  <c r="C56" i="11"/>
  <c r="F55" i="11"/>
  <c r="E55" i="11"/>
  <c r="E54" i="11"/>
  <c r="F54" i="11" s="1"/>
  <c r="F53" i="11"/>
  <c r="E53" i="11"/>
  <c r="F52" i="11"/>
  <c r="E52" i="11"/>
  <c r="E51" i="11"/>
  <c r="F51" i="11" s="1"/>
  <c r="E50" i="11"/>
  <c r="F50" i="11"/>
  <c r="A50" i="11"/>
  <c r="A51" i="11" s="1"/>
  <c r="A52" i="11" s="1"/>
  <c r="A53" i="11" s="1"/>
  <c r="A54" i="11" s="1"/>
  <c r="A55" i="11" s="1"/>
  <c r="E49" i="11"/>
  <c r="F49" i="11" s="1"/>
  <c r="F40" i="11"/>
  <c r="E40" i="11"/>
  <c r="D38" i="11"/>
  <c r="C38" i="11"/>
  <c r="C41" i="11" s="1"/>
  <c r="F37" i="11"/>
  <c r="E37" i="11"/>
  <c r="F36" i="11"/>
  <c r="E36" i="11"/>
  <c r="E33" i="11"/>
  <c r="F33" i="11" s="1"/>
  <c r="F32" i="11"/>
  <c r="E32" i="11"/>
  <c r="F31" i="11"/>
  <c r="E31" i="11"/>
  <c r="D29" i="11"/>
  <c r="C29" i="11"/>
  <c r="F28" i="11"/>
  <c r="E28" i="11"/>
  <c r="F27" i="11"/>
  <c r="E27" i="11"/>
  <c r="F26" i="11"/>
  <c r="E26" i="11"/>
  <c r="F25" i="11"/>
  <c r="E25" i="11"/>
  <c r="D22" i="11"/>
  <c r="C22" i="11"/>
  <c r="F21" i="11"/>
  <c r="E21" i="11"/>
  <c r="E20" i="11"/>
  <c r="F20" i="11" s="1"/>
  <c r="E19" i="11"/>
  <c r="F19" i="11" s="1"/>
  <c r="F18" i="11"/>
  <c r="E18" i="11"/>
  <c r="F17" i="11"/>
  <c r="E17" i="11"/>
  <c r="F16" i="11"/>
  <c r="E16" i="11"/>
  <c r="E15" i="11"/>
  <c r="F15" i="11" s="1"/>
  <c r="F14" i="11"/>
  <c r="E14" i="11"/>
  <c r="E13" i="11"/>
  <c r="F13" i="11" s="1"/>
  <c r="D120" i="10"/>
  <c r="C120" i="10"/>
  <c r="F120" i="10" s="1"/>
  <c r="D119" i="10"/>
  <c r="C119" i="10"/>
  <c r="F119" i="10" s="1"/>
  <c r="D118" i="10"/>
  <c r="C118" i="10"/>
  <c r="F118" i="10" s="1"/>
  <c r="D117" i="10"/>
  <c r="E117" i="10" s="1"/>
  <c r="C117" i="10"/>
  <c r="F117" i="10" s="1"/>
  <c r="D116" i="10"/>
  <c r="C116" i="10"/>
  <c r="F116" i="10" s="1"/>
  <c r="D115" i="10"/>
  <c r="E115" i="10" s="1"/>
  <c r="C115" i="10"/>
  <c r="F115" i="10"/>
  <c r="D114" i="10"/>
  <c r="C114" i="10"/>
  <c r="F114" i="10" s="1"/>
  <c r="D113" i="10"/>
  <c r="C113" i="10"/>
  <c r="F113" i="10" s="1"/>
  <c r="D112" i="10"/>
  <c r="E112" i="10" s="1"/>
  <c r="C112" i="10"/>
  <c r="F112" i="10"/>
  <c r="D108" i="10"/>
  <c r="C108" i="10"/>
  <c r="F108" i="10" s="1"/>
  <c r="D107" i="10"/>
  <c r="C107" i="10"/>
  <c r="F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C96" i="10"/>
  <c r="F96" i="10" s="1"/>
  <c r="D95" i="10"/>
  <c r="C95" i="10"/>
  <c r="F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E84" i="10" s="1"/>
  <c r="C84" i="10"/>
  <c r="F84" i="10" s="1"/>
  <c r="D83" i="10"/>
  <c r="C83" i="10"/>
  <c r="F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 s="1"/>
  <c r="D71" i="10"/>
  <c r="C71" i="10"/>
  <c r="F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 s="1"/>
  <c r="D59" i="10"/>
  <c r="C59" i="10"/>
  <c r="F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C48" i="10"/>
  <c r="F48" i="10" s="1"/>
  <c r="D47" i="10"/>
  <c r="C47" i="10"/>
  <c r="F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 s="1"/>
  <c r="C36" i="10"/>
  <c r="F36" i="10" s="1"/>
  <c r="D35" i="10"/>
  <c r="C35" i="10"/>
  <c r="F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4" i="10" s="1"/>
  <c r="D23" i="10"/>
  <c r="C23" i="10"/>
  <c r="F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 s="1"/>
  <c r="F206" i="9"/>
  <c r="C206" i="9"/>
  <c r="D205" i="9"/>
  <c r="C205" i="9"/>
  <c r="D204" i="9"/>
  <c r="C204" i="9"/>
  <c r="D203" i="9"/>
  <c r="E203" i="9"/>
  <c r="C203" i="9"/>
  <c r="F203" i="9" s="1"/>
  <c r="D202" i="9"/>
  <c r="C202" i="9"/>
  <c r="D201" i="9"/>
  <c r="D208" i="9" s="1"/>
  <c r="C201" i="9"/>
  <c r="E201" i="9" s="1"/>
  <c r="D200" i="9"/>
  <c r="E200" i="9" s="1"/>
  <c r="C200" i="9"/>
  <c r="F200" i="9" s="1"/>
  <c r="D199" i="9"/>
  <c r="C199" i="9"/>
  <c r="E199" i="9" s="1"/>
  <c r="D198" i="9"/>
  <c r="D207" i="9"/>
  <c r="C198" i="9"/>
  <c r="D193" i="9"/>
  <c r="C193" i="9"/>
  <c r="D192" i="9"/>
  <c r="C192" i="9"/>
  <c r="E191" i="9"/>
  <c r="F191" i="9" s="1"/>
  <c r="E190" i="9"/>
  <c r="F190" i="9" s="1"/>
  <c r="E189" i="9"/>
  <c r="F189" i="9" s="1"/>
  <c r="E188" i="9"/>
  <c r="F188" i="9" s="1"/>
  <c r="E187" i="9"/>
  <c r="F187" i="9" s="1"/>
  <c r="E186" i="9"/>
  <c r="F186" i="9" s="1"/>
  <c r="E185" i="9"/>
  <c r="F185" i="9" s="1"/>
  <c r="E184" i="9"/>
  <c r="F184" i="9" s="1"/>
  <c r="E183" i="9"/>
  <c r="F183" i="9" s="1"/>
  <c r="D180" i="9"/>
  <c r="E180" i="9" s="1"/>
  <c r="C180" i="9"/>
  <c r="F180" i="9" s="1"/>
  <c r="D179" i="9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F166" i="9"/>
  <c r="D166" i="9"/>
  <c r="E166" i="9" s="1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4" i="9" s="1"/>
  <c r="F153" i="9"/>
  <c r="D153" i="9"/>
  <c r="E153" i="9" s="1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D140" i="9"/>
  <c r="C140" i="9"/>
  <c r="F139" i="9"/>
  <c r="E139" i="9"/>
  <c r="E138" i="9"/>
  <c r="F138" i="9" s="1"/>
  <c r="F137" i="9"/>
  <c r="E137" i="9"/>
  <c r="F136" i="9"/>
  <c r="E136" i="9"/>
  <c r="F135" i="9"/>
  <c r="E135" i="9"/>
  <c r="E134" i="9"/>
  <c r="F134" i="9" s="1"/>
  <c r="E133" i="9"/>
  <c r="F133" i="9" s="1"/>
  <c r="F132" i="9"/>
  <c r="E132" i="9"/>
  <c r="F131" i="9"/>
  <c r="E131" i="9"/>
  <c r="D128" i="9"/>
  <c r="C128" i="9"/>
  <c r="D127" i="9"/>
  <c r="E127" i="9"/>
  <c r="F127" i="9"/>
  <c r="C127" i="9"/>
  <c r="E126" i="9"/>
  <c r="F126" i="9" s="1"/>
  <c r="E125" i="9"/>
  <c r="F125" i="9" s="1"/>
  <c r="E124" i="9"/>
  <c r="F124" i="9" s="1"/>
  <c r="E123" i="9"/>
  <c r="F123" i="9" s="1"/>
  <c r="E122" i="9"/>
  <c r="F122" i="9" s="1"/>
  <c r="E121" i="9"/>
  <c r="F121" i="9" s="1"/>
  <c r="E120" i="9"/>
  <c r="F120" i="9" s="1"/>
  <c r="E119" i="9"/>
  <c r="F119" i="9" s="1"/>
  <c r="E118" i="9"/>
  <c r="F118" i="9" s="1"/>
  <c r="D115" i="9"/>
  <c r="E115" i="9" s="1"/>
  <c r="C115" i="9"/>
  <c r="D114" i="9"/>
  <c r="C114" i="9"/>
  <c r="E113" i="9"/>
  <c r="F113" i="9" s="1"/>
  <c r="E112" i="9"/>
  <c r="F112" i="9" s="1"/>
  <c r="E111" i="9"/>
  <c r="F111" i="9" s="1"/>
  <c r="E110" i="9"/>
  <c r="F110" i="9" s="1"/>
  <c r="E109" i="9"/>
  <c r="F109" i="9" s="1"/>
  <c r="E108" i="9"/>
  <c r="F108" i="9" s="1"/>
  <c r="E107" i="9"/>
  <c r="F107" i="9" s="1"/>
  <c r="E106" i="9"/>
  <c r="F106" i="9" s="1"/>
  <c r="E105" i="9"/>
  <c r="F105" i="9" s="1"/>
  <c r="D102" i="9"/>
  <c r="C102" i="9"/>
  <c r="F102" i="9" s="1"/>
  <c r="D101" i="9"/>
  <c r="C101" i="9"/>
  <c r="F101" i="9" s="1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D89" i="9"/>
  <c r="E89" i="9" s="1"/>
  <c r="C89" i="9"/>
  <c r="F89" i="9" s="1"/>
  <c r="D88" i="9"/>
  <c r="E88" i="9" s="1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 s="1"/>
  <c r="C76" i="9"/>
  <c r="F76" i="9" s="1"/>
  <c r="D75" i="9"/>
  <c r="E75" i="9"/>
  <c r="C75" i="9"/>
  <c r="F74" i="9"/>
  <c r="E74" i="9"/>
  <c r="F73" i="9"/>
  <c r="E73" i="9"/>
  <c r="E72" i="9"/>
  <c r="F72" i="9" s="1"/>
  <c r="E71" i="9"/>
  <c r="F71" i="9" s="1"/>
  <c r="E70" i="9"/>
  <c r="F70" i="9" s="1"/>
  <c r="E69" i="9"/>
  <c r="F69" i="9" s="1"/>
  <c r="E68" i="9"/>
  <c r="F68" i="9" s="1"/>
  <c r="E67" i="9"/>
  <c r="F67" i="9" s="1"/>
  <c r="E66" i="9"/>
  <c r="F66" i="9" s="1"/>
  <c r="D63" i="9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 s="1"/>
  <c r="F50" i="9" s="1"/>
  <c r="C50" i="9"/>
  <c r="D49" i="9"/>
  <c r="E49" i="9" s="1"/>
  <c r="F49" i="9" s="1"/>
  <c r="C49" i="9"/>
  <c r="E48" i="9"/>
  <c r="F48" i="9" s="1"/>
  <c r="E47" i="9"/>
  <c r="F47" i="9" s="1"/>
  <c r="F46" i="9"/>
  <c r="E46" i="9"/>
  <c r="F45" i="9"/>
  <c r="E45" i="9"/>
  <c r="E44" i="9"/>
  <c r="F44" i="9" s="1"/>
  <c r="E43" i="9"/>
  <c r="F43" i="9" s="1"/>
  <c r="E42" i="9"/>
  <c r="F42" i="9" s="1"/>
  <c r="E41" i="9"/>
  <c r="F41" i="9" s="1"/>
  <c r="E40" i="9"/>
  <c r="F40" i="9" s="1"/>
  <c r="D37" i="9"/>
  <c r="C37" i="9"/>
  <c r="F37" i="9" s="1"/>
  <c r="D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 s="1"/>
  <c r="F24" i="9" s="1"/>
  <c r="C24" i="9"/>
  <c r="D23" i="9"/>
  <c r="C23" i="9"/>
  <c r="F22" i="9"/>
  <c r="E22" i="9"/>
  <c r="E21" i="9"/>
  <c r="F21" i="9" s="1"/>
  <c r="E20" i="9"/>
  <c r="F20" i="9" s="1"/>
  <c r="F19" i="9"/>
  <c r="E19" i="9"/>
  <c r="E18" i="9"/>
  <c r="F18" i="9" s="1"/>
  <c r="F17" i="9"/>
  <c r="E17" i="9"/>
  <c r="E16" i="9"/>
  <c r="F16" i="9" s="1"/>
  <c r="E15" i="9"/>
  <c r="F15" i="9" s="1"/>
  <c r="E14" i="9"/>
  <c r="F14" i="9" s="1"/>
  <c r="E191" i="8"/>
  <c r="D191" i="8"/>
  <c r="C191" i="8"/>
  <c r="E176" i="8"/>
  <c r="D176" i="8"/>
  <c r="C176" i="8"/>
  <c r="E164" i="8"/>
  <c r="E160" i="8" s="1"/>
  <c r="D164" i="8"/>
  <c r="D160" i="8" s="1"/>
  <c r="C164" i="8"/>
  <c r="E162" i="8"/>
  <c r="D162" i="8"/>
  <c r="C162" i="8"/>
  <c r="E161" i="8"/>
  <c r="D161" i="8"/>
  <c r="C161" i="8"/>
  <c r="C160" i="8"/>
  <c r="C166" i="8" s="1"/>
  <c r="E147" i="8"/>
  <c r="E143" i="8" s="1"/>
  <c r="E149" i="8" s="1"/>
  <c r="E138" i="8" s="1"/>
  <c r="D147" i="8"/>
  <c r="D143" i="8" s="1"/>
  <c r="C147" i="8"/>
  <c r="C143" i="8"/>
  <c r="E145" i="8"/>
  <c r="D145" i="8"/>
  <c r="C145" i="8"/>
  <c r="C149" i="8" s="1"/>
  <c r="C138" i="8" s="1"/>
  <c r="E144" i="8"/>
  <c r="D144" i="8"/>
  <c r="C144" i="8"/>
  <c r="E126" i="8"/>
  <c r="D126" i="8"/>
  <c r="C126" i="8"/>
  <c r="E119" i="8"/>
  <c r="D119" i="8"/>
  <c r="C119" i="8"/>
  <c r="E108" i="8"/>
  <c r="D108" i="8"/>
  <c r="C108" i="8"/>
  <c r="E107" i="8"/>
  <c r="E109" i="8" s="1"/>
  <c r="E106" i="8" s="1"/>
  <c r="D107" i="8"/>
  <c r="D109" i="8" s="1"/>
  <c r="D106" i="8" s="1"/>
  <c r="C107" i="8"/>
  <c r="C109" i="8"/>
  <c r="C106" i="8" s="1"/>
  <c r="D104" i="8"/>
  <c r="E102" i="8"/>
  <c r="E104" i="8"/>
  <c r="D102" i="8"/>
  <c r="C102" i="8"/>
  <c r="C104" i="8" s="1"/>
  <c r="E100" i="8"/>
  <c r="D100" i="8"/>
  <c r="C100" i="8"/>
  <c r="E95" i="8"/>
  <c r="D95" i="8"/>
  <c r="D94" i="8" s="1"/>
  <c r="C95" i="8"/>
  <c r="E94" i="8"/>
  <c r="C94" i="8"/>
  <c r="E89" i="8"/>
  <c r="D89" i="8"/>
  <c r="C89" i="8"/>
  <c r="E87" i="8"/>
  <c r="D87" i="8"/>
  <c r="C87" i="8"/>
  <c r="E84" i="8"/>
  <c r="D84" i="8"/>
  <c r="D79" i="8" s="1"/>
  <c r="C84" i="8"/>
  <c r="E83" i="8"/>
  <c r="D83" i="8"/>
  <c r="C83" i="8"/>
  <c r="C79" i="8"/>
  <c r="E75" i="8"/>
  <c r="E88" i="8"/>
  <c r="D75" i="8"/>
  <c r="C75" i="8"/>
  <c r="E74" i="8"/>
  <c r="D74" i="8"/>
  <c r="C74" i="8"/>
  <c r="E67" i="8"/>
  <c r="D67" i="8"/>
  <c r="C67" i="8"/>
  <c r="E53" i="8"/>
  <c r="C43" i="8"/>
  <c r="E38" i="8"/>
  <c r="E43" i="8" s="1"/>
  <c r="E57" i="8"/>
  <c r="E62" i="8" s="1"/>
  <c r="D38" i="8"/>
  <c r="D53" i="8"/>
  <c r="C38" i="8"/>
  <c r="C53" i="8" s="1"/>
  <c r="C57" i="8"/>
  <c r="C62" i="8" s="1"/>
  <c r="E33" i="8"/>
  <c r="E34" i="8" s="1"/>
  <c r="D33" i="8"/>
  <c r="D34" i="8" s="1"/>
  <c r="E26" i="8"/>
  <c r="D26" i="8"/>
  <c r="C26" i="8"/>
  <c r="D25" i="8"/>
  <c r="D27" i="8"/>
  <c r="D20" i="8" s="1"/>
  <c r="E13" i="8"/>
  <c r="E25" i="8" s="1"/>
  <c r="E27" i="8" s="1"/>
  <c r="D13" i="8"/>
  <c r="D15" i="8" s="1"/>
  <c r="D24" i="8" s="1"/>
  <c r="C13" i="8"/>
  <c r="C25" i="8"/>
  <c r="C27" i="8"/>
  <c r="C21" i="8" s="1"/>
  <c r="F186" i="7"/>
  <c r="E186" i="7"/>
  <c r="D183" i="7"/>
  <c r="C183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E176" i="7"/>
  <c r="F176" i="7" s="1"/>
  <c r="F175" i="7"/>
  <c r="E175" i="7"/>
  <c r="F174" i="7"/>
  <c r="E174" i="7"/>
  <c r="E173" i="7"/>
  <c r="F173" i="7" s="1"/>
  <c r="F172" i="7"/>
  <c r="E172" i="7"/>
  <c r="E171" i="7"/>
  <c r="F171" i="7" s="1"/>
  <c r="E170" i="7"/>
  <c r="F170" i="7" s="1"/>
  <c r="D167" i="7"/>
  <c r="E167" i="7" s="1"/>
  <c r="F167" i="7" s="1"/>
  <c r="C167" i="7"/>
  <c r="F166" i="7"/>
  <c r="E166" i="7"/>
  <c r="F165" i="7"/>
  <c r="E165" i="7"/>
  <c r="E164" i="7"/>
  <c r="F164" i="7" s="1"/>
  <c r="E163" i="7"/>
  <c r="F163" i="7" s="1"/>
  <c r="F162" i="7"/>
  <c r="E162" i="7"/>
  <c r="F161" i="7"/>
  <c r="E161" i="7"/>
  <c r="F160" i="7"/>
  <c r="E160" i="7"/>
  <c r="F159" i="7"/>
  <c r="E159" i="7"/>
  <c r="F158" i="7"/>
  <c r="E158" i="7"/>
  <c r="E157" i="7"/>
  <c r="F157" i="7" s="1"/>
  <c r="E156" i="7"/>
  <c r="F156" i="7" s="1"/>
  <c r="F155" i="7"/>
  <c r="E155" i="7"/>
  <c r="F154" i="7"/>
  <c r="E154" i="7"/>
  <c r="F153" i="7"/>
  <c r="E153" i="7"/>
  <c r="F152" i="7"/>
  <c r="E152" i="7"/>
  <c r="F151" i="7"/>
  <c r="E151" i="7"/>
  <c r="E150" i="7"/>
  <c r="F150" i="7" s="1"/>
  <c r="F149" i="7"/>
  <c r="E149" i="7"/>
  <c r="E148" i="7"/>
  <c r="F148" i="7" s="1"/>
  <c r="E147" i="7"/>
  <c r="F147" i="7" s="1"/>
  <c r="F146" i="7"/>
  <c r="E146" i="7"/>
  <c r="E145" i="7"/>
  <c r="F145" i="7" s="1"/>
  <c r="F144" i="7"/>
  <c r="E144" i="7"/>
  <c r="F143" i="7"/>
  <c r="E143" i="7"/>
  <c r="F142" i="7"/>
  <c r="E142" i="7"/>
  <c r="E141" i="7"/>
  <c r="F141" i="7" s="1"/>
  <c r="F140" i="7"/>
  <c r="E140" i="7"/>
  <c r="F139" i="7"/>
  <c r="E139" i="7"/>
  <c r="F138" i="7"/>
  <c r="E138" i="7"/>
  <c r="E137" i="7"/>
  <c r="F137" i="7" s="1"/>
  <c r="E136" i="7"/>
  <c r="F136" i="7" s="1"/>
  <c r="F135" i="7"/>
  <c r="E135" i="7"/>
  <c r="F134" i="7"/>
  <c r="E134" i="7"/>
  <c r="E133" i="7"/>
  <c r="F133" i="7" s="1"/>
  <c r="D130" i="7"/>
  <c r="E130" i="7" s="1"/>
  <c r="C130" i="7"/>
  <c r="F129" i="7"/>
  <c r="E129" i="7"/>
  <c r="E128" i="7"/>
  <c r="F128" i="7" s="1"/>
  <c r="F127" i="7"/>
  <c r="E127" i="7"/>
  <c r="F126" i="7"/>
  <c r="E126" i="7"/>
  <c r="F125" i="7"/>
  <c r="E125" i="7"/>
  <c r="E124" i="7"/>
  <c r="F124" i="7" s="1"/>
  <c r="D121" i="7"/>
  <c r="C121" i="7"/>
  <c r="E120" i="7"/>
  <c r="F120" i="7" s="1"/>
  <c r="E119" i="7"/>
  <c r="F119" i="7" s="1"/>
  <c r="F118" i="7"/>
  <c r="E118" i="7"/>
  <c r="F117" i="7"/>
  <c r="E117" i="7"/>
  <c r="F116" i="7"/>
  <c r="E116" i="7"/>
  <c r="E115" i="7"/>
  <c r="F115" i="7" s="1"/>
  <c r="E114" i="7"/>
  <c r="F114" i="7" s="1"/>
  <c r="F113" i="7"/>
  <c r="E113" i="7"/>
  <c r="F112" i="7"/>
  <c r="E112" i="7"/>
  <c r="F111" i="7"/>
  <c r="E111" i="7"/>
  <c r="E110" i="7"/>
  <c r="F110" i="7" s="1"/>
  <c r="F109" i="7"/>
  <c r="E109" i="7"/>
  <c r="F108" i="7"/>
  <c r="E108" i="7"/>
  <c r="F107" i="7"/>
  <c r="E107" i="7"/>
  <c r="F106" i="7"/>
  <c r="E106" i="7"/>
  <c r="F105" i="7"/>
  <c r="E105" i="7"/>
  <c r="F104" i="7"/>
  <c r="E104" i="7"/>
  <c r="E103" i="7"/>
  <c r="F103" i="7" s="1"/>
  <c r="E93" i="7"/>
  <c r="F93" i="7" s="1"/>
  <c r="D90" i="7"/>
  <c r="C90" i="7"/>
  <c r="F89" i="7"/>
  <c r="E89" i="7"/>
  <c r="F88" i="7"/>
  <c r="E88" i="7"/>
  <c r="E87" i="7"/>
  <c r="F87" i="7" s="1"/>
  <c r="E86" i="7"/>
  <c r="F86" i="7" s="1"/>
  <c r="F85" i="7"/>
  <c r="E85" i="7"/>
  <c r="F84" i="7"/>
  <c r="E84" i="7"/>
  <c r="E83" i="7"/>
  <c r="F83" i="7" s="1"/>
  <c r="E82" i="7"/>
  <c r="F82" i="7" s="1"/>
  <c r="F81" i="7"/>
  <c r="E81" i="7"/>
  <c r="F80" i="7"/>
  <c r="E80" i="7"/>
  <c r="F79" i="7"/>
  <c r="E79" i="7"/>
  <c r="E78" i="7"/>
  <c r="F78" i="7" s="1"/>
  <c r="E77" i="7"/>
  <c r="F77" i="7" s="1"/>
  <c r="E76" i="7"/>
  <c r="F76" i="7" s="1"/>
  <c r="E75" i="7"/>
  <c r="F75" i="7" s="1"/>
  <c r="E74" i="7"/>
  <c r="F74" i="7" s="1"/>
  <c r="F73" i="7"/>
  <c r="E73" i="7"/>
  <c r="F72" i="7"/>
  <c r="E72" i="7"/>
  <c r="F71" i="7"/>
  <c r="E71" i="7"/>
  <c r="E70" i="7"/>
  <c r="F70" i="7" s="1"/>
  <c r="E69" i="7"/>
  <c r="F69" i="7" s="1"/>
  <c r="E68" i="7"/>
  <c r="F68" i="7" s="1"/>
  <c r="E67" i="7"/>
  <c r="F67" i="7" s="1"/>
  <c r="E66" i="7"/>
  <c r="F66" i="7" s="1"/>
  <c r="F65" i="7"/>
  <c r="E65" i="7"/>
  <c r="E64" i="7"/>
  <c r="F64" i="7" s="1"/>
  <c r="E63" i="7"/>
  <c r="F63" i="7" s="1"/>
  <c r="F62" i="7"/>
  <c r="E62" i="7"/>
  <c r="D59" i="7"/>
  <c r="E59" i="7"/>
  <c r="C59" i="7"/>
  <c r="E58" i="7"/>
  <c r="F58" i="7" s="1"/>
  <c r="E57" i="7"/>
  <c r="F57" i="7" s="1"/>
  <c r="E56" i="7"/>
  <c r="F56" i="7" s="1"/>
  <c r="F55" i="7"/>
  <c r="E55" i="7"/>
  <c r="E54" i="7"/>
  <c r="F54" i="7" s="1"/>
  <c r="E53" i="7"/>
  <c r="F53" i="7" s="1"/>
  <c r="E50" i="7"/>
  <c r="F50" i="7" s="1"/>
  <c r="E47" i="7"/>
  <c r="F47" i="7" s="1"/>
  <c r="F44" i="7"/>
  <c r="E44" i="7"/>
  <c r="D41" i="7"/>
  <c r="C41" i="7"/>
  <c r="F40" i="7"/>
  <c r="E40" i="7"/>
  <c r="E39" i="7"/>
  <c r="F39" i="7" s="1"/>
  <c r="E38" i="7"/>
  <c r="F38" i="7" s="1"/>
  <c r="D35" i="7"/>
  <c r="C35" i="7"/>
  <c r="E34" i="7"/>
  <c r="F34" i="7" s="1"/>
  <c r="E33" i="7"/>
  <c r="F33" i="7" s="1"/>
  <c r="D30" i="7"/>
  <c r="C30" i="7"/>
  <c r="E29" i="7"/>
  <c r="F29" i="7" s="1"/>
  <c r="E28" i="7"/>
  <c r="F28" i="7" s="1"/>
  <c r="E27" i="7"/>
  <c r="F27" i="7" s="1"/>
  <c r="D24" i="7"/>
  <c r="C24" i="7"/>
  <c r="E23" i="7"/>
  <c r="F23" i="7" s="1"/>
  <c r="F22" i="7"/>
  <c r="E22" i="7"/>
  <c r="E21" i="7"/>
  <c r="F21" i="7" s="1"/>
  <c r="D18" i="7"/>
  <c r="C18" i="7"/>
  <c r="F17" i="7"/>
  <c r="E17" i="7"/>
  <c r="F16" i="7"/>
  <c r="E16" i="7"/>
  <c r="E15" i="7"/>
  <c r="F15" i="7" s="1"/>
  <c r="D179" i="6"/>
  <c r="C179" i="6"/>
  <c r="E179" i="6" s="1"/>
  <c r="E178" i="6"/>
  <c r="F178" i="6" s="1"/>
  <c r="F177" i="6"/>
  <c r="E177" i="6"/>
  <c r="F176" i="6"/>
  <c r="E176" i="6"/>
  <c r="E175" i="6"/>
  <c r="F175" i="6" s="1"/>
  <c r="E174" i="6"/>
  <c r="F174" i="6" s="1"/>
  <c r="F173" i="6"/>
  <c r="E173" i="6"/>
  <c r="E172" i="6"/>
  <c r="F172" i="6" s="1"/>
  <c r="F171" i="6"/>
  <c r="E171" i="6"/>
  <c r="E170" i="6"/>
  <c r="F170" i="6" s="1"/>
  <c r="F169" i="6"/>
  <c r="E169" i="6"/>
  <c r="E168" i="6"/>
  <c r="F168" i="6" s="1"/>
  <c r="D166" i="6"/>
  <c r="E166" i="6"/>
  <c r="C166" i="6"/>
  <c r="F165" i="6"/>
  <c r="E165" i="6"/>
  <c r="F164" i="6"/>
  <c r="E164" i="6"/>
  <c r="E163" i="6"/>
  <c r="F163" i="6" s="1"/>
  <c r="E162" i="6"/>
  <c r="F162" i="6" s="1"/>
  <c r="F161" i="6"/>
  <c r="E161" i="6"/>
  <c r="F160" i="6"/>
  <c r="E160" i="6"/>
  <c r="E159" i="6"/>
  <c r="F159" i="6" s="1"/>
  <c r="F158" i="6"/>
  <c r="E158" i="6"/>
  <c r="E157" i="6"/>
  <c r="F157" i="6" s="1"/>
  <c r="E156" i="6"/>
  <c r="F156" i="6" s="1"/>
  <c r="E155" i="6"/>
  <c r="F155" i="6" s="1"/>
  <c r="D153" i="6"/>
  <c r="E153" i="6" s="1"/>
  <c r="C153" i="6"/>
  <c r="F152" i="6"/>
  <c r="E152" i="6"/>
  <c r="F151" i="6"/>
  <c r="E151" i="6"/>
  <c r="E150" i="6"/>
  <c r="F150" i="6" s="1"/>
  <c r="E149" i="6"/>
  <c r="F149" i="6" s="1"/>
  <c r="E148" i="6"/>
  <c r="F148" i="6" s="1"/>
  <c r="E147" i="6"/>
  <c r="F147" i="6" s="1"/>
  <c r="E146" i="6"/>
  <c r="F146" i="6" s="1"/>
  <c r="F145" i="6"/>
  <c r="E145" i="6"/>
  <c r="E144" i="6"/>
  <c r="F144" i="6" s="1"/>
  <c r="F143" i="6"/>
  <c r="E143" i="6"/>
  <c r="E142" i="6"/>
  <c r="F142" i="6" s="1"/>
  <c r="D137" i="6"/>
  <c r="C137" i="6"/>
  <c r="E136" i="6"/>
  <c r="F136" i="6" s="1"/>
  <c r="F135" i="6"/>
  <c r="E135" i="6"/>
  <c r="F134" i="6"/>
  <c r="E134" i="6"/>
  <c r="E133" i="6"/>
  <c r="F133" i="6" s="1"/>
  <c r="E132" i="6"/>
  <c r="F132" i="6" s="1"/>
  <c r="E131" i="6"/>
  <c r="F131" i="6" s="1"/>
  <c r="E130" i="6"/>
  <c r="F130" i="6" s="1"/>
  <c r="F129" i="6"/>
  <c r="E129" i="6"/>
  <c r="E128" i="6"/>
  <c r="F128" i="6" s="1"/>
  <c r="E127" i="6"/>
  <c r="F127" i="6" s="1"/>
  <c r="F126" i="6"/>
  <c r="E126" i="6"/>
  <c r="D124" i="6"/>
  <c r="E124" i="6" s="1"/>
  <c r="C124" i="6"/>
  <c r="E123" i="6"/>
  <c r="F123" i="6" s="1"/>
  <c r="F122" i="6"/>
  <c r="E122" i="6"/>
  <c r="E121" i="6"/>
  <c r="F121" i="6" s="1"/>
  <c r="E120" i="6"/>
  <c r="F120" i="6" s="1"/>
  <c r="E119" i="6"/>
  <c r="F119" i="6" s="1"/>
  <c r="E118" i="6"/>
  <c r="F118" i="6" s="1"/>
  <c r="E117" i="6"/>
  <c r="F117" i="6" s="1"/>
  <c r="F116" i="6"/>
  <c r="E116" i="6"/>
  <c r="E115" i="6"/>
  <c r="F115" i="6" s="1"/>
  <c r="F114" i="6"/>
  <c r="E114" i="6"/>
  <c r="E113" i="6"/>
  <c r="F113" i="6" s="1"/>
  <c r="D111" i="6"/>
  <c r="E111" i="6"/>
  <c r="C111" i="6"/>
  <c r="E110" i="6"/>
  <c r="F110" i="6" s="1"/>
  <c r="F109" i="6"/>
  <c r="E109" i="6"/>
  <c r="E108" i="6"/>
  <c r="F108" i="6" s="1"/>
  <c r="E107" i="6"/>
  <c r="F107" i="6" s="1"/>
  <c r="E106" i="6"/>
  <c r="F106" i="6" s="1"/>
  <c r="F105" i="6"/>
  <c r="E105" i="6"/>
  <c r="E104" i="6"/>
  <c r="F104" i="6" s="1"/>
  <c r="F103" i="6"/>
  <c r="E103" i="6"/>
  <c r="F102" i="6"/>
  <c r="E102" i="6"/>
  <c r="E101" i="6"/>
  <c r="F101" i="6" s="1"/>
  <c r="E100" i="6"/>
  <c r="F100" i="6" s="1"/>
  <c r="D94" i="6"/>
  <c r="C94" i="6"/>
  <c r="D93" i="6"/>
  <c r="C93" i="6"/>
  <c r="E93" i="6" s="1"/>
  <c r="D92" i="6"/>
  <c r="E92" i="6"/>
  <c r="F92" i="6" s="1"/>
  <c r="C92" i="6"/>
  <c r="D91" i="6"/>
  <c r="C91" i="6"/>
  <c r="D90" i="6"/>
  <c r="C90" i="6"/>
  <c r="D89" i="6"/>
  <c r="C89" i="6"/>
  <c r="D88" i="6"/>
  <c r="E88" i="6" s="1"/>
  <c r="F88" i="6" s="1"/>
  <c r="C88" i="6"/>
  <c r="D87" i="6"/>
  <c r="C87" i="6"/>
  <c r="D86" i="6"/>
  <c r="E86" i="6" s="1"/>
  <c r="C86" i="6"/>
  <c r="D85" i="6"/>
  <c r="C85" i="6"/>
  <c r="D84" i="6"/>
  <c r="C84" i="6"/>
  <c r="E84" i="6" s="1"/>
  <c r="D81" i="6"/>
  <c r="E81" i="6"/>
  <c r="C81" i="6"/>
  <c r="E80" i="6"/>
  <c r="F80" i="6" s="1"/>
  <c r="F79" i="6"/>
  <c r="E79" i="6"/>
  <c r="E78" i="6"/>
  <c r="F78" i="6" s="1"/>
  <c r="E77" i="6"/>
  <c r="F77" i="6" s="1"/>
  <c r="E76" i="6"/>
  <c r="F76" i="6" s="1"/>
  <c r="E75" i="6"/>
  <c r="F75" i="6" s="1"/>
  <c r="F74" i="6"/>
  <c r="E74" i="6"/>
  <c r="F73" i="6"/>
  <c r="E73" i="6"/>
  <c r="E72" i="6"/>
  <c r="F72" i="6" s="1"/>
  <c r="E71" i="6"/>
  <c r="F71" i="6" s="1"/>
  <c r="E70" i="6"/>
  <c r="F70" i="6" s="1"/>
  <c r="D68" i="6"/>
  <c r="C68" i="6"/>
  <c r="E67" i="6"/>
  <c r="F67" i="6" s="1"/>
  <c r="F66" i="6"/>
  <c r="E66" i="6"/>
  <c r="F65" i="6"/>
  <c r="E65" i="6"/>
  <c r="E64" i="6"/>
  <c r="F64" i="6" s="1"/>
  <c r="E63" i="6"/>
  <c r="F63" i="6" s="1"/>
  <c r="E62" i="6"/>
  <c r="F62" i="6" s="1"/>
  <c r="E61" i="6"/>
  <c r="F61" i="6" s="1"/>
  <c r="F60" i="6"/>
  <c r="E60" i="6"/>
  <c r="E59" i="6"/>
  <c r="F59" i="6" s="1"/>
  <c r="E58" i="6"/>
  <c r="F58" i="6" s="1"/>
  <c r="F57" i="6"/>
  <c r="E57" i="6"/>
  <c r="D51" i="6"/>
  <c r="C51" i="6"/>
  <c r="F50" i="6"/>
  <c r="D50" i="6"/>
  <c r="E50" i="6" s="1"/>
  <c r="C50" i="6"/>
  <c r="D49" i="6"/>
  <c r="E49" i="6"/>
  <c r="C49" i="6"/>
  <c r="D48" i="6"/>
  <c r="E48" i="6"/>
  <c r="F48" i="6"/>
  <c r="C48" i="6"/>
  <c r="D47" i="6"/>
  <c r="C47" i="6"/>
  <c r="D46" i="6"/>
  <c r="E46" i="6" s="1"/>
  <c r="F46" i="6" s="1"/>
  <c r="C46" i="6"/>
  <c r="D45" i="6"/>
  <c r="C45" i="6"/>
  <c r="F44" i="6"/>
  <c r="D44" i="6"/>
  <c r="E44" i="6" s="1"/>
  <c r="C44" i="6"/>
  <c r="D43" i="6"/>
  <c r="C43" i="6"/>
  <c r="D42" i="6"/>
  <c r="C42" i="6"/>
  <c r="D41" i="6"/>
  <c r="E41" i="6" s="1"/>
  <c r="F41" i="6" s="1"/>
  <c r="C41" i="6"/>
  <c r="D38" i="6"/>
  <c r="C38" i="6"/>
  <c r="F37" i="6"/>
  <c r="E37" i="6"/>
  <c r="F36" i="6"/>
  <c r="E36" i="6"/>
  <c r="E35" i="6"/>
  <c r="F35" i="6" s="1"/>
  <c r="E34" i="6"/>
  <c r="F34" i="6" s="1"/>
  <c r="F33" i="6"/>
  <c r="E33" i="6"/>
  <c r="E32" i="6"/>
  <c r="F32" i="6" s="1"/>
  <c r="E31" i="6"/>
  <c r="F31" i="6" s="1"/>
  <c r="F30" i="6"/>
  <c r="E30" i="6"/>
  <c r="F29" i="6"/>
  <c r="E29" i="6"/>
  <c r="E28" i="6"/>
  <c r="F28" i="6" s="1"/>
  <c r="E27" i="6"/>
  <c r="F27" i="6" s="1"/>
  <c r="D25" i="6"/>
  <c r="E25" i="6" s="1"/>
  <c r="F25" i="6" s="1"/>
  <c r="C25" i="6"/>
  <c r="E24" i="6"/>
  <c r="F24" i="6" s="1"/>
  <c r="F23" i="6"/>
  <c r="E23" i="6"/>
  <c r="E22" i="6"/>
  <c r="F22" i="6" s="1"/>
  <c r="E21" i="6"/>
  <c r="F21" i="6" s="1"/>
  <c r="E20" i="6"/>
  <c r="F20" i="6" s="1"/>
  <c r="F19" i="6"/>
  <c r="E19" i="6"/>
  <c r="E18" i="6"/>
  <c r="F18" i="6" s="1"/>
  <c r="F17" i="6"/>
  <c r="E17" i="6"/>
  <c r="E16" i="6"/>
  <c r="F16" i="6" s="1"/>
  <c r="E15" i="6"/>
  <c r="F15" i="6" s="1"/>
  <c r="E14" i="6"/>
  <c r="F14" i="6" s="1"/>
  <c r="E51" i="5"/>
  <c r="F51" i="5" s="1"/>
  <c r="D48" i="5"/>
  <c r="C48" i="5"/>
  <c r="E47" i="5"/>
  <c r="F47" i="5" s="1"/>
  <c r="F46" i="5"/>
  <c r="E46" i="5"/>
  <c r="D41" i="5"/>
  <c r="C41" i="5"/>
  <c r="E41" i="5" s="1"/>
  <c r="F40" i="5"/>
  <c r="E40" i="5"/>
  <c r="F39" i="5"/>
  <c r="E39" i="5"/>
  <c r="F38" i="5"/>
  <c r="E38" i="5"/>
  <c r="D33" i="5"/>
  <c r="C33" i="5"/>
  <c r="E32" i="5"/>
  <c r="F32" i="5" s="1"/>
  <c r="E31" i="5"/>
  <c r="F31" i="5" s="1"/>
  <c r="E30" i="5"/>
  <c r="F30" i="5"/>
  <c r="F29" i="5"/>
  <c r="E29" i="5"/>
  <c r="E28" i="5"/>
  <c r="F28" i="5" s="1"/>
  <c r="E27" i="5"/>
  <c r="F27" i="5" s="1"/>
  <c r="E26" i="5"/>
  <c r="F26" i="5"/>
  <c r="E25" i="5"/>
  <c r="F25" i="5"/>
  <c r="E24" i="5"/>
  <c r="F24" i="5"/>
  <c r="F20" i="5"/>
  <c r="E20" i="5"/>
  <c r="E19" i="5"/>
  <c r="F19" i="5" s="1"/>
  <c r="E17" i="5"/>
  <c r="F17" i="5"/>
  <c r="D16" i="5"/>
  <c r="D18" i="5"/>
  <c r="C16" i="5"/>
  <c r="E15" i="5"/>
  <c r="F15" i="5" s="1"/>
  <c r="E14" i="5"/>
  <c r="F14" i="5" s="1"/>
  <c r="E13" i="5"/>
  <c r="F13" i="5" s="1"/>
  <c r="E12" i="5"/>
  <c r="F12" i="5" s="1"/>
  <c r="D73" i="4"/>
  <c r="C73" i="4"/>
  <c r="E73" i="4" s="1"/>
  <c r="F72" i="4"/>
  <c r="E72" i="4"/>
  <c r="F71" i="4"/>
  <c r="E71" i="4"/>
  <c r="E70" i="4"/>
  <c r="F70" i="4" s="1"/>
  <c r="F67" i="4"/>
  <c r="E67" i="4"/>
  <c r="E64" i="4"/>
  <c r="F64" i="4" s="1"/>
  <c r="E63" i="4"/>
  <c r="F63" i="4"/>
  <c r="D61" i="4"/>
  <c r="D65" i="4" s="1"/>
  <c r="D75" i="4" s="1"/>
  <c r="C61" i="4"/>
  <c r="F61" i="4"/>
  <c r="F60" i="4"/>
  <c r="E60" i="4"/>
  <c r="F59" i="4"/>
  <c r="E59" i="4"/>
  <c r="D56" i="4"/>
  <c r="C56" i="4"/>
  <c r="F55" i="4"/>
  <c r="E55" i="4"/>
  <c r="E54" i="4"/>
  <c r="F54" i="4" s="1"/>
  <c r="F53" i="4"/>
  <c r="E53" i="4"/>
  <c r="F52" i="4"/>
  <c r="E52" i="4"/>
  <c r="E51" i="4"/>
  <c r="F51" i="4"/>
  <c r="E50" i="4"/>
  <c r="F50" i="4" s="1"/>
  <c r="A50" i="4"/>
  <c r="A51" i="4"/>
  <c r="A52" i="4"/>
  <c r="A53" i="4" s="1"/>
  <c r="A54" i="4" s="1"/>
  <c r="A55" i="4" s="1"/>
  <c r="E49" i="4"/>
  <c r="F49" i="4" s="1"/>
  <c r="E40" i="4"/>
  <c r="F40" i="4" s="1"/>
  <c r="D38" i="4"/>
  <c r="D41" i="4" s="1"/>
  <c r="C38" i="4"/>
  <c r="E38" i="4" s="1"/>
  <c r="F37" i="4"/>
  <c r="E37" i="4"/>
  <c r="E36" i="4"/>
  <c r="F36" i="4" s="1"/>
  <c r="E33" i="4"/>
  <c r="F33" i="4" s="1"/>
  <c r="F32" i="4"/>
  <c r="E32" i="4"/>
  <c r="F31" i="4"/>
  <c r="E31" i="4"/>
  <c r="D29" i="4"/>
  <c r="C29" i="4"/>
  <c r="F29" i="4" s="1"/>
  <c r="F28" i="4"/>
  <c r="E28" i="4"/>
  <c r="F27" i="4"/>
  <c r="E27" i="4"/>
  <c r="F26" i="4"/>
  <c r="E26" i="4"/>
  <c r="F25" i="4"/>
  <c r="E25" i="4"/>
  <c r="D22" i="4"/>
  <c r="C22" i="4"/>
  <c r="F21" i="4"/>
  <c r="E21" i="4"/>
  <c r="E20" i="4"/>
  <c r="F20" i="4"/>
  <c r="E19" i="4"/>
  <c r="F19" i="4" s="1"/>
  <c r="F18" i="4"/>
  <c r="E18" i="4"/>
  <c r="F17" i="4"/>
  <c r="E17" i="4"/>
  <c r="F16" i="4"/>
  <c r="E16" i="4"/>
  <c r="E15" i="4"/>
  <c r="F15" i="4" s="1"/>
  <c r="F14" i="4"/>
  <c r="E14" i="4"/>
  <c r="E13" i="4"/>
  <c r="F13" i="4" s="1"/>
  <c r="D108" i="22"/>
  <c r="D22" i="22"/>
  <c r="E23" i="22"/>
  <c r="E34" i="22"/>
  <c r="C102" i="22"/>
  <c r="E102" i="22"/>
  <c r="E22" i="22"/>
  <c r="E45" i="22" s="1"/>
  <c r="C20" i="20"/>
  <c r="E295" i="17"/>
  <c r="F295" i="17" s="1"/>
  <c r="E296" i="17"/>
  <c r="E298" i="17"/>
  <c r="E299" i="17"/>
  <c r="C22" i="18"/>
  <c r="C284" i="18" s="1"/>
  <c r="E54" i="18"/>
  <c r="E60" i="18"/>
  <c r="D65" i="18"/>
  <c r="D71" i="18"/>
  <c r="E21" i="18"/>
  <c r="E37" i="18"/>
  <c r="D144" i="18"/>
  <c r="D175" i="18"/>
  <c r="E216" i="18"/>
  <c r="C241" i="18"/>
  <c r="E218" i="18"/>
  <c r="C229" i="18"/>
  <c r="C244" i="18"/>
  <c r="D245" i="18"/>
  <c r="E251" i="18"/>
  <c r="D302" i="18"/>
  <c r="E302" i="18" s="1"/>
  <c r="D316" i="18"/>
  <c r="C261" i="18"/>
  <c r="C189" i="18"/>
  <c r="D260" i="18"/>
  <c r="D211" i="18"/>
  <c r="C242" i="18"/>
  <c r="E242" i="18" s="1"/>
  <c r="D243" i="18"/>
  <c r="E301" i="18"/>
  <c r="E324" i="18"/>
  <c r="D21" i="17"/>
  <c r="E35" i="17"/>
  <c r="F35" i="17" s="1"/>
  <c r="C37" i="17"/>
  <c r="E44" i="17"/>
  <c r="F44" i="17" s="1"/>
  <c r="E53" i="17"/>
  <c r="F53" i="17"/>
  <c r="E60" i="17"/>
  <c r="F60" i="17" s="1"/>
  <c r="C207" i="17"/>
  <c r="C138" i="17"/>
  <c r="C173" i="17"/>
  <c r="E20" i="17"/>
  <c r="F20" i="17"/>
  <c r="C21" i="17"/>
  <c r="E36" i="17"/>
  <c r="F36" i="17" s="1"/>
  <c r="E58" i="17"/>
  <c r="F58" i="17" s="1"/>
  <c r="C61" i="17"/>
  <c r="F66" i="17"/>
  <c r="E109" i="17"/>
  <c r="C192" i="17"/>
  <c r="E192" i="17" s="1"/>
  <c r="F144" i="17"/>
  <c r="E179" i="17"/>
  <c r="F179" i="17" s="1"/>
  <c r="D278" i="17"/>
  <c r="D290" i="17"/>
  <c r="D274" i="17"/>
  <c r="E274" i="17" s="1"/>
  <c r="F274" i="17" s="1"/>
  <c r="E198" i="17"/>
  <c r="F198" i="17" s="1"/>
  <c r="D227" i="17"/>
  <c r="E76" i="17"/>
  <c r="F76" i="17" s="1"/>
  <c r="D124" i="17"/>
  <c r="D126" i="17" s="1"/>
  <c r="D127" i="17" s="1"/>
  <c r="D277" i="17"/>
  <c r="D280" i="17"/>
  <c r="E191" i="17"/>
  <c r="D306" i="17"/>
  <c r="E306" i="17" s="1"/>
  <c r="D262" i="17"/>
  <c r="D264" i="17"/>
  <c r="C279" i="17"/>
  <c r="C190" i="17"/>
  <c r="C290" i="17"/>
  <c r="C274" i="17"/>
  <c r="C267" i="17"/>
  <c r="C285" i="17"/>
  <c r="C205" i="17"/>
  <c r="C206" i="17"/>
  <c r="C255" i="17"/>
  <c r="C261" i="17"/>
  <c r="C264" i="17"/>
  <c r="C300" i="17" s="1"/>
  <c r="F296" i="17"/>
  <c r="F31" i="14"/>
  <c r="H31" i="14" s="1"/>
  <c r="C33" i="14"/>
  <c r="C36" i="14" s="1"/>
  <c r="C38" i="14" s="1"/>
  <c r="C40" i="14"/>
  <c r="E33" i="14"/>
  <c r="E36" i="14" s="1"/>
  <c r="E38" i="14" s="1"/>
  <c r="E40" i="14" s="1"/>
  <c r="H17" i="14"/>
  <c r="D21" i="13"/>
  <c r="D15" i="13"/>
  <c r="D24" i="13" s="1"/>
  <c r="D48" i="13"/>
  <c r="D20" i="12"/>
  <c r="D34" i="12" s="1"/>
  <c r="C20" i="12"/>
  <c r="C34" i="12" s="1"/>
  <c r="E15" i="12"/>
  <c r="F15" i="12" s="1"/>
  <c r="C43" i="11"/>
  <c r="E65" i="11"/>
  <c r="F73" i="11"/>
  <c r="E56" i="11"/>
  <c r="F56" i="11" s="1"/>
  <c r="E61" i="11"/>
  <c r="E23" i="10"/>
  <c r="E24" i="10"/>
  <c r="E35" i="10"/>
  <c r="E47" i="10"/>
  <c r="E48" i="10"/>
  <c r="E59" i="10"/>
  <c r="E71" i="10"/>
  <c r="E72" i="10"/>
  <c r="E83" i="10"/>
  <c r="E95" i="10"/>
  <c r="E96" i="10"/>
  <c r="E107" i="10"/>
  <c r="E108" i="10"/>
  <c r="E114" i="10"/>
  <c r="E118" i="10"/>
  <c r="E120" i="10"/>
  <c r="C122" i="10"/>
  <c r="F122" i="10"/>
  <c r="F199" i="9"/>
  <c r="E21" i="8"/>
  <c r="C152" i="8"/>
  <c r="E136" i="8"/>
  <c r="E137" i="8"/>
  <c r="E135" i="8"/>
  <c r="D49" i="8"/>
  <c r="D57" i="8"/>
  <c r="D62" i="8" s="1"/>
  <c r="C15" i="8"/>
  <c r="C24" i="8" s="1"/>
  <c r="C20" i="8" s="1"/>
  <c r="E15" i="8"/>
  <c r="E17" i="8" s="1"/>
  <c r="E28" i="8" s="1"/>
  <c r="D17" i="8"/>
  <c r="D28" i="8" s="1"/>
  <c r="D43" i="8"/>
  <c r="C49" i="8"/>
  <c r="E49" i="8"/>
  <c r="E77" i="8"/>
  <c r="E71" i="8" s="1"/>
  <c r="E90" i="7"/>
  <c r="F90" i="7" s="1"/>
  <c r="E183" i="7"/>
  <c r="F183" i="7" s="1"/>
  <c r="C188" i="7"/>
  <c r="F179" i="6"/>
  <c r="F84" i="6"/>
  <c r="D21" i="5"/>
  <c r="E16" i="5"/>
  <c r="F16" i="5" s="1"/>
  <c r="C18" i="5"/>
  <c r="E22" i="4"/>
  <c r="F22" i="4" s="1"/>
  <c r="E56" i="4"/>
  <c r="F56" i="4" s="1"/>
  <c r="E61" i="4"/>
  <c r="C65" i="4"/>
  <c r="C75" i="4" s="1"/>
  <c r="E35" i="22"/>
  <c r="E110" i="22"/>
  <c r="D110" i="22"/>
  <c r="D53" i="22"/>
  <c r="D45" i="22"/>
  <c r="D39" i="22"/>
  <c r="D35" i="22"/>
  <c r="D29" i="22"/>
  <c r="D303" i="18"/>
  <c r="D180" i="18"/>
  <c r="D145" i="18"/>
  <c r="D181" i="18" s="1"/>
  <c r="D168" i="18"/>
  <c r="D253" i="18"/>
  <c r="C271" i="17"/>
  <c r="C104" i="17"/>
  <c r="C208" i="17"/>
  <c r="D194" i="17"/>
  <c r="E277" i="17"/>
  <c r="F277" i="17" s="1"/>
  <c r="D279" i="17"/>
  <c r="E279" i="17" s="1"/>
  <c r="E278" i="17"/>
  <c r="D266" i="17"/>
  <c r="E61" i="17"/>
  <c r="D20" i="13"/>
  <c r="D17" i="13"/>
  <c r="D28" i="13" s="1"/>
  <c r="C17" i="8"/>
  <c r="C28" i="8" s="1"/>
  <c r="E24" i="8"/>
  <c r="E20" i="8" s="1"/>
  <c r="D112" i="8"/>
  <c r="D111" i="8" s="1"/>
  <c r="D112" i="22"/>
  <c r="D47" i="22"/>
  <c r="E30" i="22" l="1"/>
  <c r="E56" i="22" s="1"/>
  <c r="E54" i="22"/>
  <c r="E141" i="8"/>
  <c r="D20" i="20"/>
  <c r="E20" i="20" s="1"/>
  <c r="E19" i="20"/>
  <c r="F19" i="20" s="1"/>
  <c r="C33" i="22"/>
  <c r="C34" i="22"/>
  <c r="C22" i="22"/>
  <c r="C23" i="22"/>
  <c r="C40" i="22" s="1"/>
  <c r="F279" i="17"/>
  <c r="D41" i="11"/>
  <c r="D43" i="11" s="1"/>
  <c r="E43" i="11" s="1"/>
  <c r="F43" i="11" s="1"/>
  <c r="E38" i="11"/>
  <c r="F38" i="11" s="1"/>
  <c r="F278" i="17"/>
  <c r="D206" i="17"/>
  <c r="E206" i="17" s="1"/>
  <c r="F206" i="17" s="1"/>
  <c r="D267" i="17"/>
  <c r="E267" i="17" s="1"/>
  <c r="E203" i="17"/>
  <c r="F203" i="17" s="1"/>
  <c r="E40" i="22"/>
  <c r="D22" i="8"/>
  <c r="D99" i="8"/>
  <c r="D101" i="8" s="1"/>
  <c r="D98" i="8" s="1"/>
  <c r="D265" i="17"/>
  <c r="F42" i="6"/>
  <c r="E90" i="6"/>
  <c r="F90" i="6" s="1"/>
  <c r="D172" i="17"/>
  <c r="E171" i="17"/>
  <c r="F171" i="17" s="1"/>
  <c r="C199" i="17"/>
  <c r="E189" i="17"/>
  <c r="F189" i="17" s="1"/>
  <c r="C215" i="17"/>
  <c r="C262" i="17"/>
  <c r="C240" i="18"/>
  <c r="C222" i="18"/>
  <c r="E279" i="18"/>
  <c r="D196" i="17"/>
  <c r="D197" i="17" s="1"/>
  <c r="E99" i="8"/>
  <c r="E101" i="8" s="1"/>
  <c r="E98" i="8" s="1"/>
  <c r="E22" i="8"/>
  <c r="C207" i="9"/>
  <c r="C48" i="17"/>
  <c r="C266" i="17"/>
  <c r="E266" i="17" s="1"/>
  <c r="D282" i="17"/>
  <c r="E193" i="17"/>
  <c r="C146" i="17"/>
  <c r="E145" i="17"/>
  <c r="F145" i="17" s="1"/>
  <c r="C44" i="18"/>
  <c r="D252" i="18"/>
  <c r="E243" i="18"/>
  <c r="E46" i="22"/>
  <c r="E87" i="6"/>
  <c r="F87" i="6"/>
  <c r="E110" i="17"/>
  <c r="F110" i="17" s="1"/>
  <c r="D111" i="17"/>
  <c r="E111" i="17" s="1"/>
  <c r="C124" i="17"/>
  <c r="C193" i="17"/>
  <c r="E34" i="12"/>
  <c r="E112" i="8"/>
  <c r="E111" i="8" s="1"/>
  <c r="F192" i="17"/>
  <c r="C21" i="5"/>
  <c r="C35" i="5" s="1"/>
  <c r="C43" i="5" s="1"/>
  <c r="C50" i="5" s="1"/>
  <c r="E18" i="5"/>
  <c r="F18" i="5" s="1"/>
  <c r="E60" i="10"/>
  <c r="F267" i="17"/>
  <c r="D283" i="17"/>
  <c r="D284" i="17" s="1"/>
  <c r="F41" i="5"/>
  <c r="E207" i="9"/>
  <c r="F73" i="15"/>
  <c r="E75" i="15"/>
  <c r="F75" i="15" s="1"/>
  <c r="F17" i="17"/>
  <c r="D48" i="17"/>
  <c r="E47" i="17"/>
  <c r="F47" i="17" s="1"/>
  <c r="D320" i="18"/>
  <c r="E320" i="18" s="1"/>
  <c r="E316" i="18"/>
  <c r="E15" i="13"/>
  <c r="E25" i="13"/>
  <c r="E27" i="13" s="1"/>
  <c r="E175" i="18"/>
  <c r="E36" i="22"/>
  <c r="D77" i="18"/>
  <c r="E240" i="18"/>
  <c r="D21" i="8"/>
  <c r="D42" i="12"/>
  <c r="D49" i="12" s="1"/>
  <c r="C288" i="17"/>
  <c r="F61" i="17"/>
  <c r="C209" i="17"/>
  <c r="C139" i="17"/>
  <c r="F153" i="6"/>
  <c r="E198" i="9"/>
  <c r="F198" i="9" s="1"/>
  <c r="C175" i="18"/>
  <c r="C144" i="18"/>
  <c r="E139" i="18"/>
  <c r="C163" i="18"/>
  <c r="E94" i="6"/>
  <c r="F94" i="6" s="1"/>
  <c r="F130" i="7"/>
  <c r="E23" i="9"/>
  <c r="F23" i="9" s="1"/>
  <c r="E154" i="9"/>
  <c r="E17" i="17"/>
  <c r="E23" i="17"/>
  <c r="F23" i="17" s="1"/>
  <c r="E102" i="17"/>
  <c r="F102" i="17" s="1"/>
  <c r="E165" i="17"/>
  <c r="E227" i="17"/>
  <c r="F227" i="17"/>
  <c r="C76" i="18"/>
  <c r="C77" i="18" s="1"/>
  <c r="E163" i="18"/>
  <c r="E233" i="18"/>
  <c r="C37" i="19"/>
  <c r="C38" i="19" s="1"/>
  <c r="C127" i="19" s="1"/>
  <c r="C129" i="19" s="1"/>
  <c r="C133" i="19" s="1"/>
  <c r="C22" i="19"/>
  <c r="D102" i="22"/>
  <c r="D101" i="22"/>
  <c r="D103" i="22" s="1"/>
  <c r="C270" i="17"/>
  <c r="E29" i="22"/>
  <c r="D35" i="5"/>
  <c r="E139" i="8"/>
  <c r="C121" i="10"/>
  <c r="F121" i="10" s="1"/>
  <c r="E63" i="9"/>
  <c r="F63" i="9"/>
  <c r="E205" i="9"/>
  <c r="F205" i="9" s="1"/>
  <c r="F47" i="12"/>
  <c r="D33" i="14"/>
  <c r="D36" i="14" s="1"/>
  <c r="D38" i="14" s="1"/>
  <c r="D40" i="14" s="1"/>
  <c r="D31" i="14"/>
  <c r="E159" i="17"/>
  <c r="F159" i="17" s="1"/>
  <c r="C280" i="17"/>
  <c r="F191" i="17"/>
  <c r="C200" i="17"/>
  <c r="F298" i="17"/>
  <c r="E311" i="17"/>
  <c r="D22" i="18"/>
  <c r="D283" i="18"/>
  <c r="E283" i="18" s="1"/>
  <c r="C33" i="18"/>
  <c r="E32" i="18"/>
  <c r="E151" i="18"/>
  <c r="C156" i="18"/>
  <c r="C157" i="18" s="1"/>
  <c r="E40" i="20"/>
  <c r="F40" i="20" s="1"/>
  <c r="D121" i="10"/>
  <c r="E121" i="10" s="1"/>
  <c r="E16" i="15"/>
  <c r="D89" i="17"/>
  <c r="D91" i="17" s="1"/>
  <c r="D92" i="17" s="1"/>
  <c r="E88" i="17"/>
  <c r="E237" i="17"/>
  <c r="F237" i="17" s="1"/>
  <c r="D239" i="17"/>
  <c r="F299" i="17"/>
  <c r="E39" i="18"/>
  <c r="D234" i="18"/>
  <c r="D55" i="18"/>
  <c r="E55" i="18" s="1"/>
  <c r="C210" i="18"/>
  <c r="C239" i="18"/>
  <c r="C223" i="18"/>
  <c r="C247" i="18" s="1"/>
  <c r="E217" i="18"/>
  <c r="D241" i="18"/>
  <c r="C252" i="18"/>
  <c r="E231" i="18"/>
  <c r="E16" i="20"/>
  <c r="F16" i="20" s="1"/>
  <c r="E101" i="22"/>
  <c r="C89" i="17"/>
  <c r="F88" i="17"/>
  <c r="E111" i="22"/>
  <c r="E108" i="22"/>
  <c r="E140" i="8"/>
  <c r="E59" i="17"/>
  <c r="F59" i="17" s="1"/>
  <c r="D76" i="18"/>
  <c r="E76" i="18" s="1"/>
  <c r="E71" i="18"/>
  <c r="F73" i="4"/>
  <c r="C139" i="8"/>
  <c r="F158" i="17"/>
  <c r="E70" i="18"/>
  <c r="E51" i="6"/>
  <c r="F86" i="6"/>
  <c r="E90" i="8"/>
  <c r="E86" i="8" s="1"/>
  <c r="D166" i="8"/>
  <c r="D156" i="8" s="1"/>
  <c r="F44" i="20"/>
  <c r="E20" i="12"/>
  <c r="F20" i="12" s="1"/>
  <c r="C91" i="17"/>
  <c r="E91" i="17" s="1"/>
  <c r="F91" i="17" s="1"/>
  <c r="D222" i="18"/>
  <c r="C49" i="17"/>
  <c r="E22" i="11"/>
  <c r="F22" i="11" s="1"/>
  <c r="E290" i="17"/>
  <c r="E158" i="17"/>
  <c r="D103" i="17"/>
  <c r="E29" i="4"/>
  <c r="F81" i="6"/>
  <c r="D77" i="8"/>
  <c r="D71" i="8" s="1"/>
  <c r="D88" i="8"/>
  <c r="E36" i="9"/>
  <c r="F36" i="9"/>
  <c r="E101" i="9"/>
  <c r="C75" i="11"/>
  <c r="D50" i="13"/>
  <c r="F65" i="15"/>
  <c r="D261" i="17"/>
  <c r="D190" i="17"/>
  <c r="E190" i="17" s="1"/>
  <c r="C214" i="17"/>
  <c r="C304" i="17" s="1"/>
  <c r="C283" i="17"/>
  <c r="C254" i="17"/>
  <c r="F307" i="17"/>
  <c r="E36" i="18"/>
  <c r="E164" i="18"/>
  <c r="E167" i="18"/>
  <c r="E229" i="18"/>
  <c r="E239" i="18"/>
  <c r="E282" i="18"/>
  <c r="E44" i="20"/>
  <c r="E42" i="6"/>
  <c r="F111" i="6"/>
  <c r="E121" i="7"/>
  <c r="F121" i="7" s="1"/>
  <c r="E79" i="8"/>
  <c r="F75" i="9"/>
  <c r="E141" i="9"/>
  <c r="F141" i="9" s="1"/>
  <c r="E204" i="9"/>
  <c r="F204" i="9" s="1"/>
  <c r="E29" i="11"/>
  <c r="C61" i="13"/>
  <c r="C57" i="13" s="1"/>
  <c r="C50" i="13"/>
  <c r="E21" i="16"/>
  <c r="F21" i="16" s="1"/>
  <c r="E155" i="17"/>
  <c r="F155" i="17" s="1"/>
  <c r="C181" i="17"/>
  <c r="E230" i="17"/>
  <c r="F230" i="17" s="1"/>
  <c r="E173" i="18"/>
  <c r="E221" i="18"/>
  <c r="E276" i="18"/>
  <c r="E287" i="18"/>
  <c r="D46" i="20"/>
  <c r="E21" i="21"/>
  <c r="F21" i="21" s="1"/>
  <c r="C77" i="22"/>
  <c r="C108" i="22" s="1"/>
  <c r="C174" i="17"/>
  <c r="E43" i="6"/>
  <c r="F43" i="6" s="1"/>
  <c r="E41" i="7"/>
  <c r="F41" i="7" s="1"/>
  <c r="E37" i="9"/>
  <c r="E128" i="9"/>
  <c r="F128" i="9" s="1"/>
  <c r="E202" i="9"/>
  <c r="F202" i="9" s="1"/>
  <c r="E119" i="10"/>
  <c r="F29" i="11"/>
  <c r="D75" i="11"/>
  <c r="E50" i="13"/>
  <c r="E30" i="15"/>
  <c r="E50" i="15"/>
  <c r="E13" i="16"/>
  <c r="F13" i="16" s="1"/>
  <c r="D37" i="17"/>
  <c r="E37" i="17" s="1"/>
  <c r="F37" i="17" s="1"/>
  <c r="E180" i="17"/>
  <c r="F180" i="17" s="1"/>
  <c r="E226" i="17"/>
  <c r="F226" i="17" s="1"/>
  <c r="E219" i="18"/>
  <c r="E262" i="18"/>
  <c r="E288" i="18"/>
  <c r="E293" i="18"/>
  <c r="E88" i="22"/>
  <c r="E38" i="6"/>
  <c r="E91" i="6"/>
  <c r="E193" i="9"/>
  <c r="F193" i="9" s="1"/>
  <c r="E47" i="12"/>
  <c r="E60" i="15"/>
  <c r="D68" i="17"/>
  <c r="E135" i="17"/>
  <c r="F135" i="17" s="1"/>
  <c r="D146" i="17"/>
  <c r="E146" i="17" s="1"/>
  <c r="F146" i="17" s="1"/>
  <c r="E170" i="17"/>
  <c r="E36" i="20"/>
  <c r="F36" i="20" s="1"/>
  <c r="C101" i="22"/>
  <c r="C103" i="22" s="1"/>
  <c r="C88" i="22"/>
  <c r="E114" i="9"/>
  <c r="F114" i="9" s="1"/>
  <c r="E179" i="9"/>
  <c r="C48" i="13"/>
  <c r="C42" i="13" s="1"/>
  <c r="E37" i="15"/>
  <c r="C239" i="17"/>
  <c r="E38" i="18"/>
  <c r="C65" i="18"/>
  <c r="C66" i="18" s="1"/>
  <c r="E265" i="18"/>
  <c r="E98" i="22"/>
  <c r="C175" i="17"/>
  <c r="C62" i="17"/>
  <c r="C140" i="17"/>
  <c r="C105" i="17"/>
  <c r="C210" i="17"/>
  <c r="E172" i="17"/>
  <c r="F172" i="17" s="1"/>
  <c r="D173" i="17"/>
  <c r="C99" i="8"/>
  <c r="C101" i="8" s="1"/>
  <c r="C98" i="8" s="1"/>
  <c r="C22" i="8"/>
  <c r="E48" i="22"/>
  <c r="E113" i="22"/>
  <c r="D66" i="18"/>
  <c r="D294" i="18"/>
  <c r="E109" i="22"/>
  <c r="C113" i="18"/>
  <c r="C109" i="18"/>
  <c r="C123" i="18"/>
  <c r="C126" i="18"/>
  <c r="C112" i="18"/>
  <c r="C124" i="18"/>
  <c r="C111" i="18"/>
  <c r="C115" i="18"/>
  <c r="C121" i="18"/>
  <c r="C114" i="18"/>
  <c r="C110" i="18"/>
  <c r="C50" i="17"/>
  <c r="D37" i="22"/>
  <c r="D55" i="22"/>
  <c r="F190" i="17"/>
  <c r="F38" i="4"/>
  <c r="C41" i="4"/>
  <c r="C43" i="4" s="1"/>
  <c r="E85" i="6"/>
  <c r="D95" i="6"/>
  <c r="F93" i="6"/>
  <c r="E18" i="7"/>
  <c r="F18" i="7" s="1"/>
  <c r="G31" i="14"/>
  <c r="I31" i="14" s="1"/>
  <c r="I17" i="14"/>
  <c r="D31" i="17"/>
  <c r="E30" i="17"/>
  <c r="D205" i="17"/>
  <c r="E205" i="17" s="1"/>
  <c r="F205" i="17" s="1"/>
  <c r="D269" i="17"/>
  <c r="D215" i="17"/>
  <c r="C109" i="22"/>
  <c r="E65" i="18"/>
  <c r="D254" i="18"/>
  <c r="E24" i="17"/>
  <c r="F24" i="17" s="1"/>
  <c r="C52" i="6"/>
  <c r="E45" i="6"/>
  <c r="F45" i="6" s="1"/>
  <c r="F91" i="6"/>
  <c r="C137" i="8"/>
  <c r="C135" i="8"/>
  <c r="C140" i="8"/>
  <c r="C136" i="8"/>
  <c r="C155" i="8"/>
  <c r="C153" i="8"/>
  <c r="C154" i="8"/>
  <c r="C157" i="8"/>
  <c r="C156" i="8"/>
  <c r="F115" i="9"/>
  <c r="F140" i="9"/>
  <c r="D122" i="10"/>
  <c r="E122" i="10" s="1"/>
  <c r="E113" i="10"/>
  <c r="E59" i="13"/>
  <c r="E61" i="13" s="1"/>
  <c r="E57" i="13" s="1"/>
  <c r="E48" i="13"/>
  <c r="E42" i="13" s="1"/>
  <c r="E45" i="20"/>
  <c r="C46" i="20"/>
  <c r="E67" i="17"/>
  <c r="F67" i="17" s="1"/>
  <c r="C68" i="17"/>
  <c r="F130" i="17"/>
  <c r="E100" i="15"/>
  <c r="F100" i="15" s="1"/>
  <c r="F30" i="17"/>
  <c r="E245" i="18"/>
  <c r="C253" i="18"/>
  <c r="C254" i="18" s="1"/>
  <c r="E103" i="22"/>
  <c r="D44" i="18"/>
  <c r="E43" i="18"/>
  <c r="D43" i="5"/>
  <c r="F264" i="17"/>
  <c r="E253" i="18"/>
  <c r="C110" i="22"/>
  <c r="G33" i="14"/>
  <c r="E204" i="17"/>
  <c r="F204" i="17" s="1"/>
  <c r="C126" i="17"/>
  <c r="E21" i="17"/>
  <c r="F21" i="17"/>
  <c r="C161" i="17"/>
  <c r="C127" i="18"/>
  <c r="C95" i="6"/>
  <c r="D138" i="17"/>
  <c r="D207" i="17"/>
  <c r="E137" i="17"/>
  <c r="F137" i="17" s="1"/>
  <c r="E47" i="6"/>
  <c r="F47" i="6" s="1"/>
  <c r="H33" i="14"/>
  <c r="H36" i="14" s="1"/>
  <c r="H38" i="14" s="1"/>
  <c r="H40" i="14" s="1"/>
  <c r="F36" i="14"/>
  <c r="F38" i="14" s="1"/>
  <c r="F40" i="14" s="1"/>
  <c r="C112" i="8"/>
  <c r="C111" i="8" s="1"/>
  <c r="F290" i="17"/>
  <c r="D52" i="6"/>
  <c r="E52" i="6" s="1"/>
  <c r="C260" i="18"/>
  <c r="E195" i="18"/>
  <c r="F34" i="12"/>
  <c r="C125" i="18"/>
  <c r="E41" i="11"/>
  <c r="F41" i="11" s="1"/>
  <c r="C21" i="13"/>
  <c r="D157" i="18"/>
  <c r="C39" i="20"/>
  <c r="C42" i="12"/>
  <c r="F266" i="17"/>
  <c r="D306" i="18"/>
  <c r="E37" i="22"/>
  <c r="E38" i="22"/>
  <c r="E21" i="5"/>
  <c r="F21" i="5" s="1"/>
  <c r="D70" i="13"/>
  <c r="D72" i="13" s="1"/>
  <c r="D69" i="13" s="1"/>
  <c r="D22" i="13"/>
  <c r="D281" i="17"/>
  <c r="D259" i="18"/>
  <c r="C111" i="22"/>
  <c r="E116" i="10"/>
  <c r="C216" i="17"/>
  <c r="D285" i="17"/>
  <c r="C122" i="18"/>
  <c r="E75" i="4"/>
  <c r="F75" i="4" s="1"/>
  <c r="E65" i="4"/>
  <c r="F65" i="4" s="1"/>
  <c r="F38" i="6"/>
  <c r="F49" i="6"/>
  <c r="F124" i="6"/>
  <c r="D154" i="8"/>
  <c r="C208" i="9"/>
  <c r="F201" i="9"/>
  <c r="C24" i="13"/>
  <c r="C20" i="13" s="1"/>
  <c r="C17" i="13"/>
  <c r="C28" i="13" s="1"/>
  <c r="C70" i="13" s="1"/>
  <c r="C72" i="13" s="1"/>
  <c r="C69" i="13" s="1"/>
  <c r="C268" i="17"/>
  <c r="D287" i="17"/>
  <c r="E241" i="18"/>
  <c r="E48" i="5"/>
  <c r="F48" i="5" s="1"/>
  <c r="E89" i="6"/>
  <c r="F89" i="6" s="1"/>
  <c r="C88" i="8"/>
  <c r="C90" i="8" s="1"/>
  <c r="C86" i="8" s="1"/>
  <c r="C77" i="8"/>
  <c r="C71" i="8" s="1"/>
  <c r="D149" i="8"/>
  <c r="F65" i="11"/>
  <c r="F70" i="15"/>
  <c r="C111" i="17"/>
  <c r="F109" i="17"/>
  <c r="F165" i="17"/>
  <c r="D200" i="17"/>
  <c r="D199" i="17"/>
  <c r="E199" i="17" s="1"/>
  <c r="F199" i="17" s="1"/>
  <c r="F250" i="17"/>
  <c r="F297" i="17"/>
  <c r="D300" i="17"/>
  <c r="E300" i="17" s="1"/>
  <c r="F300" i="17" s="1"/>
  <c r="E264" i="17"/>
  <c r="E283" i="17"/>
  <c r="F283" i="17" s="1"/>
  <c r="D286" i="17"/>
  <c r="C54" i="22"/>
  <c r="C46" i="22"/>
  <c r="C36" i="22"/>
  <c r="E33" i="5"/>
  <c r="F33" i="5" s="1"/>
  <c r="E137" i="6"/>
  <c r="F137" i="6" s="1"/>
  <c r="D214" i="17"/>
  <c r="E188" i="17"/>
  <c r="F188" i="17" s="1"/>
  <c r="C30" i="22"/>
  <c r="D42" i="13"/>
  <c r="D235" i="18"/>
  <c r="F20" i="20"/>
  <c r="E53" i="22"/>
  <c r="E39" i="22"/>
  <c r="F85" i="6"/>
  <c r="F16" i="15"/>
  <c r="C160" i="17"/>
  <c r="C90" i="17"/>
  <c r="D330" i="18"/>
  <c r="E330" i="18" s="1"/>
  <c r="E326" i="18"/>
  <c r="C64" i="19"/>
  <c r="C65" i="19" s="1"/>
  <c r="C114" i="19" s="1"/>
  <c r="C116" i="19" s="1"/>
  <c r="C119" i="19" s="1"/>
  <c r="C123" i="19" s="1"/>
  <c r="C49" i="19"/>
  <c r="E35" i="7"/>
  <c r="F35" i="7" s="1"/>
  <c r="C95" i="7"/>
  <c r="F59" i="7"/>
  <c r="F23" i="15"/>
  <c r="E89" i="17"/>
  <c r="F89" i="17" s="1"/>
  <c r="E181" i="17"/>
  <c r="F181" i="17" s="1"/>
  <c r="E229" i="17"/>
  <c r="F229" i="17" s="1"/>
  <c r="C303" i="18"/>
  <c r="C306" i="18" s="1"/>
  <c r="C310" i="18" s="1"/>
  <c r="E102" i="9"/>
  <c r="E130" i="17"/>
  <c r="D43" i="4"/>
  <c r="F51" i="6"/>
  <c r="E68" i="6"/>
  <c r="F68" i="6" s="1"/>
  <c r="F166" i="6"/>
  <c r="E24" i="7"/>
  <c r="F24" i="7" s="1"/>
  <c r="E30" i="7"/>
  <c r="F30" i="7" s="1"/>
  <c r="E166" i="8"/>
  <c r="E167" i="9"/>
  <c r="F167" i="9"/>
  <c r="D80" i="13"/>
  <c r="D77" i="13" s="1"/>
  <c r="F17" i="16"/>
  <c r="C294" i="18"/>
  <c r="D261" i="18"/>
  <c r="E261" i="18" s="1"/>
  <c r="D189" i="18"/>
  <c r="E189" i="18" s="1"/>
  <c r="F22" i="20"/>
  <c r="E25" i="20"/>
  <c r="F25" i="20" s="1"/>
  <c r="E32" i="12"/>
  <c r="F32" i="12" s="1"/>
  <c r="E107" i="15"/>
  <c r="F107" i="15" s="1"/>
  <c r="E120" i="17"/>
  <c r="F120" i="17" s="1"/>
  <c r="E174" i="18"/>
  <c r="D23" i="22"/>
  <c r="D33" i="22"/>
  <c r="D34" i="22"/>
  <c r="D95" i="7"/>
  <c r="D90" i="8"/>
  <c r="D86" i="8" s="1"/>
  <c r="E140" i="9"/>
  <c r="F192" i="9"/>
  <c r="F223" i="17"/>
  <c r="D188" i="7"/>
  <c r="E188" i="7" s="1"/>
  <c r="F188" i="7" s="1"/>
  <c r="F88" i="9"/>
  <c r="E192" i="9"/>
  <c r="E92" i="15"/>
  <c r="F92" i="15" s="1"/>
  <c r="E85" i="17"/>
  <c r="F85" i="17" s="1"/>
  <c r="F170" i="17"/>
  <c r="E223" i="17"/>
  <c r="E238" i="17"/>
  <c r="F238" i="17" s="1"/>
  <c r="C259" i="18"/>
  <c r="C263" i="18" s="1"/>
  <c r="F200" i="17" l="1"/>
  <c r="D160" i="17"/>
  <c r="E160" i="17" s="1"/>
  <c r="E48" i="17"/>
  <c r="F48" i="17" s="1"/>
  <c r="D90" i="17"/>
  <c r="D125" i="17"/>
  <c r="E125" i="17" s="1"/>
  <c r="D49" i="17"/>
  <c r="E113" i="18"/>
  <c r="C92" i="17"/>
  <c r="E92" i="17" s="1"/>
  <c r="E103" i="17"/>
  <c r="F103" i="17" s="1"/>
  <c r="D104" i="17"/>
  <c r="E104" i="17" s="1"/>
  <c r="F104" i="17" s="1"/>
  <c r="D157" i="8"/>
  <c r="E239" i="17"/>
  <c r="F239" i="17" s="1"/>
  <c r="E21" i="13"/>
  <c r="E262" i="17"/>
  <c r="C263" i="17"/>
  <c r="E125" i="18"/>
  <c r="C286" i="17"/>
  <c r="C284" i="17"/>
  <c r="C287" i="17"/>
  <c r="C291" i="17" s="1"/>
  <c r="C305" i="17" s="1"/>
  <c r="C309" i="17" s="1"/>
  <c r="C310" i="17" s="1"/>
  <c r="C312" i="17" s="1"/>
  <c r="C313" i="17" s="1"/>
  <c r="E24" i="13"/>
  <c r="E20" i="13" s="1"/>
  <c r="E17" i="13"/>
  <c r="E28" i="13" s="1"/>
  <c r="C272" i="17"/>
  <c r="C273" i="17" s="1"/>
  <c r="E75" i="11"/>
  <c r="F75" i="11" s="1"/>
  <c r="E33" i="18"/>
  <c r="C295" i="18"/>
  <c r="C180" i="18"/>
  <c r="E180" i="18" s="1"/>
  <c r="C168" i="18"/>
  <c r="E168" i="18" s="1"/>
  <c r="E144" i="18"/>
  <c r="C145" i="18"/>
  <c r="C125" i="17"/>
  <c r="E286" i="17"/>
  <c r="F286" i="17" s="1"/>
  <c r="D127" i="18"/>
  <c r="E127" i="18" s="1"/>
  <c r="D115" i="18"/>
  <c r="E115" i="18" s="1"/>
  <c r="D125" i="18"/>
  <c r="D113" i="18"/>
  <c r="D123" i="18"/>
  <c r="E123" i="18" s="1"/>
  <c r="D110" i="18"/>
  <c r="D114" i="18"/>
  <c r="D112" i="18"/>
  <c r="E112" i="18" s="1"/>
  <c r="E77" i="18"/>
  <c r="D111" i="18"/>
  <c r="E111" i="18" s="1"/>
  <c r="D109" i="18"/>
  <c r="D126" i="18"/>
  <c r="E126" i="18" s="1"/>
  <c r="D124" i="18"/>
  <c r="E124" i="18" s="1"/>
  <c r="D121" i="18"/>
  <c r="D122" i="18"/>
  <c r="E114" i="18"/>
  <c r="F262" i="17"/>
  <c r="D195" i="17"/>
  <c r="E156" i="18"/>
  <c r="E303" i="18"/>
  <c r="C234" i="18"/>
  <c r="E234" i="18" s="1"/>
  <c r="C211" i="18"/>
  <c r="E210" i="18"/>
  <c r="E35" i="5"/>
  <c r="F35" i="5" s="1"/>
  <c r="E284" i="17"/>
  <c r="F284" i="17" s="1"/>
  <c r="F193" i="17"/>
  <c r="C194" i="17"/>
  <c r="C282" i="17"/>
  <c r="E252" i="18"/>
  <c r="C246" i="18"/>
  <c r="C45" i="22"/>
  <c r="C39" i="22"/>
  <c r="C35" i="22"/>
  <c r="C29" i="22"/>
  <c r="C53" i="22"/>
  <c r="E254" i="18"/>
  <c r="D155" i="8"/>
  <c r="D153" i="8"/>
  <c r="D152" i="8"/>
  <c r="D158" i="8" s="1"/>
  <c r="C281" i="17"/>
  <c r="F280" i="17"/>
  <c r="E280" i="17"/>
  <c r="E200" i="17"/>
  <c r="C22" i="13"/>
  <c r="C265" i="17"/>
  <c r="E265" i="17" s="1"/>
  <c r="D271" i="17"/>
  <c r="E261" i="17"/>
  <c r="F261" i="17" s="1"/>
  <c r="D263" i="17"/>
  <c r="E263" i="17" s="1"/>
  <c r="D268" i="17"/>
  <c r="E268" i="17" s="1"/>
  <c r="E222" i="18"/>
  <c r="D246" i="18"/>
  <c r="E246" i="18" s="1"/>
  <c r="D223" i="18"/>
  <c r="D284" i="18"/>
  <c r="E284" i="18" s="1"/>
  <c r="E22" i="18"/>
  <c r="E112" i="22"/>
  <c r="E47" i="22"/>
  <c r="E55" i="22"/>
  <c r="E124" i="17"/>
  <c r="F124" i="17" s="1"/>
  <c r="C88" i="18"/>
  <c r="C85" i="18"/>
  <c r="C86" i="18"/>
  <c r="C83" i="18"/>
  <c r="C84" i="18"/>
  <c r="C101" i="18"/>
  <c r="C87" i="18"/>
  <c r="C95" i="18"/>
  <c r="C99" i="18"/>
  <c r="C97" i="18"/>
  <c r="C100" i="18"/>
  <c r="C89" i="18"/>
  <c r="C98" i="18"/>
  <c r="C96" i="18"/>
  <c r="C258" i="18"/>
  <c r="C264" i="18" s="1"/>
  <c r="C266" i="18" s="1"/>
  <c r="F207" i="9"/>
  <c r="D87" i="18"/>
  <c r="D86" i="18"/>
  <c r="D258" i="18"/>
  <c r="D101" i="18"/>
  <c r="E101" i="18" s="1"/>
  <c r="D85" i="18"/>
  <c r="D83" i="18"/>
  <c r="D97" i="18"/>
  <c r="D99" i="18"/>
  <c r="D95" i="18"/>
  <c r="D88" i="18"/>
  <c r="E88" i="18" s="1"/>
  <c r="D100" i="18"/>
  <c r="E100" i="18" s="1"/>
  <c r="D89" i="18"/>
  <c r="E89" i="18" s="1"/>
  <c r="D84" i="18"/>
  <c r="D98" i="18"/>
  <c r="E98" i="18" s="1"/>
  <c r="D96" i="18"/>
  <c r="E44" i="18"/>
  <c r="C141" i="17"/>
  <c r="E46" i="20"/>
  <c r="F46" i="20" s="1"/>
  <c r="F45" i="20"/>
  <c r="C63" i="17"/>
  <c r="F268" i="17"/>
  <c r="E121" i="18"/>
  <c r="E43" i="4"/>
  <c r="F43" i="4" s="1"/>
  <c r="F160" i="17"/>
  <c r="E285" i="17"/>
  <c r="F285" i="17" s="1"/>
  <c r="D288" i="17"/>
  <c r="E288" i="17" s="1"/>
  <c r="F288" i="17" s="1"/>
  <c r="D310" i="18"/>
  <c r="E310" i="18" s="1"/>
  <c r="E306" i="18"/>
  <c r="C49" i="12"/>
  <c r="E42" i="12"/>
  <c r="F42" i="12" s="1"/>
  <c r="D139" i="17"/>
  <c r="E139" i="17" s="1"/>
  <c r="F139" i="17" s="1"/>
  <c r="E138" i="17"/>
  <c r="F138" i="17" s="1"/>
  <c r="D54" i="22"/>
  <c r="D40" i="22"/>
  <c r="D111" i="22"/>
  <c r="D30" i="22"/>
  <c r="D36" i="22"/>
  <c r="D46" i="22"/>
  <c r="E156" i="8"/>
  <c r="E154" i="8"/>
  <c r="E153" i="8"/>
  <c r="E152" i="8"/>
  <c r="E157" i="8"/>
  <c r="E155" i="8"/>
  <c r="C38" i="22"/>
  <c r="C113" i="22"/>
  <c r="C56" i="22"/>
  <c r="C48" i="22"/>
  <c r="F111" i="17"/>
  <c r="E260" i="18"/>
  <c r="E126" i="17"/>
  <c r="F126" i="17"/>
  <c r="C127" i="17"/>
  <c r="D174" i="17"/>
  <c r="E174" i="17" s="1"/>
  <c r="F174" i="17" s="1"/>
  <c r="E173" i="17"/>
  <c r="F173" i="17" s="1"/>
  <c r="C106" i="17"/>
  <c r="C113" i="17" s="1"/>
  <c r="E41" i="4"/>
  <c r="F41" i="4" s="1"/>
  <c r="C70" i="17"/>
  <c r="C176" i="17"/>
  <c r="D208" i="17"/>
  <c r="E207" i="17"/>
  <c r="F207" i="17" s="1"/>
  <c r="C162" i="17"/>
  <c r="E161" i="17"/>
  <c r="F161" i="17" s="1"/>
  <c r="E215" i="17"/>
  <c r="F215" i="17" s="1"/>
  <c r="D255" i="17"/>
  <c r="E255" i="17" s="1"/>
  <c r="F255" i="17" s="1"/>
  <c r="G36" i="14"/>
  <c r="G38" i="14" s="1"/>
  <c r="G40" i="14" s="1"/>
  <c r="I33" i="14"/>
  <c r="I36" i="14" s="1"/>
  <c r="I38" i="14" s="1"/>
  <c r="I40" i="14" s="1"/>
  <c r="E68" i="17"/>
  <c r="F68" i="17" s="1"/>
  <c r="C158" i="8"/>
  <c r="D272" i="17"/>
  <c r="E269" i="17"/>
  <c r="F269" i="17" s="1"/>
  <c r="D270" i="17"/>
  <c r="E270" i="17" s="1"/>
  <c r="F270" i="17" s="1"/>
  <c r="E294" i="18"/>
  <c r="F92" i="17"/>
  <c r="C41" i="20"/>
  <c r="E39" i="20"/>
  <c r="E41" i="20" s="1"/>
  <c r="D32" i="17"/>
  <c r="E31" i="17"/>
  <c r="F31" i="17" s="1"/>
  <c r="C116" i="18"/>
  <c r="C117" i="18" s="1"/>
  <c r="E157" i="18"/>
  <c r="D169" i="18"/>
  <c r="C141" i="8"/>
  <c r="E214" i="17"/>
  <c r="F214" i="17" s="1"/>
  <c r="D254" i="17"/>
  <c r="D216" i="17"/>
  <c r="E216" i="17" s="1"/>
  <c r="F216" i="17" s="1"/>
  <c r="D139" i="8"/>
  <c r="D135" i="8"/>
  <c r="D136" i="8"/>
  <c r="D140" i="8"/>
  <c r="D138" i="8"/>
  <c r="D137" i="8"/>
  <c r="C128" i="18"/>
  <c r="C129" i="18" s="1"/>
  <c r="E122" i="18"/>
  <c r="E95" i="7"/>
  <c r="F95" i="7" s="1"/>
  <c r="E90" i="17"/>
  <c r="F90" i="17" s="1"/>
  <c r="E208" i="9"/>
  <c r="F208" i="9" s="1"/>
  <c r="E259" i="18"/>
  <c r="D263" i="18"/>
  <c r="E263" i="18" s="1"/>
  <c r="E109" i="18"/>
  <c r="D50" i="5"/>
  <c r="E50" i="5" s="1"/>
  <c r="F50" i="5" s="1"/>
  <c r="E43" i="5"/>
  <c r="F43" i="5" s="1"/>
  <c r="F52" i="6"/>
  <c r="E95" i="6"/>
  <c r="F95" i="6" s="1"/>
  <c r="D295" i="18"/>
  <c r="E295" i="18" s="1"/>
  <c r="E66" i="18"/>
  <c r="D129" i="18" l="1"/>
  <c r="E129" i="18" s="1"/>
  <c r="D304" i="17"/>
  <c r="E304" i="17" s="1"/>
  <c r="F304" i="17" s="1"/>
  <c r="E271" i="17"/>
  <c r="F271" i="17" s="1"/>
  <c r="C102" i="18"/>
  <c r="C103" i="18" s="1"/>
  <c r="E87" i="18"/>
  <c r="E223" i="18"/>
  <c r="D247" i="18"/>
  <c r="E247" i="18" s="1"/>
  <c r="F39" i="20"/>
  <c r="F265" i="17"/>
  <c r="E99" i="18"/>
  <c r="C235" i="18"/>
  <c r="E235" i="18" s="1"/>
  <c r="E211" i="18"/>
  <c r="D128" i="18"/>
  <c r="E128" i="18" s="1"/>
  <c r="E287" i="17"/>
  <c r="F287" i="17" s="1"/>
  <c r="E282" i="17"/>
  <c r="F282" i="17"/>
  <c r="F125" i="17"/>
  <c r="F263" i="17"/>
  <c r="E169" i="18"/>
  <c r="E97" i="18"/>
  <c r="D116" i="18"/>
  <c r="C324" i="17"/>
  <c r="D291" i="17"/>
  <c r="E291" i="17" s="1"/>
  <c r="F291" i="17" s="1"/>
  <c r="E85" i="18"/>
  <c r="C90" i="18"/>
  <c r="C289" i="17"/>
  <c r="C195" i="17"/>
  <c r="C196" i="17"/>
  <c r="E194" i="17"/>
  <c r="F194" i="17" s="1"/>
  <c r="E145" i="18"/>
  <c r="C181" i="18"/>
  <c r="E181" i="18" s="1"/>
  <c r="C169" i="18"/>
  <c r="E281" i="17"/>
  <c r="F281" i="17" s="1"/>
  <c r="E86" i="18"/>
  <c r="D50" i="17"/>
  <c r="E50" i="17" s="1"/>
  <c r="F50" i="17" s="1"/>
  <c r="E49" i="17"/>
  <c r="F49" i="17" s="1"/>
  <c r="C267" i="18"/>
  <c r="E110" i="18"/>
  <c r="D289" i="17"/>
  <c r="E289" i="17" s="1"/>
  <c r="F289" i="17" s="1"/>
  <c r="C91" i="18"/>
  <c r="C37" i="22"/>
  <c r="C55" i="22"/>
  <c r="C47" i="22"/>
  <c r="C112" i="22"/>
  <c r="E195" i="17"/>
  <c r="F195" i="17" s="1"/>
  <c r="E22" i="13"/>
  <c r="E70" i="13"/>
  <c r="E72" i="13" s="1"/>
  <c r="E69" i="13" s="1"/>
  <c r="E32" i="17"/>
  <c r="F32" i="17" s="1"/>
  <c r="D175" i="17"/>
  <c r="D105" i="17"/>
  <c r="D140" i="17"/>
  <c r="D62" i="17"/>
  <c r="D210" i="17"/>
  <c r="D91" i="18"/>
  <c r="E83" i="18"/>
  <c r="C251" i="17"/>
  <c r="C256" i="17"/>
  <c r="C315" i="17"/>
  <c r="C314" i="17"/>
  <c r="E49" i="12"/>
  <c r="F49" i="12" s="1"/>
  <c r="C211" i="17"/>
  <c r="C322" i="17"/>
  <c r="E254" i="17"/>
  <c r="F254" i="17" s="1"/>
  <c r="C183" i="17"/>
  <c r="C323" i="17"/>
  <c r="E162" i="17"/>
  <c r="F162" i="17" s="1"/>
  <c r="D209" i="17"/>
  <c r="E209" i="17" s="1"/>
  <c r="F209" i="17" s="1"/>
  <c r="E208" i="17"/>
  <c r="F208" i="17" s="1"/>
  <c r="E96" i="18"/>
  <c r="D102" i="18"/>
  <c r="E102" i="18" s="1"/>
  <c r="D141" i="8"/>
  <c r="D113" i="22"/>
  <c r="D48" i="22"/>
  <c r="D56" i="22"/>
  <c r="D38" i="22"/>
  <c r="C131" i="18"/>
  <c r="E84" i="18"/>
  <c r="D90" i="18"/>
  <c r="E90" i="18" s="1"/>
  <c r="E95" i="18"/>
  <c r="E272" i="17"/>
  <c r="F272" i="17" s="1"/>
  <c r="D273" i="17"/>
  <c r="E273" i="17" s="1"/>
  <c r="F273" i="17" s="1"/>
  <c r="C197" i="17"/>
  <c r="C148" i="17"/>
  <c r="E127" i="17"/>
  <c r="F127" i="17" s="1"/>
  <c r="F41" i="20"/>
  <c r="D264" i="18"/>
  <c r="E258" i="18"/>
  <c r="C325" i="17"/>
  <c r="E158" i="8"/>
  <c r="D103" i="18" l="1"/>
  <c r="E103" i="18" s="1"/>
  <c r="C269" i="18"/>
  <c r="C268" i="18"/>
  <c r="C271" i="18" s="1"/>
  <c r="E196" i="17"/>
  <c r="F196" i="17" s="1"/>
  <c r="E116" i="18"/>
  <c r="D117" i="18"/>
  <c r="D305" i="17"/>
  <c r="E305" i="17" s="1"/>
  <c r="F305" i="17" s="1"/>
  <c r="C105" i="18"/>
  <c r="E197" i="17"/>
  <c r="F197" i="17" s="1"/>
  <c r="D211" i="17"/>
  <c r="E211" i="17" s="1"/>
  <c r="E210" i="17"/>
  <c r="F210" i="17" s="1"/>
  <c r="D266" i="18"/>
  <c r="E264" i="18"/>
  <c r="C318" i="17"/>
  <c r="E62" i="17"/>
  <c r="F62" i="17" s="1"/>
  <c r="D63" i="17"/>
  <c r="E140" i="17"/>
  <c r="F140" i="17" s="1"/>
  <c r="D141" i="17"/>
  <c r="E91" i="18"/>
  <c r="E105" i="17"/>
  <c r="F105" i="17" s="1"/>
  <c r="D106" i="17"/>
  <c r="D309" i="17"/>
  <c r="C257" i="17"/>
  <c r="D176" i="17"/>
  <c r="E175" i="17"/>
  <c r="F175" i="17" s="1"/>
  <c r="F211" i="17"/>
  <c r="D105" i="18" l="1"/>
  <c r="E105" i="18" s="1"/>
  <c r="E117" i="18"/>
  <c r="D131" i="18"/>
  <c r="E131" i="18" s="1"/>
  <c r="E309" i="17"/>
  <c r="F309" i="17" s="1"/>
  <c r="D310" i="17"/>
  <c r="E266" i="18"/>
  <c r="D267" i="18"/>
  <c r="E106" i="17"/>
  <c r="F106" i="17" s="1"/>
  <c r="D113" i="17"/>
  <c r="E113" i="17" s="1"/>
  <c r="F113" i="17" s="1"/>
  <c r="D324" i="17"/>
  <c r="E63" i="17"/>
  <c r="F63" i="17" s="1"/>
  <c r="D70" i="17"/>
  <c r="E70" i="17" s="1"/>
  <c r="F70" i="17" s="1"/>
  <c r="D148" i="17"/>
  <c r="E148" i="17" s="1"/>
  <c r="F148" i="17" s="1"/>
  <c r="D322" i="17"/>
  <c r="E322" i="17" s="1"/>
  <c r="F322" i="17" s="1"/>
  <c r="E141" i="17"/>
  <c r="F141" i="17" s="1"/>
  <c r="E176" i="17"/>
  <c r="F176" i="17" s="1"/>
  <c r="D183" i="17"/>
  <c r="E183" i="17" s="1"/>
  <c r="F183" i="17" s="1"/>
  <c r="D323" i="17"/>
  <c r="E323" i="17" s="1"/>
  <c r="F323" i="17" s="1"/>
  <c r="D269" i="18" l="1"/>
  <c r="E269" i="18" s="1"/>
  <c r="D268" i="18"/>
  <c r="E267" i="18"/>
  <c r="D325" i="17"/>
  <c r="E325" i="17" s="1"/>
  <c r="F325" i="17" s="1"/>
  <c r="E324" i="17"/>
  <c r="F324" i="17" s="1"/>
  <c r="D312" i="17"/>
  <c r="E310" i="17"/>
  <c r="F310" i="17" s="1"/>
  <c r="E312" i="17" l="1"/>
  <c r="F312" i="17" s="1"/>
  <c r="D313" i="17"/>
  <c r="D271" i="18"/>
  <c r="E271" i="18" s="1"/>
  <c r="E268" i="18"/>
  <c r="D251" i="17" l="1"/>
  <c r="E251" i="17" s="1"/>
  <c r="F251" i="17" s="1"/>
  <c r="E313" i="17"/>
  <c r="F313" i="17" s="1"/>
  <c r="D314" i="17"/>
  <c r="D315" i="17"/>
  <c r="E315" i="17" s="1"/>
  <c r="F315" i="17" s="1"/>
  <c r="D256" i="17"/>
  <c r="E256" i="17" l="1"/>
  <c r="F256" i="17" s="1"/>
  <c r="D257" i="17"/>
  <c r="E257" i="17" s="1"/>
  <c r="F257" i="17" s="1"/>
  <c r="D318" i="17"/>
  <c r="E318" i="17" s="1"/>
  <c r="F318" i="17" s="1"/>
  <c r="E314" i="17"/>
  <c r="F314" i="17" s="1"/>
</calcChain>
</file>

<file path=xl/sharedStrings.xml><?xml version="1.0" encoding="utf-8"?>
<sst xmlns="http://schemas.openxmlformats.org/spreadsheetml/2006/main" count="2333" uniqueCount="1008">
  <si>
    <t>ESSENT-SHARON HOSPITAL</t>
  </si>
  <si>
    <t>TWELVE MONTHS ACTUAL FILING</t>
  </si>
  <si>
    <t>FISCAL YEAR 2016</t>
  </si>
  <si>
    <t>REPORT 100 - HOSPITAL BALANCE SHEET INFORMATION</t>
  </si>
  <si>
    <t>FY 2015</t>
  </si>
  <si>
    <t>FY 2016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</si>
  <si>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</si>
  <si>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</si>
  <si>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</si>
  <si>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</si>
  <si>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</si>
  <si>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</si>
  <si>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</si>
  <si>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</si>
  <si>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</si>
  <si>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</si>
  <si>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</si>
  <si>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</si>
  <si>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</si>
  <si>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</si>
  <si>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</si>
  <si>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</si>
  <si>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</si>
  <si>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</si>
  <si>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</si>
  <si>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</si>
  <si>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</si>
  <si>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</si>
  <si>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</si>
  <si>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</si>
  <si>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</si>
  <si>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</si>
  <si>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</si>
  <si>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</si>
  <si>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</si>
  <si>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</si>
  <si>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</si>
  <si>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</si>
  <si>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</si>
  <si>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</si>
  <si>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</si>
  <si>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</si>
  <si>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</si>
  <si>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</si>
  <si>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</si>
  <si>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</si>
  <si>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</si>
  <si>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</si>
  <si>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</si>
  <si>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</si>
  <si>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</si>
  <si>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</si>
  <si>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</si>
  <si>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</si>
  <si>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</si>
  <si>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</si>
  <si>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</si>
  <si>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</si>
  <si>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</si>
  <si>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</si>
  <si>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</si>
  <si>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</si>
  <si>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</si>
  <si>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</si>
  <si>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</si>
  <si>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</si>
  <si>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</si>
  <si>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</si>
  <si>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</si>
  <si>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</si>
  <si>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</si>
  <si>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</si>
  <si>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</si>
  <si>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</si>
  <si>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</si>
  <si>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</si>
  <si>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</si>
  <si>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</si>
  <si>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</si>
  <si>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</si>
  <si>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</si>
  <si>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</si>
  <si>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</si>
  <si>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</si>
  <si>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</si>
  <si>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</si>
  <si>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</si>
  <si>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</si>
  <si>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</si>
  <si>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</si>
  <si>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</si>
  <si>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</si>
  <si>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</si>
  <si>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</si>
  <si>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</si>
  <si>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</si>
  <si>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</si>
  <si>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</si>
  <si>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</si>
  <si>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</si>
  <si>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</si>
  <si>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</si>
  <si>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</si>
  <si>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</si>
  <si>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</si>
  <si>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</si>
  <si>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</si>
  <si>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2015                ACTUAL</t>
  </si>
  <si>
    <t>FY 2016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</si>
  <si>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</si>
  <si>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</si>
  <si>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</si>
  <si>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</si>
  <si>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</si>
  <si>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</si>
  <si>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</si>
  <si>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</si>
  <si>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</si>
  <si>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</si>
  <si>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</si>
  <si>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</si>
  <si>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</si>
  <si>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</si>
  <si>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</si>
  <si>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</si>
  <si>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</si>
  <si>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</si>
  <si>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</si>
  <si>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</si>
  <si>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</si>
  <si>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</si>
  <si>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</si>
  <si>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</si>
  <si>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</si>
  <si>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</si>
  <si>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</si>
  <si>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</si>
  <si>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</si>
  <si>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</si>
  <si>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</si>
  <si>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</si>
  <si>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</si>
  <si>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</si>
  <si>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</si>
  <si>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</si>
  <si>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</si>
  <si>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</si>
  <si>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</si>
  <si>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</si>
  <si>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</si>
  <si>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</si>
  <si>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</si>
  <si>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</si>
  <si>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</si>
  <si>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</si>
  <si>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</si>
  <si>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</si>
  <si>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</si>
  <si>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</si>
  <si>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</si>
  <si>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</si>
  <si>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</si>
  <si>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</si>
  <si>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</si>
  <si>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</si>
  <si>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</si>
  <si>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</si>
  <si>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</si>
  <si>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</si>
  <si>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</si>
  <si>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</si>
  <si>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</si>
  <si>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</si>
  <si>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</si>
  <si>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</si>
  <si>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</si>
  <si>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</si>
  <si>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</si>
  <si>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</si>
  <si>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</si>
  <si>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</si>
  <si>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</si>
  <si>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</si>
  <si>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</si>
  <si>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</si>
  <si>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</si>
  <si>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</si>
  <si>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</si>
  <si>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</si>
  <si>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</si>
  <si>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</si>
  <si>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</si>
  <si>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</si>
  <si>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</si>
  <si>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</si>
  <si>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</si>
  <si>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</si>
  <si>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</si>
  <si>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</si>
  <si>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</si>
  <si>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</si>
  <si>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</si>
  <si>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</si>
  <si>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</si>
  <si>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</si>
  <si>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</si>
  <si>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</si>
  <si>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</si>
  <si>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</si>
  <si>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</si>
  <si>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</si>
  <si>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</si>
  <si>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</si>
  <si>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</si>
  <si>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</si>
  <si>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</si>
  <si>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</si>
  <si>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</si>
  <si>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</si>
  <si>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</si>
  <si>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</si>
  <si>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</si>
  <si>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</si>
  <si>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</si>
  <si>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</si>
  <si>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</si>
  <si>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</si>
  <si>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</si>
  <si>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</si>
  <si>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</si>
  <si>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</si>
  <si>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</si>
  <si>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</si>
  <si>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</si>
  <si>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</si>
  <si>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</si>
  <si>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</si>
  <si>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</si>
  <si>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</si>
  <si>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</si>
  <si>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</si>
  <si>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</si>
  <si>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</si>
  <si>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</si>
  <si>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</si>
  <si>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</si>
  <si>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</si>
  <si>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</si>
  <si>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</si>
  <si>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</si>
  <si>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</si>
  <si>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</si>
  <si>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</si>
  <si>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</si>
  <si>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</si>
  <si>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</si>
  <si>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</si>
  <si>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</si>
  <si>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</si>
  <si>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</si>
  <si>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</si>
  <si>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</si>
  <si>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</si>
  <si>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</si>
  <si>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</si>
  <si>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</si>
  <si>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</si>
  <si>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</si>
  <si>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</si>
  <si>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</si>
  <si>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</si>
  <si>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</si>
  <si>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</si>
  <si>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</si>
  <si>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</si>
  <si>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</si>
  <si>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</si>
  <si>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</si>
  <si>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</si>
  <si>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</si>
  <si>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</si>
  <si>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</si>
  <si>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</si>
  <si>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</si>
  <si>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</si>
  <si>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</si>
  <si>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</si>
  <si>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</si>
  <si>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</si>
  <si>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</si>
  <si>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</si>
  <si>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</si>
  <si>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</si>
  <si>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</si>
  <si>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</si>
  <si>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</si>
  <si>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</si>
  <si>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</si>
  <si>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</si>
  <si>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</si>
  <si>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</si>
  <si>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</si>
  <si>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</si>
  <si>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</si>
  <si>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</si>
  <si>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</si>
  <si>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</si>
  <si>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</si>
  <si>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</si>
  <si>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</si>
  <si>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</si>
  <si>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</si>
  <si>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</si>
  <si>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</si>
  <si>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2016</t>
  </si>
  <si>
    <t>REPORT 185 - HOSPITAL FINANCIAL AND STATISTICAL DATA ANALYSIS</t>
  </si>
  <si>
    <t xml:space="preserve">      FY 2014</t>
  </si>
  <si>
    <t xml:space="preserve">      FY 2015</t>
  </si>
  <si>
    <t xml:space="preserve">      FY 2016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</si>
  <si>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</si>
  <si>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</si>
  <si>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</si>
  <si>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</si>
  <si>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</si>
  <si>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</si>
  <si>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</si>
  <si>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</si>
  <si>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</si>
  <si>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</si>
  <si>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</si>
  <si>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</si>
  <si>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</si>
  <si>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</si>
  <si>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</si>
  <si>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</si>
  <si>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</si>
  <si>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</si>
  <si>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</si>
  <si>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</si>
  <si>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</si>
  <si>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</si>
  <si>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</si>
  <si>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</si>
  <si>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</si>
  <si>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</si>
  <si>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</si>
  <si>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</si>
  <si>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</si>
  <si>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</si>
  <si>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</si>
  <si>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</si>
  <si>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</si>
  <si>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</si>
  <si>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</si>
  <si>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</si>
  <si>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</si>
  <si>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</si>
  <si>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</si>
  <si>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</si>
  <si>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</si>
  <si>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</si>
  <si>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</si>
  <si>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</si>
  <si>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</si>
  <si>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</si>
  <si>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</si>
  <si>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</si>
  <si>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</si>
  <si>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</si>
  <si>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</si>
  <si>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</si>
  <si>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</si>
  <si>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</si>
  <si>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</si>
  <si>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</si>
  <si>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</si>
  <si>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</si>
  <si>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</si>
  <si>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</si>
  <si>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</si>
  <si>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</si>
  <si>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</si>
  <si>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</si>
  <si>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</si>
  <si>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</si>
  <si>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</si>
  <si>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</si>
  <si>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</si>
  <si>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</si>
  <si>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</si>
  <si>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</si>
  <si>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</si>
  <si>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</si>
  <si>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</si>
  <si>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</si>
  <si>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</si>
  <si>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</si>
  <si>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</si>
  <si>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</si>
  <si>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</si>
  <si>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</si>
  <si>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</si>
  <si>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</si>
  <si>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</si>
  <si>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</si>
  <si>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</si>
  <si>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</si>
  <si>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</si>
  <si>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</si>
  <si>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</si>
  <si>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</si>
  <si>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</si>
  <si>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</si>
  <si>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</si>
  <si>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</si>
  <si>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</si>
  <si>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</si>
  <si>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</si>
  <si>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</si>
  <si>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</si>
  <si>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</si>
  <si>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</si>
  <si>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</si>
  <si>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</si>
  <si>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</si>
  <si>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</si>
  <si>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</si>
  <si>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</si>
  <si>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</si>
  <si>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</si>
  <si>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</si>
  <si>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</si>
  <si>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</si>
  <si>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</si>
  <si>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</si>
  <si>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</si>
  <si>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2015 ACTUAL</t>
  </si>
  <si>
    <t>FY 2016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</si>
  <si>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</si>
  <si>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</si>
  <si>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</si>
  <si>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</si>
  <si>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</si>
  <si>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</si>
  <si>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</si>
  <si>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</si>
  <si>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</si>
  <si>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</si>
  <si>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</si>
  <si>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</si>
  <si>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</si>
  <si>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</si>
  <si>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</si>
  <si>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</si>
  <si>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</si>
  <si>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</si>
  <si>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</si>
  <si>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</si>
  <si>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</si>
  <si>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</si>
  <si>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</si>
  <si>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</si>
  <si>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</si>
  <si>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</si>
  <si>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</si>
  <si>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</si>
  <si>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</si>
  <si>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</si>
  <si>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</si>
  <si>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</si>
  <si>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</si>
  <si>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</si>
  <si>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</si>
  <si>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</si>
  <si>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2015 ACTUAL     </t>
  </si>
  <si>
    <t xml:space="preserve">      FY 2016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</si>
  <si>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</si>
  <si>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</si>
  <si>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</si>
  <si>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</si>
  <si>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</si>
  <si>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</si>
  <si>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</si>
  <si>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</si>
  <si>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</si>
  <si>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</si>
  <si>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</si>
  <si>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</si>
  <si>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</si>
  <si>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</si>
  <si>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</si>
  <si>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</si>
  <si>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</si>
  <si>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</si>
  <si>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</si>
  <si>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</si>
  <si>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</si>
  <si>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</si>
  <si>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</si>
  <si>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</si>
  <si>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SHARON HOSPITAL HOLDING CO,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</si>
  <si>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</si>
  <si>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</si>
  <si>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</si>
  <si>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</si>
  <si>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2014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</si>
  <si>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</si>
  <si>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</si>
  <si>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</si>
  <si>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</si>
  <si>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</si>
  <si>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</si>
  <si>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</si>
  <si>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</si>
  <si>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</si>
  <si>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</si>
  <si>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</si>
  <si>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</si>
  <si>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</si>
  <si>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</si>
  <si>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</si>
  <si>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</si>
  <si>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</si>
  <si>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</si>
  <si>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</si>
  <si>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</si>
  <si>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</si>
  <si>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</si>
  <si>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</si>
  <si>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</si>
  <si>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</si>
  <si>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</si>
  <si>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</si>
  <si>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</si>
  <si>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</si>
  <si>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</si>
  <si>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</si>
  <si>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</si>
  <si>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</si>
  <si>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</si>
  <si>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</si>
  <si>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</si>
  <si>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</si>
  <si>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</si>
  <si>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</si>
  <si>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</si>
  <si>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</si>
  <si>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</si>
  <si>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</si>
  <si>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</si>
  <si>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</si>
  <si>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</si>
  <si>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</si>
  <si>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</si>
  <si>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</si>
  <si>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</si>
  <si>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</si>
  <si>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</si>
  <si>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</si>
  <si>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</si>
  <si>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</si>
  <si>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</si>
  <si>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</si>
  <si>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</si>
  <si>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</si>
  <si>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</si>
  <si>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</si>
  <si>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</si>
  <si>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</si>
  <si>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</si>
  <si>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</si>
  <si>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</si>
  <si>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</si>
  <si>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</si>
  <si>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</si>
  <si>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</si>
  <si>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</si>
  <si>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</si>
  <si>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</si>
  <si>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</si>
  <si>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</si>
  <si>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</si>
  <si>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</si>
  <si>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</si>
  <si>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</si>
  <si>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</si>
  <si>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</si>
  <si>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</si>
  <si>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</si>
  <si>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</si>
  <si>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</si>
  <si>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</si>
  <si>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</si>
  <si>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</si>
  <si>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</si>
  <si>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</si>
  <si>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</si>
  <si>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</si>
  <si>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</si>
  <si>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</si>
  <si>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</si>
  <si>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</si>
  <si>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</si>
  <si>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</si>
  <si>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</si>
  <si>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</si>
  <si>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</si>
  <si>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</si>
  <si>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</si>
  <si>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</si>
  <si>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</si>
  <si>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</si>
  <si>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</si>
  <si>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</si>
  <si>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</si>
  <si>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</si>
  <si>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</si>
  <si>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</si>
  <si>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</si>
  <si>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</si>
  <si>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</si>
  <si>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Sharon 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</si>
  <si>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</si>
  <si>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</si>
  <si>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</si>
  <si>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</si>
  <si>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</si>
  <si>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</si>
  <si>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</si>
  <si>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</si>
  <si>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</si>
  <si>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</si>
  <si>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</si>
  <si>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</si>
  <si>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</si>
  <si>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</si>
  <si>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</si>
  <si>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</si>
  <si>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</si>
  <si>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</si>
  <si>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</si>
  <si>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</si>
  <si>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</si>
  <si>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</si>
  <si>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</si>
  <si>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</si>
  <si>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</si>
  <si>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</si>
  <si>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</si>
  <si>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</si>
  <si>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</si>
  <si>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</si>
  <si>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</si>
  <si>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</si>
  <si>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</si>
  <si>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</si>
  <si>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</si>
  <si>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</si>
  <si>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</si>
  <si>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</si>
  <si>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</si>
  <si>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</si>
  <si>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</si>
  <si>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</si>
  <si>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</si>
  <si>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</si>
  <si>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</si>
  <si>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</si>
  <si>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</si>
  <si>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</si>
  <si>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</si>
  <si>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</si>
  <si>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</si>
  <si>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</si>
  <si>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</si>
  <si>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</si>
  <si>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</si>
  <si>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</si>
  <si>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</si>
  <si>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</si>
  <si>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</si>
  <si>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</si>
  <si>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</si>
  <si>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</si>
  <si>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</si>
  <si>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</si>
  <si>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</si>
  <si>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</si>
  <si>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</si>
  <si>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</si>
  <si>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</si>
  <si>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</si>
  <si>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</si>
  <si>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</si>
  <si>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</si>
  <si>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</si>
  <si>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</si>
  <si>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</si>
  <si>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</si>
  <si>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</si>
  <si>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</si>
  <si>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</si>
  <si>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</si>
  <si>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</si>
  <si>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</si>
  <si>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</si>
  <si>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</si>
  <si>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</si>
  <si>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</si>
  <si>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</si>
  <si>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</si>
  <si>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</si>
  <si>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</si>
  <si>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</si>
  <si>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</si>
  <si>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</si>
  <si>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</si>
  <si>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</si>
  <si>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</si>
  <si>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</si>
  <si>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</si>
  <si>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</si>
  <si>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</si>
  <si>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</si>
  <si>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</si>
  <si>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</si>
  <si>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</si>
  <si>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</si>
  <si>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</si>
  <si>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</si>
  <si>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</si>
  <si>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</si>
  <si>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</si>
  <si>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</si>
  <si>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</si>
  <si>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</si>
  <si>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</si>
  <si>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</si>
  <si>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</si>
  <si>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</si>
  <si>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</si>
  <si>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</si>
  <si>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</si>
  <si>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</si>
  <si>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</si>
  <si>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</si>
  <si>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</si>
  <si>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</si>
  <si>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</si>
  <si>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</si>
  <si>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</si>
  <si>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</si>
  <si>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</si>
  <si>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</si>
  <si>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</si>
  <si>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</si>
  <si>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</si>
  <si>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</si>
  <si>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</si>
  <si>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</si>
  <si>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</si>
  <si>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</si>
  <si>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</si>
  <si>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</si>
  <si>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</si>
  <si>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</si>
  <si>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</si>
  <si>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</si>
  <si>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</si>
  <si>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2016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</si>
  <si>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</si>
  <si>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</si>
  <si>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</si>
  <si>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ACTUAL            </t>
    </r>
    <r>
      <rPr>
        <b/>
        <u/>
        <sz val="12"/>
        <rFont val="Arial"/>
        <family val="2"/>
      </rPr>
      <t>FY 2016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</si>
  <si>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</si>
  <si>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</si>
  <si>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</si>
  <si>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</si>
  <si>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</si>
  <si>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</si>
  <si>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</si>
  <si>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</si>
  <si>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</si>
  <si>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</si>
  <si>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</si>
  <si>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</si>
  <si>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</si>
  <si>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</si>
  <si>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</si>
  <si>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</si>
  <si>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</si>
  <si>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</si>
  <si>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</si>
  <si>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</si>
  <si>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</si>
  <si>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</si>
  <si>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</si>
  <si>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</si>
  <si>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</si>
  <si>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</si>
  <si>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</si>
  <si>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</si>
  <si>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</si>
  <si>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</si>
  <si>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</si>
  <si>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</si>
  <si>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</si>
  <si>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</si>
  <si>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</si>
  <si>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</si>
  <si>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</si>
  <si>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</si>
  <si>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</si>
  <si>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</si>
  <si>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</si>
  <si>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</si>
  <si>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</si>
  <si>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</si>
  <si>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</si>
  <si>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</si>
  <si>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</si>
  <si>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</si>
  <si>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</si>
  <si>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</si>
  <si>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</si>
  <si>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</si>
  <si>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</si>
  <si>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</si>
  <si>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</si>
  <si>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</si>
  <si>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</si>
  <si>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</si>
  <si>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</si>
  <si>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</si>
  <si>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</si>
  <si>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</si>
  <si>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</si>
  <si>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</si>
  <si>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</si>
  <si>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</si>
  <si>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</si>
  <si>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</si>
  <si>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</si>
  <si>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</si>
  <si>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</si>
  <si>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</si>
  <si>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</si>
  <si>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</si>
  <si>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</si>
  <si>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</si>
  <si>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</si>
  <si>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</si>
  <si>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</si>
  <si>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</si>
  <si>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</si>
  <si>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</si>
  <si>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</si>
  <si>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</si>
  <si>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</si>
  <si>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</si>
  <si>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</si>
  <si>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</si>
  <si>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</si>
  <si>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</si>
  <si>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</si>
  <si>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</si>
  <si>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</si>
  <si>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</si>
  <si>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</si>
  <si>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</si>
  <si>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</si>
  <si>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2016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</si>
  <si>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</si>
  <si>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</si>
  <si>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</si>
  <si>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</si>
  <si>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</si>
  <si>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</si>
  <si>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</si>
  <si>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</si>
  <si>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</si>
  <si>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</si>
  <si>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</si>
  <si>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</si>
  <si>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</si>
  <si>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</si>
  <si>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</si>
  <si>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</si>
  <si>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</si>
  <si>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</si>
  <si>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</si>
  <si>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</si>
  <si>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</si>
  <si>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</si>
  <si>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</si>
  <si>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</si>
  <si>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</si>
  <si>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</si>
  <si>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</si>
  <si>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</si>
  <si>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</si>
  <si>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</si>
  <si>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</si>
  <si>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</si>
  <si>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</si>
  <si>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</si>
  <si>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</si>
  <si>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</si>
  <si>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</si>
  <si>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</si>
  <si>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</si>
  <si>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</si>
  <si>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</si>
  <si>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</si>
  <si>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</si>
  <si>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</si>
  <si>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</si>
  <si>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</si>
  <si>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</si>
  <si>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</si>
  <si>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</si>
  <si>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</si>
  <si>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</si>
  <si>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</si>
  <si>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</si>
  <si>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</si>
  <si>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</si>
  <si>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</si>
  <si>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</si>
  <si>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r>
      <t xml:space="preserve">ACTUAL          </t>
    </r>
    <r>
      <rPr>
        <b/>
        <u/>
        <sz val="14"/>
        <rFont val="Arial"/>
        <family val="2"/>
      </rPr>
      <t>FY 2016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</si>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</sst>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193394</v>
      </c>
      <c r="D13" s="22">
        <v>80844</v>
      </c>
      <c r="E13" s="22">
        <f t="shared" ref="E13:E22" si="0">D13-C13</f>
        <v>-112550</v>
      </c>
      <c r="F13" s="23">
        <f t="shared" ref="F13:F22" si="1">IF(C13=0,0,E13/C13)</f>
        <v>-0.58197255344012744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6149131</v>
      </c>
      <c r="D15" s="22">
        <v>6051797</v>
      </c>
      <c r="E15" s="22">
        <f t="shared" si="0"/>
        <v>-97334</v>
      </c>
      <c r="F15" s="23">
        <f t="shared" si="1"/>
        <v>-1.5828903303572488E-2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1321574</v>
      </c>
      <c r="D19" s="22">
        <v>1314378</v>
      </c>
      <c r="E19" s="22">
        <f t="shared" si="0"/>
        <v>-7196</v>
      </c>
      <c r="F19" s="23">
        <f t="shared" si="1"/>
        <v>-5.4450223748348557E-3</v>
      </c>
    </row>
    <row r="20" spans="1:11" ht="24" customHeight="1" x14ac:dyDescent="0.2">
      <c r="A20" s="20">
        <v>8</v>
      </c>
      <c r="B20" s="21" t="s">
        <v>23</v>
      </c>
      <c r="C20" s="22">
        <v>635358</v>
      </c>
      <c r="D20" s="22">
        <v>1138282</v>
      </c>
      <c r="E20" s="22">
        <f t="shared" si="0"/>
        <v>502924</v>
      </c>
      <c r="F20" s="23">
        <f t="shared" si="1"/>
        <v>0.7915600338706682</v>
      </c>
    </row>
    <row r="21" spans="1:11" ht="24" customHeight="1" x14ac:dyDescent="0.2">
      <c r="A21" s="20">
        <v>9</v>
      </c>
      <c r="B21" s="21" t="s">
        <v>24</v>
      </c>
      <c r="C21" s="22">
        <v>0</v>
      </c>
      <c r="D21" s="22">
        <v>0</v>
      </c>
      <c r="E21" s="22">
        <f t="shared" si="0"/>
        <v>0</v>
      </c>
      <c r="F21" s="23">
        <f t="shared" si="1"/>
        <v>0</v>
      </c>
    </row>
    <row r="22" spans="1:11" ht="24" customHeight="1" x14ac:dyDescent="0.25">
      <c r="A22" s="24"/>
      <c r="B22" s="25" t="s">
        <v>25</v>
      </c>
      <c r="C22" s="26">
        <f>SUM(C13:C21)</f>
        <v>8299457</v>
      </c>
      <c r="D22" s="26">
        <f>SUM(D13:D21)</f>
        <v>8585301</v>
      </c>
      <c r="E22" s="26">
        <f t="shared" si="0"/>
        <v>285844</v>
      </c>
      <c r="F22" s="27">
        <f t="shared" si="1"/>
        <v>3.4441289351821454E-2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0</v>
      </c>
      <c r="D25" s="22">
        <v>0</v>
      </c>
      <c r="E25" s="22">
        <f>D25-C25</f>
        <v>0</v>
      </c>
      <c r="F25" s="23">
        <f>IF(C25=0,0,E25/C25)</f>
        <v>0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0</v>
      </c>
      <c r="D29" s="26">
        <f>SUM(D25:D28)</f>
        <v>0</v>
      </c>
      <c r="E29" s="26">
        <f>D29-C29</f>
        <v>0</v>
      </c>
      <c r="F29" s="27">
        <f>IF(C29=0,0,E29/C29)</f>
        <v>0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4438562</v>
      </c>
      <c r="D33" s="22">
        <v>524534</v>
      </c>
      <c r="E33" s="22">
        <f>D33-C33</f>
        <v>-3914028</v>
      </c>
      <c r="F33" s="23">
        <f>IF(C33=0,0,E33/C33)</f>
        <v>-0.88182343741058478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15566790</v>
      </c>
      <c r="D36" s="22">
        <v>4669627</v>
      </c>
      <c r="E36" s="22">
        <f>D36-C36</f>
        <v>-10897163</v>
      </c>
      <c r="F36" s="23">
        <f>IF(C36=0,0,E36/C36)</f>
        <v>-0.70002633812108983</v>
      </c>
    </row>
    <row r="37" spans="1:8" ht="24" customHeight="1" x14ac:dyDescent="0.2">
      <c r="A37" s="20">
        <v>2</v>
      </c>
      <c r="B37" s="21" t="s">
        <v>39</v>
      </c>
      <c r="C37" s="22">
        <v>0</v>
      </c>
      <c r="D37" s="22">
        <v>0</v>
      </c>
      <c r="E37" s="22">
        <f>D37-C37</f>
        <v>0</v>
      </c>
      <c r="F37" s="23">
        <f>IF(C37=0,0,E37/C37)</f>
        <v>0</v>
      </c>
    </row>
    <row r="38" spans="1:8" ht="24" customHeight="1" x14ac:dyDescent="0.25">
      <c r="A38" s="24"/>
      <c r="B38" s="25" t="s">
        <v>40</v>
      </c>
      <c r="C38" s="26">
        <f>C36-C37</f>
        <v>15566790</v>
      </c>
      <c r="D38" s="26">
        <f>D36-D37</f>
        <v>4669627</v>
      </c>
      <c r="E38" s="26">
        <f>D38-C38</f>
        <v>-10897163</v>
      </c>
      <c r="F38" s="27">
        <f>IF(C38=0,0,E38/C38)</f>
        <v>-0.70002633812108983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108959</v>
      </c>
      <c r="D40" s="22">
        <v>26468</v>
      </c>
      <c r="E40" s="22">
        <f>D40-C40</f>
        <v>-82491</v>
      </c>
      <c r="F40" s="23">
        <f>IF(C40=0,0,E40/C40)</f>
        <v>-0.75708293945429017</v>
      </c>
    </row>
    <row r="41" spans="1:8" ht="24" customHeight="1" x14ac:dyDescent="0.25">
      <c r="A41" s="24"/>
      <c r="B41" s="25" t="s">
        <v>42</v>
      </c>
      <c r="C41" s="26">
        <f>+C38+C40</f>
        <v>15675749</v>
      </c>
      <c r="D41" s="26">
        <f>+D38+D40</f>
        <v>4696095</v>
      </c>
      <c r="E41" s="26">
        <f>D41-C41</f>
        <v>-10979654</v>
      </c>
      <c r="F41" s="27">
        <f>IF(C41=0,0,E41/C41)</f>
        <v>-0.70042292715965282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28413768</v>
      </c>
      <c r="D43" s="26">
        <f>D22+D29+D31+D32+D33+D41</f>
        <v>13805930</v>
      </c>
      <c r="E43" s="26">
        <f>D43-C43</f>
        <v>-14607838</v>
      </c>
      <c r="F43" s="27">
        <f>IF(C43=0,0,E43/C43)</f>
        <v>-0.5141112576128587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1371389</v>
      </c>
      <c r="D49" s="22">
        <v>1673460</v>
      </c>
      <c r="E49" s="22">
        <f t="shared" ref="E49:E56" si="2">D49-C49</f>
        <v>302071</v>
      </c>
      <c r="F49" s="23">
        <f t="shared" ref="F49:F56" si="3">IF(C49=0,0,E49/C49)</f>
        <v>0.220266459771808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3615081</v>
      </c>
      <c r="D50" s="22">
        <v>2531277</v>
      </c>
      <c r="E50" s="22">
        <f t="shared" si="2"/>
        <v>-1083804</v>
      </c>
      <c r="F50" s="23">
        <f t="shared" si="3"/>
        <v>-0.29980075135245932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96881</v>
      </c>
      <c r="D51" s="22">
        <v>64094</v>
      </c>
      <c r="E51" s="22">
        <f t="shared" si="2"/>
        <v>-32787</v>
      </c>
      <c r="F51" s="23">
        <f t="shared" si="3"/>
        <v>-0.33842549106635977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0</v>
      </c>
      <c r="D53" s="22">
        <v>0</v>
      </c>
      <c r="E53" s="22">
        <f t="shared" si="2"/>
        <v>0</v>
      </c>
      <c r="F53" s="23">
        <f t="shared" si="3"/>
        <v>0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174279</v>
      </c>
      <c r="D54" s="22">
        <v>182458</v>
      </c>
      <c r="E54" s="22">
        <f t="shared" si="2"/>
        <v>8179</v>
      </c>
      <c r="F54" s="23">
        <f t="shared" si="3"/>
        <v>4.693049650273412E-2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0</v>
      </c>
      <c r="D55" s="22">
        <v>0</v>
      </c>
      <c r="E55" s="22">
        <f t="shared" si="2"/>
        <v>0</v>
      </c>
      <c r="F55" s="23">
        <f t="shared" si="3"/>
        <v>0</v>
      </c>
    </row>
    <row r="56" spans="1:6" ht="24" customHeight="1" x14ac:dyDescent="0.25">
      <c r="A56" s="24"/>
      <c r="B56" s="25" t="s">
        <v>54</v>
      </c>
      <c r="C56" s="26">
        <f>SUM(C49:C55)</f>
        <v>5257630</v>
      </c>
      <c r="D56" s="26">
        <f>SUM(D49:D55)</f>
        <v>4451289</v>
      </c>
      <c r="E56" s="26">
        <f t="shared" si="2"/>
        <v>-806341</v>
      </c>
      <c r="F56" s="27">
        <f t="shared" si="3"/>
        <v>-0.15336587017344316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0</v>
      </c>
      <c r="D61" s="26">
        <f>SUM(D59:D60)</f>
        <v>0</v>
      </c>
      <c r="E61" s="26">
        <f>D61-C61</f>
        <v>0</v>
      </c>
      <c r="F61" s="27">
        <f>IF(C61=0,0,E61/C61)</f>
        <v>0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1304000</v>
      </c>
      <c r="D63" s="22">
        <v>1156000</v>
      </c>
      <c r="E63" s="22">
        <f>D63-C63</f>
        <v>-148000</v>
      </c>
      <c r="F63" s="23">
        <f>IF(C63=0,0,E63/C63)</f>
        <v>-0.11349693251533742</v>
      </c>
    </row>
    <row r="64" spans="1:6" ht="24" customHeight="1" x14ac:dyDescent="0.2">
      <c r="A64" s="20">
        <v>4</v>
      </c>
      <c r="B64" s="21" t="s">
        <v>60</v>
      </c>
      <c r="C64" s="22">
        <v>338837</v>
      </c>
      <c r="D64" s="22">
        <v>217973</v>
      </c>
      <c r="E64" s="22">
        <f>D64-C64</f>
        <v>-120864</v>
      </c>
      <c r="F64" s="23">
        <f>IF(C64=0,0,E64/C64)</f>
        <v>-0.35670248526577675</v>
      </c>
    </row>
    <row r="65" spans="1:6" ht="24" customHeight="1" x14ac:dyDescent="0.25">
      <c r="A65" s="24"/>
      <c r="B65" s="25" t="s">
        <v>61</v>
      </c>
      <c r="C65" s="26">
        <f>SUM(C61:C64)</f>
        <v>1642837</v>
      </c>
      <c r="D65" s="26">
        <f>SUM(D61:D64)</f>
        <v>1373973</v>
      </c>
      <c r="E65" s="26">
        <f>D65-C65</f>
        <v>-268864</v>
      </c>
      <c r="F65" s="27">
        <f>IF(C65=0,0,E65/C65)</f>
        <v>-0.16365835441982376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21513301</v>
      </c>
      <c r="D70" s="22">
        <v>7980668</v>
      </c>
      <c r="E70" s="22">
        <f>D70-C70</f>
        <v>-13532633</v>
      </c>
      <c r="F70" s="23">
        <f>IF(C70=0,0,E70/C70)</f>
        <v>-0.62903563706936472</v>
      </c>
    </row>
    <row r="71" spans="1:6" ht="24" customHeight="1" x14ac:dyDescent="0.2">
      <c r="A71" s="20">
        <v>2</v>
      </c>
      <c r="B71" s="21" t="s">
        <v>65</v>
      </c>
      <c r="C71" s="22">
        <v>0</v>
      </c>
      <c r="D71" s="22">
        <v>0</v>
      </c>
      <c r="E71" s="22">
        <f>D71-C71</f>
        <v>0</v>
      </c>
      <c r="F71" s="23">
        <f>IF(C71=0,0,E71/C71)</f>
        <v>0</v>
      </c>
    </row>
    <row r="72" spans="1:6" ht="24" customHeight="1" x14ac:dyDescent="0.2">
      <c r="A72" s="20">
        <v>3</v>
      </c>
      <c r="B72" s="21" t="s">
        <v>66</v>
      </c>
      <c r="C72" s="22">
        <v>0</v>
      </c>
      <c r="D72" s="22">
        <v>0</v>
      </c>
      <c r="E72" s="22">
        <f>D72-C72</f>
        <v>0</v>
      </c>
      <c r="F72" s="23">
        <f>IF(C72=0,0,E72/C72)</f>
        <v>0</v>
      </c>
    </row>
    <row r="73" spans="1:6" ht="24" customHeight="1" x14ac:dyDescent="0.25">
      <c r="A73" s="20"/>
      <c r="B73" s="25" t="s">
        <v>67</v>
      </c>
      <c r="C73" s="26">
        <f>SUM(C70:C72)</f>
        <v>21513301</v>
      </c>
      <c r="D73" s="26">
        <f>SUM(D70:D72)</f>
        <v>7980668</v>
      </c>
      <c r="E73" s="26">
        <f>D73-C73</f>
        <v>-13532633</v>
      </c>
      <c r="F73" s="27">
        <f>IF(C73=0,0,E73/C73)</f>
        <v>-0.62903563706936472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28413768</v>
      </c>
      <c r="D75" s="26">
        <f>D56+D65+D67+D73</f>
        <v>13805930</v>
      </c>
      <c r="E75" s="26">
        <f>D75-C75</f>
        <v>-14607838</v>
      </c>
      <c r="F75" s="27">
        <f>IF(C75=0,0,E75/C75)</f>
        <v>-0.5141112576128587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1" fitToHeight="0" orientation="portrait" horizontalDpi="1200" verticalDpi="1200" r:id="rId1"/>
  <headerFooter>
    <oddHeader>&amp;LOFFICE OF HEALTH CARE ACCESS&amp;CTWELVE MONTHS ACTUAL FILING&amp;RESSENT-SHARON HOSPITAL</oddHeader>
    <oddFooter>&amp;LREPORT 100&amp;CPAGE &amp;P of &amp;N&amp;R&amp;D,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topLeftCell="A60"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56110242</v>
      </c>
      <c r="D11" s="76">
        <v>54951775</v>
      </c>
      <c r="E11" s="76">
        <v>55199240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1205475</v>
      </c>
      <c r="D12" s="185">
        <v>934163</v>
      </c>
      <c r="E12" s="185">
        <v>698785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57315717</v>
      </c>
      <c r="D13" s="76">
        <f>+D11+D12</f>
        <v>55885938</v>
      </c>
      <c r="E13" s="76">
        <f>+E11+E12</f>
        <v>55898025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58726061</v>
      </c>
      <c r="D14" s="185">
        <v>58755094</v>
      </c>
      <c r="E14" s="185">
        <v>58399943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-1410344</v>
      </c>
      <c r="D15" s="76">
        <f>+D13-D14</f>
        <v>-2869156</v>
      </c>
      <c r="E15" s="76">
        <f>+E13-E14</f>
        <v>-2501918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0</v>
      </c>
      <c r="D16" s="185">
        <v>-15331206</v>
      </c>
      <c r="E16" s="185">
        <v>-11206712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-1410344</v>
      </c>
      <c r="D17" s="76">
        <f>D15+D16</f>
        <v>-18200362</v>
      </c>
      <c r="E17" s="76">
        <f>E15+E16</f>
        <v>-13708630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-2.4606583914844857E-2</v>
      </c>
      <c r="D20" s="189">
        <f>IF(+D27=0,0,+D24/+D27)</f>
        <v>-7.0747748992645298E-2</v>
      </c>
      <c r="E20" s="189">
        <f>IF(+E27=0,0,+E24/+E27)</f>
        <v>-5.5982199493668935E-2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0</v>
      </c>
      <c r="D21" s="189">
        <f>IF(+D27=0,0,+D26/+D27)</f>
        <v>-0.37803741373509753</v>
      </c>
      <c r="E21" s="189">
        <f>IF(+E27=0,0,+E26/+E27)</f>
        <v>-0.25075817307045778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-2.4606583914844857E-2</v>
      </c>
      <c r="D22" s="189">
        <f>IF(+D27=0,0,+D28/+D27)</f>
        <v>-0.44878516272774283</v>
      </c>
      <c r="E22" s="189">
        <f>IF(+E27=0,0,+E28/+E27)</f>
        <v>-0.30674037256412673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-1410344</v>
      </c>
      <c r="D24" s="76">
        <f>+D15</f>
        <v>-2869156</v>
      </c>
      <c r="E24" s="76">
        <f>+E15</f>
        <v>-2501918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57315717</v>
      </c>
      <c r="D25" s="76">
        <f>+D13</f>
        <v>55885938</v>
      </c>
      <c r="E25" s="76">
        <f>+E13</f>
        <v>55898025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0</v>
      </c>
      <c r="D26" s="76">
        <f>+D16</f>
        <v>-15331206</v>
      </c>
      <c r="E26" s="76">
        <f>+E16</f>
        <v>-11206712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57315717</v>
      </c>
      <c r="D27" s="76">
        <f>SUM(D25:D26)</f>
        <v>40554732</v>
      </c>
      <c r="E27" s="76">
        <f>SUM(E25:E26)</f>
        <v>44691313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-1410344</v>
      </c>
      <c r="D28" s="76">
        <f>+D17</f>
        <v>-18200362</v>
      </c>
      <c r="E28" s="76">
        <f>+E17</f>
        <v>-13708630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16068631</v>
      </c>
      <c r="D31" s="76">
        <v>21513301</v>
      </c>
      <c r="E31" s="76">
        <v>7980668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16068631</v>
      </c>
      <c r="D32" s="76">
        <v>21513301</v>
      </c>
      <c r="E32" s="76">
        <v>7980668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-1536362</v>
      </c>
      <c r="D33" s="76">
        <f>+D32-C32</f>
        <v>5444670</v>
      </c>
      <c r="E33" s="76">
        <f>+E32-D32</f>
        <v>-13532633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0.91269999999999996</v>
      </c>
      <c r="D34" s="193">
        <f>IF(C32=0,0,+D33/C32)</f>
        <v>0.33883844865191065</v>
      </c>
      <c r="E34" s="193">
        <f>IF(D32=0,0,+E33/D32)</f>
        <v>-0.62903563706936472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1.9318854825960778</v>
      </c>
      <c r="D38" s="338">
        <f>IF(+D40=0,0,+D39/+D40)</f>
        <v>1.4508702704712639</v>
      </c>
      <c r="E38" s="338">
        <f>IF(+E40=0,0,+E39/+E40)</f>
        <v>1.8653534279123096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10714886</v>
      </c>
      <c r="D39" s="341">
        <v>9013356</v>
      </c>
      <c r="E39" s="341">
        <v>9452436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5546336</v>
      </c>
      <c r="D40" s="341">
        <v>6212379</v>
      </c>
      <c r="E40" s="341">
        <v>5067370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6.8027522854084713E-2</v>
      </c>
      <c r="D42" s="343">
        <f>IF((D48/365)=0,0,+D45/(D48/365))</f>
        <v>2.0594136170243198</v>
      </c>
      <c r="E42" s="343">
        <f>IF((E48/365)=0,0,+E45/(E48/365))</f>
        <v>0.89298641785701849</v>
      </c>
    </row>
    <row r="43" spans="1:14" ht="24" customHeight="1" x14ac:dyDescent="0.2">
      <c r="A43" s="339">
        <v>5</v>
      </c>
      <c r="B43" s="344" t="s">
        <v>16</v>
      </c>
      <c r="C43" s="345">
        <v>10465</v>
      </c>
      <c r="D43" s="345">
        <v>317130</v>
      </c>
      <c r="E43" s="345">
        <v>139667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10465</v>
      </c>
      <c r="D45" s="341">
        <f>+D43+D44</f>
        <v>317130</v>
      </c>
      <c r="E45" s="341">
        <f>+E43+E44</f>
        <v>139667</v>
      </c>
    </row>
    <row r="46" spans="1:14" ht="24" customHeight="1" x14ac:dyDescent="0.2">
      <c r="A46" s="339">
        <v>8</v>
      </c>
      <c r="B46" s="340" t="s">
        <v>334</v>
      </c>
      <c r="C46" s="341">
        <f>+C14</f>
        <v>58726061</v>
      </c>
      <c r="D46" s="341">
        <f>+D14</f>
        <v>58755094</v>
      </c>
      <c r="E46" s="341">
        <f>+E14</f>
        <v>58399943</v>
      </c>
    </row>
    <row r="47" spans="1:14" ht="24" customHeight="1" x14ac:dyDescent="0.2">
      <c r="A47" s="339">
        <v>9</v>
      </c>
      <c r="B47" s="340" t="s">
        <v>356</v>
      </c>
      <c r="C47" s="341">
        <v>2576361</v>
      </c>
      <c r="D47" s="341">
        <v>2548585</v>
      </c>
      <c r="E47" s="341">
        <v>1312339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56149700</v>
      </c>
      <c r="D48" s="341">
        <f>+D46-D47</f>
        <v>56206509</v>
      </c>
      <c r="E48" s="341">
        <f>+E46-E47</f>
        <v>57087604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45.808375768545076</v>
      </c>
      <c r="D50" s="350">
        <f>IF((D55/365)=0,0,+D54/(D55/365))</f>
        <v>43.585490550578214</v>
      </c>
      <c r="E50" s="350">
        <f>IF((E55/365)=0,0,+E54/(E55/365))</f>
        <v>43.930774952698627</v>
      </c>
    </row>
    <row r="51" spans="1:5" ht="24" customHeight="1" x14ac:dyDescent="0.2">
      <c r="A51" s="339">
        <v>12</v>
      </c>
      <c r="B51" s="344" t="s">
        <v>359</v>
      </c>
      <c r="C51" s="351">
        <v>6904941</v>
      </c>
      <c r="D51" s="351">
        <v>6658799</v>
      </c>
      <c r="E51" s="351">
        <v>6707780</v>
      </c>
    </row>
    <row r="52" spans="1:5" ht="24" customHeight="1" x14ac:dyDescent="0.2">
      <c r="A52" s="339">
        <v>13</v>
      </c>
      <c r="B52" s="344" t="s">
        <v>21</v>
      </c>
      <c r="C52" s="341">
        <v>137029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0</v>
      </c>
      <c r="D53" s="341">
        <v>96881</v>
      </c>
      <c r="E53" s="341">
        <v>64094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7041970</v>
      </c>
      <c r="D54" s="352">
        <f>+D51+D52-D53</f>
        <v>6561918</v>
      </c>
      <c r="E54" s="352">
        <f>+E51+E52-E53</f>
        <v>6643686</v>
      </c>
    </row>
    <row r="55" spans="1:5" ht="24" customHeight="1" x14ac:dyDescent="0.2">
      <c r="A55" s="339">
        <v>16</v>
      </c>
      <c r="B55" s="340" t="s">
        <v>75</v>
      </c>
      <c r="C55" s="341">
        <f>+C11</f>
        <v>56110242</v>
      </c>
      <c r="D55" s="341">
        <f>+D11</f>
        <v>54951775</v>
      </c>
      <c r="E55" s="341">
        <f>+E11</f>
        <v>55199240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36.053846057948668</v>
      </c>
      <c r="D57" s="355">
        <f>IF((D61/365)=0,0,+D58/(D61/365))</f>
        <v>40.342628911537631</v>
      </c>
      <c r="E57" s="355">
        <f>IF((E61/365)=0,0,+E58/(E61/365))</f>
        <v>32.399153588579409</v>
      </c>
    </row>
    <row r="58" spans="1:5" ht="24" customHeight="1" x14ac:dyDescent="0.2">
      <c r="A58" s="339">
        <v>18</v>
      </c>
      <c r="B58" s="340" t="s">
        <v>54</v>
      </c>
      <c r="C58" s="353">
        <f>+C40</f>
        <v>5546336</v>
      </c>
      <c r="D58" s="353">
        <f>+D40</f>
        <v>6212379</v>
      </c>
      <c r="E58" s="353">
        <f>+E40</f>
        <v>5067370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58726061</v>
      </c>
      <c r="D59" s="353">
        <f t="shared" si="0"/>
        <v>58755094</v>
      </c>
      <c r="E59" s="353">
        <f t="shared" si="0"/>
        <v>58399943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2576361</v>
      </c>
      <c r="D60" s="356">
        <f t="shared" si="0"/>
        <v>2548585</v>
      </c>
      <c r="E60" s="356">
        <f t="shared" si="0"/>
        <v>1312339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56149700</v>
      </c>
      <c r="D61" s="353">
        <f>+D59-D60</f>
        <v>56206509</v>
      </c>
      <c r="E61" s="353">
        <f>+E59-E60</f>
        <v>57087604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36.0860915475917</v>
      </c>
      <c r="D65" s="357">
        <f>IF(D67=0,0,(D66/D67)*100)</f>
        <v>73.252936128848461</v>
      </c>
      <c r="E65" s="357">
        <f>IF(E67=0,0,(E66/E67)*100)</f>
        <v>53.997460031353796</v>
      </c>
    </row>
    <row r="66" spans="1:5" ht="24" customHeight="1" x14ac:dyDescent="0.2">
      <c r="A66" s="339">
        <v>2</v>
      </c>
      <c r="B66" s="340" t="s">
        <v>67</v>
      </c>
      <c r="C66" s="353">
        <f>+C32</f>
        <v>16068631</v>
      </c>
      <c r="D66" s="353">
        <f>+D32</f>
        <v>21513301</v>
      </c>
      <c r="E66" s="353">
        <f>+E32</f>
        <v>7980668</v>
      </c>
    </row>
    <row r="67" spans="1:5" ht="24" customHeight="1" x14ac:dyDescent="0.2">
      <c r="A67" s="339">
        <v>3</v>
      </c>
      <c r="B67" s="340" t="s">
        <v>43</v>
      </c>
      <c r="C67" s="353">
        <v>44528599</v>
      </c>
      <c r="D67" s="353">
        <v>29368517</v>
      </c>
      <c r="E67" s="353">
        <v>14779710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4.4417759469834914</v>
      </c>
      <c r="D69" s="357">
        <f>IF(D75=0,0,(D72/D75)*100)</f>
        <v>-251.94497953199573</v>
      </c>
      <c r="E69" s="357">
        <f>IF(E75=0,0,(E72/E75)*100)</f>
        <v>-244.62967969577906</v>
      </c>
    </row>
    <row r="70" spans="1:5" ht="24" customHeight="1" x14ac:dyDescent="0.2">
      <c r="A70" s="339">
        <v>5</v>
      </c>
      <c r="B70" s="340" t="s">
        <v>366</v>
      </c>
      <c r="C70" s="353">
        <f>+C28</f>
        <v>-1410344</v>
      </c>
      <c r="D70" s="353">
        <f>+D28</f>
        <v>-18200362</v>
      </c>
      <c r="E70" s="353">
        <f>+E28</f>
        <v>-13708630</v>
      </c>
    </row>
    <row r="71" spans="1:5" ht="24" customHeight="1" x14ac:dyDescent="0.2">
      <c r="A71" s="339">
        <v>6</v>
      </c>
      <c r="B71" s="340" t="s">
        <v>356</v>
      </c>
      <c r="C71" s="356">
        <f>+C47</f>
        <v>2576361</v>
      </c>
      <c r="D71" s="356">
        <f>+D47</f>
        <v>2548585</v>
      </c>
      <c r="E71" s="356">
        <f>+E47</f>
        <v>1312339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1166017</v>
      </c>
      <c r="D72" s="353">
        <f>+D70+D71</f>
        <v>-15651777</v>
      </c>
      <c r="E72" s="353">
        <f>+E70+E71</f>
        <v>-12396291</v>
      </c>
    </row>
    <row r="73" spans="1:5" ht="24" customHeight="1" x14ac:dyDescent="0.2">
      <c r="A73" s="339">
        <v>8</v>
      </c>
      <c r="B73" s="340" t="s">
        <v>54</v>
      </c>
      <c r="C73" s="341">
        <f>+C40</f>
        <v>5546336</v>
      </c>
      <c r="D73" s="341">
        <f>+D40</f>
        <v>6212379</v>
      </c>
      <c r="E73" s="341">
        <f>+E40</f>
        <v>5067370</v>
      </c>
    </row>
    <row r="74" spans="1:5" ht="24" customHeight="1" x14ac:dyDescent="0.2">
      <c r="A74" s="339">
        <v>9</v>
      </c>
      <c r="B74" s="340" t="s">
        <v>58</v>
      </c>
      <c r="C74" s="353">
        <v>20704808</v>
      </c>
      <c r="D74" s="353">
        <v>0</v>
      </c>
      <c r="E74" s="353">
        <v>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26251144</v>
      </c>
      <c r="D75" s="341">
        <f>+D73+D74</f>
        <v>6212379</v>
      </c>
      <c r="E75" s="341">
        <f>+E73+E74</f>
        <v>5067370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56.303703333267251</v>
      </c>
      <c r="D77" s="359">
        <f>IF(D80=0,0,(D78/D80)*100)</f>
        <v>0</v>
      </c>
      <c r="E77" s="359">
        <f>IF(E80=0,0,(E78/E80)*100)</f>
        <v>0</v>
      </c>
    </row>
    <row r="78" spans="1:5" ht="24" customHeight="1" x14ac:dyDescent="0.2">
      <c r="A78" s="339">
        <v>12</v>
      </c>
      <c r="B78" s="340" t="s">
        <v>58</v>
      </c>
      <c r="C78" s="341">
        <f>+C74</f>
        <v>20704808</v>
      </c>
      <c r="D78" s="341">
        <f>+D74</f>
        <v>0</v>
      </c>
      <c r="E78" s="341">
        <f>+E74</f>
        <v>0</v>
      </c>
    </row>
    <row r="79" spans="1:5" ht="24" customHeight="1" x14ac:dyDescent="0.2">
      <c r="A79" s="339">
        <v>13</v>
      </c>
      <c r="B79" s="340" t="s">
        <v>67</v>
      </c>
      <c r="C79" s="341">
        <f>+C32</f>
        <v>16068631</v>
      </c>
      <c r="D79" s="341">
        <f>+D32</f>
        <v>21513301</v>
      </c>
      <c r="E79" s="341">
        <f>+E32</f>
        <v>7980668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36773439</v>
      </c>
      <c r="D80" s="341">
        <f>+D78+D79</f>
        <v>21513301</v>
      </c>
      <c r="E80" s="341">
        <f>+E78+E79</f>
        <v>7980668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75" bottom="0.75" header="0.3" footer="0.3"/>
  <pageSetup scale="78" fitToHeight="0" orientation="portrait" r:id="rId1"/>
  <headerFooter>
    <oddHeader>_x000D_
                &amp;L&amp;8OFFICE OF HEALTH CARE ACCESS&amp;C&amp;8TWELVE MONTHS ACTUAL FILING&amp;R&amp;8SHARON HOSPITAL HOLDING CO, INC.</oddHeader>
    <oddFooter>&amp;L&amp;8REPORT 385&amp;C&amp;8PAGE &amp;P of &amp;N&amp;R&amp;8&amp;D, &amp;8&amp;T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3966</v>
      </c>
      <c r="D11" s="376">
        <v>1527</v>
      </c>
      <c r="E11" s="376">
        <v>850</v>
      </c>
      <c r="F11" s="377">
        <v>22</v>
      </c>
      <c r="G11" s="377">
        <v>47</v>
      </c>
      <c r="H11" s="378">
        <f>IF(F11=0,0,$C11/(F11*365))</f>
        <v>0.49389788293897885</v>
      </c>
      <c r="I11" s="378">
        <f>IF(G11=0,0,$C11/(G11*365))</f>
        <v>0.23118624307781988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802</v>
      </c>
      <c r="D13" s="376">
        <v>362</v>
      </c>
      <c r="E13" s="376">
        <v>0</v>
      </c>
      <c r="F13" s="377">
        <v>7</v>
      </c>
      <c r="G13" s="377">
        <v>11</v>
      </c>
      <c r="H13" s="378">
        <f>IF(F13=0,0,$C13/(F13*365))</f>
        <v>0.31389432485322899</v>
      </c>
      <c r="I13" s="378">
        <f>IF(G13=0,0,$C13/(G13*365))</f>
        <v>0.19975093399750934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3628</v>
      </c>
      <c r="D16" s="376">
        <v>325</v>
      </c>
      <c r="E16" s="376">
        <v>335</v>
      </c>
      <c r="F16" s="377">
        <v>12</v>
      </c>
      <c r="G16" s="377">
        <v>12</v>
      </c>
      <c r="H16" s="378">
        <f t="shared" si="0"/>
        <v>0.82831050228310499</v>
      </c>
      <c r="I16" s="378">
        <f t="shared" si="0"/>
        <v>0.82831050228310499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3628</v>
      </c>
      <c r="D17" s="381">
        <f>SUM(D15:D16)</f>
        <v>325</v>
      </c>
      <c r="E17" s="381">
        <f>SUM(E15:E16)</f>
        <v>335</v>
      </c>
      <c r="F17" s="381">
        <f>SUM(F15:F16)</f>
        <v>12</v>
      </c>
      <c r="G17" s="381">
        <f>SUM(G15:G16)</f>
        <v>12</v>
      </c>
      <c r="H17" s="382">
        <f t="shared" si="0"/>
        <v>0.82831050228310499</v>
      </c>
      <c r="I17" s="382">
        <f t="shared" si="0"/>
        <v>0.82831050228310499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745</v>
      </c>
      <c r="D21" s="376">
        <v>282</v>
      </c>
      <c r="E21" s="376">
        <v>283</v>
      </c>
      <c r="F21" s="377">
        <v>4</v>
      </c>
      <c r="G21" s="377">
        <v>8</v>
      </c>
      <c r="H21" s="378">
        <f>IF(F21=0,0,$C21/(F21*365))</f>
        <v>0.51027397260273977</v>
      </c>
      <c r="I21" s="378">
        <f>IF(G21=0,0,$C21/(G21*365))</f>
        <v>0.25513698630136988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648</v>
      </c>
      <c r="D23" s="376">
        <v>276</v>
      </c>
      <c r="E23" s="376">
        <v>277</v>
      </c>
      <c r="F23" s="377">
        <v>4</v>
      </c>
      <c r="G23" s="377">
        <v>16</v>
      </c>
      <c r="H23" s="378">
        <f>IF(F23=0,0,$C23/(F23*365))</f>
        <v>0.44383561643835617</v>
      </c>
      <c r="I23" s="378">
        <f>IF(G23=0,0,$C23/(G23*365))</f>
        <v>0.11095890410958904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9141</v>
      </c>
      <c r="D31" s="384">
        <f>SUM(D10:D29)-D13-D17-D23</f>
        <v>2134</v>
      </c>
      <c r="E31" s="384">
        <f>SUM(E10:E29)-E17-E23</f>
        <v>1468</v>
      </c>
      <c r="F31" s="384">
        <f>SUM(F10:F29)-F17-F23</f>
        <v>45</v>
      </c>
      <c r="G31" s="384">
        <f>SUM(G10:G29)-G17-G23</f>
        <v>78</v>
      </c>
      <c r="H31" s="385">
        <f>IF(F31=0,0,$C31/(F31*365))</f>
        <v>0.55652968036529682</v>
      </c>
      <c r="I31" s="385">
        <f>IF(G31=0,0,$C31/(G31*365))</f>
        <v>0.32107481559536355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9789</v>
      </c>
      <c r="D33" s="384">
        <f>SUM(D10:D29)-D13-D17</f>
        <v>2410</v>
      </c>
      <c r="E33" s="384">
        <f>SUM(E10:E29)-E17</f>
        <v>1745</v>
      </c>
      <c r="F33" s="384">
        <f>SUM(F10:F29)-F17</f>
        <v>49</v>
      </c>
      <c r="G33" s="384">
        <f>SUM(G10:G29)-G17</f>
        <v>94</v>
      </c>
      <c r="H33" s="385">
        <f>IF(F33=0,0,$C33/(F33*365))</f>
        <v>0.54733016494268938</v>
      </c>
      <c r="I33" s="385">
        <f>IF(G33=0,0,$C33/(G33*365))</f>
        <v>0.2853104051296998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9789</v>
      </c>
      <c r="D36" s="384">
        <f t="shared" si="1"/>
        <v>2410</v>
      </c>
      <c r="E36" s="384">
        <f t="shared" si="1"/>
        <v>1745</v>
      </c>
      <c r="F36" s="384">
        <f t="shared" si="1"/>
        <v>49</v>
      </c>
      <c r="G36" s="384">
        <f t="shared" si="1"/>
        <v>94</v>
      </c>
      <c r="H36" s="387">
        <f t="shared" si="1"/>
        <v>0.54733016494268938</v>
      </c>
      <c r="I36" s="387">
        <f t="shared" si="1"/>
        <v>0.2853104051296998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11029</v>
      </c>
      <c r="D37" s="384">
        <v>2466</v>
      </c>
      <c r="E37" s="384">
        <v>1886</v>
      </c>
      <c r="F37" s="386">
        <v>49</v>
      </c>
      <c r="G37" s="386">
        <v>94</v>
      </c>
      <c r="H37" s="385">
        <f>IF(F37=0,0,$C37/(F37*365))</f>
        <v>0.61666200726866094</v>
      </c>
      <c r="I37" s="385">
        <f>IF(G37=0,0,$C37/(G37*365))</f>
        <v>0.32145147187408918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-1240</v>
      </c>
      <c r="D38" s="384">
        <f t="shared" si="2"/>
        <v>-56</v>
      </c>
      <c r="E38" s="384">
        <f t="shared" si="2"/>
        <v>-141</v>
      </c>
      <c r="F38" s="384">
        <f t="shared" si="2"/>
        <v>0</v>
      </c>
      <c r="G38" s="384">
        <f t="shared" si="2"/>
        <v>0</v>
      </c>
      <c r="H38" s="387">
        <f t="shared" si="2"/>
        <v>-6.933184232597156E-2</v>
      </c>
      <c r="I38" s="387">
        <f t="shared" si="2"/>
        <v>-3.6141066744389383E-2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-0.11243086408559252</v>
      </c>
      <c r="D40" s="389">
        <f t="shared" si="3"/>
        <v>-2.2708840227088401E-2</v>
      </c>
      <c r="E40" s="389">
        <f t="shared" si="3"/>
        <v>-7.4761399787910923E-2</v>
      </c>
      <c r="F40" s="389">
        <f t="shared" si="3"/>
        <v>0</v>
      </c>
      <c r="G40" s="389">
        <f t="shared" si="3"/>
        <v>0</v>
      </c>
      <c r="H40" s="389">
        <f t="shared" si="3"/>
        <v>-0.11243086408559264</v>
      </c>
      <c r="I40" s="389">
        <f t="shared" si="3"/>
        <v>-0.11243086408559251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94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25" right="0.25" top="0.75" bottom="0.75" header="0.3" footer="0.3"/>
  <pageSetup scale="68" orientation="landscape" r:id="rId1"/>
  <headerFooter>
    <oddHeader>&amp;LOFFICE OF HEALTH CARE ACCESS&amp;CTWELVE MONTHS ACTUAL FILING&amp;RESSENT-SHARON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349</v>
      </c>
      <c r="D12" s="409">
        <v>272</v>
      </c>
      <c r="E12" s="409">
        <f>+D12-C12</f>
        <v>-77</v>
      </c>
      <c r="F12" s="410">
        <f>IF(C12=0,0,+E12/C12)</f>
        <v>-0.22063037249283668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1458</v>
      </c>
      <c r="D13" s="409">
        <v>1488</v>
      </c>
      <c r="E13" s="409">
        <f>+D13-C13</f>
        <v>30</v>
      </c>
      <c r="F13" s="410">
        <f>IF(C13=0,0,+E13/C13)</f>
        <v>2.0576131687242798E-2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3867</v>
      </c>
      <c r="D14" s="409">
        <v>3815</v>
      </c>
      <c r="E14" s="409">
        <f>+D14-C14</f>
        <v>-52</v>
      </c>
      <c r="F14" s="410">
        <f>IF(C14=0,0,+E14/C14)</f>
        <v>-1.3447116627876907E-2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5674</v>
      </c>
      <c r="D16" s="401">
        <f>SUM(D12:D15)</f>
        <v>5575</v>
      </c>
      <c r="E16" s="401">
        <f>+D16-C16</f>
        <v>-99</v>
      </c>
      <c r="F16" s="402">
        <f>IF(C16=0,0,+E16/C16)</f>
        <v>-1.7448008459640466E-2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188</v>
      </c>
      <c r="D19" s="409">
        <v>172</v>
      </c>
      <c r="E19" s="409">
        <f>+D19-C19</f>
        <v>-16</v>
      </c>
      <c r="F19" s="410">
        <f>IF(C19=0,0,+E19/C19)</f>
        <v>-8.5106382978723402E-2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1615</v>
      </c>
      <c r="D20" s="409">
        <v>1550</v>
      </c>
      <c r="E20" s="409">
        <f>+D20-C20</f>
        <v>-65</v>
      </c>
      <c r="F20" s="410">
        <f>IF(C20=0,0,+E20/C20)</f>
        <v>-4.0247678018575851E-2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97</v>
      </c>
      <c r="D21" s="409">
        <v>81</v>
      </c>
      <c r="E21" s="409">
        <f>+D21-C21</f>
        <v>-16</v>
      </c>
      <c r="F21" s="410">
        <f>IF(C21=0,0,+E21/C21)</f>
        <v>-0.16494845360824742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1900</v>
      </c>
      <c r="D23" s="401">
        <f>SUM(D19:D22)</f>
        <v>1803</v>
      </c>
      <c r="E23" s="401">
        <f>+D23-C23</f>
        <v>-97</v>
      </c>
      <c r="F23" s="402">
        <f>IF(C23=0,0,+E23/C23)</f>
        <v>-5.105263157894737E-2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322</v>
      </c>
      <c r="D63" s="409">
        <v>321</v>
      </c>
      <c r="E63" s="409">
        <f>+D63-C63</f>
        <v>-1</v>
      </c>
      <c r="F63" s="410">
        <f>IF(C63=0,0,+E63/C63)</f>
        <v>-3.105590062111801E-3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1271</v>
      </c>
      <c r="D64" s="409">
        <v>1328</v>
      </c>
      <c r="E64" s="409">
        <f>+D64-C64</f>
        <v>57</v>
      </c>
      <c r="F64" s="410">
        <f>IF(C64=0,0,+E64/C64)</f>
        <v>4.4846577498033044E-2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1593</v>
      </c>
      <c r="D65" s="401">
        <f>SUM(D63:D64)</f>
        <v>1649</v>
      </c>
      <c r="E65" s="401">
        <f>+D65-C65</f>
        <v>56</v>
      </c>
      <c r="F65" s="402">
        <f>IF(C65=0,0,+E65/C65)</f>
        <v>3.5153797865662272E-2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86</v>
      </c>
      <c r="D68" s="409">
        <v>72</v>
      </c>
      <c r="E68" s="409">
        <f>+D68-C68</f>
        <v>-14</v>
      </c>
      <c r="F68" s="410">
        <f>IF(C68=0,0,+E68/C68)</f>
        <v>-0.16279069767441862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776</v>
      </c>
      <c r="D69" s="409">
        <v>996</v>
      </c>
      <c r="E69" s="409">
        <f>+D69-C69</f>
        <v>220</v>
      </c>
      <c r="F69" s="412">
        <f>IF(C69=0,0,+E69/C69)</f>
        <v>0.28350515463917525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862</v>
      </c>
      <c r="D70" s="401">
        <f>SUM(D68:D69)</f>
        <v>1068</v>
      </c>
      <c r="E70" s="401">
        <f>+D70-C70</f>
        <v>206</v>
      </c>
      <c r="F70" s="402">
        <f>IF(C70=0,0,+E70/C70)</f>
        <v>0.23897911832946636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1561</v>
      </c>
      <c r="D73" s="376">
        <v>1518</v>
      </c>
      <c r="E73" s="409">
        <f>+D73-C73</f>
        <v>-43</v>
      </c>
      <c r="F73" s="410">
        <f>IF(C73=0,0,+E73/C73)</f>
        <v>-2.7546444586803331E-2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14819</v>
      </c>
      <c r="D74" s="376">
        <v>14155</v>
      </c>
      <c r="E74" s="409">
        <f>+D74-C74</f>
        <v>-664</v>
      </c>
      <c r="F74" s="410">
        <f>IF(C74=0,0,+E74/C74)</f>
        <v>-4.4807341925905929E-2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16380</v>
      </c>
      <c r="D75" s="401">
        <f>SUM(D73:D74)</f>
        <v>15673</v>
      </c>
      <c r="E75" s="401">
        <f>SUM(E73:E74)</f>
        <v>-707</v>
      </c>
      <c r="F75" s="402">
        <f>IF(C75=0,0,+E75/C75)</f>
        <v>-4.3162393162393162E-2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383</v>
      </c>
      <c r="D90" s="376">
        <v>424</v>
      </c>
      <c r="E90" s="409">
        <f t="shared" si="0"/>
        <v>41</v>
      </c>
      <c r="F90" s="410">
        <f t="shared" si="1"/>
        <v>0.10704960835509138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1652</v>
      </c>
      <c r="D91" s="376">
        <v>1500</v>
      </c>
      <c r="E91" s="409">
        <f t="shared" si="0"/>
        <v>-152</v>
      </c>
      <c r="F91" s="410">
        <f t="shared" si="1"/>
        <v>-9.2009685230024216E-2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2035</v>
      </c>
      <c r="D92" s="381">
        <f>SUM(D79:D91)</f>
        <v>1924</v>
      </c>
      <c r="E92" s="401">
        <f t="shared" si="0"/>
        <v>-111</v>
      </c>
      <c r="F92" s="402">
        <f t="shared" si="1"/>
        <v>-5.4545454545454543E-2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9161</v>
      </c>
      <c r="D95" s="414">
        <v>11535</v>
      </c>
      <c r="E95" s="415">
        <f t="shared" ref="E95:E100" si="2">+D95-C95</f>
        <v>2374</v>
      </c>
      <c r="F95" s="412">
        <f t="shared" ref="F95:F100" si="3">IF(C95=0,0,+E95/C95)</f>
        <v>0.25914201506385764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4325</v>
      </c>
      <c r="D96" s="414">
        <v>4618</v>
      </c>
      <c r="E96" s="409">
        <f t="shared" si="2"/>
        <v>293</v>
      </c>
      <c r="F96" s="410">
        <f t="shared" si="3"/>
        <v>6.7745664739884387E-2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1131</v>
      </c>
      <c r="D97" s="414">
        <v>690</v>
      </c>
      <c r="E97" s="409">
        <f t="shared" si="2"/>
        <v>-441</v>
      </c>
      <c r="F97" s="410">
        <f t="shared" si="3"/>
        <v>-0.38992042440318303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0</v>
      </c>
      <c r="D98" s="414">
        <v>0</v>
      </c>
      <c r="E98" s="409">
        <f t="shared" si="2"/>
        <v>0</v>
      </c>
      <c r="F98" s="410">
        <f t="shared" si="3"/>
        <v>0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47531</v>
      </c>
      <c r="D99" s="414">
        <v>47636</v>
      </c>
      <c r="E99" s="409">
        <f t="shared" si="2"/>
        <v>105</v>
      </c>
      <c r="F99" s="410">
        <f t="shared" si="3"/>
        <v>2.2090845974206308E-3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62148</v>
      </c>
      <c r="D100" s="381">
        <f>SUM(D95:D99)</f>
        <v>64479</v>
      </c>
      <c r="E100" s="401">
        <f t="shared" si="2"/>
        <v>2331</v>
      </c>
      <c r="F100" s="402">
        <f t="shared" si="3"/>
        <v>3.7507240780073371E-2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95</v>
      </c>
      <c r="D104" s="416">
        <v>102</v>
      </c>
      <c r="E104" s="417">
        <f>+D104-C104</f>
        <v>7</v>
      </c>
      <c r="F104" s="410">
        <f>IF(C104=0,0,+E104/C104)</f>
        <v>7.3684210526315783E-2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0</v>
      </c>
      <c r="D105" s="416">
        <v>0</v>
      </c>
      <c r="E105" s="417">
        <f>+D105-C105</f>
        <v>0</v>
      </c>
      <c r="F105" s="410">
        <f>IF(C105=0,0,+E105/C105)</f>
        <v>0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158.9</v>
      </c>
      <c r="D106" s="416">
        <v>162.19999999999999</v>
      </c>
      <c r="E106" s="417">
        <f>+D106-C106</f>
        <v>3.2999999999999829</v>
      </c>
      <c r="F106" s="410">
        <f>IF(C106=0,0,+E106/C106)</f>
        <v>2.0767778477029469E-2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253.9</v>
      </c>
      <c r="D107" s="418">
        <f>SUM(D104:D106)</f>
        <v>264.2</v>
      </c>
      <c r="E107" s="418">
        <f>+D107-C107</f>
        <v>10.299999999999983</v>
      </c>
      <c r="F107" s="402">
        <f>IF(C107=0,0,+E107/C107)</f>
        <v>4.0567152422213398E-2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75" bottom="0.75" header="0.3" footer="0.3"/>
  <pageSetup scale="74" fitToHeight="0" orientation="portrait" r:id="rId1"/>
  <headerFooter>
    <oddHeader>&amp;LOFFICE OF HEALTH CARE ACCESS&amp;CTWELVE MONTHS ACTUAL FILING&amp;RESSENT-SHARON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1271</v>
      </c>
      <c r="D12" s="409">
        <v>1328</v>
      </c>
      <c r="E12" s="409">
        <f>+D12-C12</f>
        <v>57</v>
      </c>
      <c r="F12" s="410">
        <f>IF(C12=0,0,+E12/C12)</f>
        <v>4.4846577498033044E-2</v>
      </c>
    </row>
    <row r="13" spans="1:6" ht="15.75" customHeight="1" x14ac:dyDescent="0.25">
      <c r="A13" s="374"/>
      <c r="B13" s="399" t="s">
        <v>622</v>
      </c>
      <c r="C13" s="401">
        <f>SUM(C11:C12)</f>
        <v>1271</v>
      </c>
      <c r="D13" s="401">
        <f>SUM(D11:D12)</f>
        <v>1328</v>
      </c>
      <c r="E13" s="401">
        <f>+D13-C13</f>
        <v>57</v>
      </c>
      <c r="F13" s="402">
        <f>IF(C13=0,0,+E13/C13)</f>
        <v>4.4846577498033044E-2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776</v>
      </c>
      <c r="D16" s="409">
        <v>996</v>
      </c>
      <c r="E16" s="409">
        <f>+D16-C16</f>
        <v>220</v>
      </c>
      <c r="F16" s="410">
        <f>IF(C16=0,0,+E16/C16)</f>
        <v>0.28350515463917525</v>
      </c>
    </row>
    <row r="17" spans="1:6" ht="15.75" customHeight="1" x14ac:dyDescent="0.25">
      <c r="A17" s="374"/>
      <c r="B17" s="399" t="s">
        <v>623</v>
      </c>
      <c r="C17" s="401">
        <f>SUM(C15:C16)</f>
        <v>776</v>
      </c>
      <c r="D17" s="401">
        <f>SUM(D15:D16)</f>
        <v>996</v>
      </c>
      <c r="E17" s="401">
        <f>+D17-C17</f>
        <v>220</v>
      </c>
      <c r="F17" s="402">
        <f>IF(C17=0,0,+E17/C17)</f>
        <v>0.28350515463917525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14819</v>
      </c>
      <c r="D20" s="409">
        <v>14155</v>
      </c>
      <c r="E20" s="409">
        <f>+D20-C20</f>
        <v>-664</v>
      </c>
      <c r="F20" s="410">
        <f>IF(C20=0,0,+E20/C20)</f>
        <v>-4.4807341925905929E-2</v>
      </c>
    </row>
    <row r="21" spans="1:6" ht="15.75" customHeight="1" x14ac:dyDescent="0.25">
      <c r="A21" s="374"/>
      <c r="B21" s="399" t="s">
        <v>625</v>
      </c>
      <c r="C21" s="401">
        <f>SUM(C19:C20)</f>
        <v>14819</v>
      </c>
      <c r="D21" s="401">
        <f>SUM(D19:D20)</f>
        <v>14155</v>
      </c>
      <c r="E21" s="401">
        <f>+D21-C21</f>
        <v>-664</v>
      </c>
      <c r="F21" s="402">
        <f>IF(C21=0,0,+E21/C21)</f>
        <v>-4.4807341925905929E-2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0" t="s">
        <v>626</v>
      </c>
      <c r="C23" s="811"/>
      <c r="D23" s="811"/>
      <c r="E23" s="811"/>
      <c r="F23" s="812"/>
    </row>
    <row r="24" spans="1:6" ht="15.75" customHeight="1" x14ac:dyDescent="0.25">
      <c r="A24" s="392"/>
    </row>
    <row r="25" spans="1:6" ht="15.75" customHeight="1" x14ac:dyDescent="0.25">
      <c r="B25" s="810" t="s">
        <v>627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628</v>
      </c>
      <c r="C27" s="811"/>
      <c r="D27" s="811"/>
      <c r="E27" s="811"/>
      <c r="F27" s="812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75" bottom="0.75" header="0.3" footer="0.3"/>
  <pageSetup scale="82" fitToHeight="0" orientation="portrait" r:id="rId1"/>
  <headerFooter>
    <oddHeader>&amp;LOFFICE OF HEALTH CARE ACCESS&amp;CTWELVE MONTHS ACTUAL FILING&amp;RESSENT-SHARON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36430178</v>
      </c>
      <c r="D15" s="448">
        <v>32935207</v>
      </c>
      <c r="E15" s="448">
        <f t="shared" ref="E15:E24" si="0">D15-C15</f>
        <v>-3494971</v>
      </c>
      <c r="F15" s="449">
        <f t="shared" ref="F15:F24" si="1">IF(C15=0,0,E15/C15)</f>
        <v>-9.5936149419857356E-2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15328148</v>
      </c>
      <c r="D16" s="448">
        <v>15373908</v>
      </c>
      <c r="E16" s="448">
        <f t="shared" si="0"/>
        <v>45760</v>
      </c>
      <c r="F16" s="449">
        <f t="shared" si="1"/>
        <v>2.985357396079422E-3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0.4207541341137559</v>
      </c>
      <c r="D17" s="453">
        <f>IF(LN_IA1=0,0,LN_IA2/LN_IA1)</f>
        <v>0.46679251173372011</v>
      </c>
      <c r="E17" s="454">
        <f t="shared" si="0"/>
        <v>4.603837761996421E-2</v>
      </c>
      <c r="F17" s="449">
        <f t="shared" si="1"/>
        <v>0.10941871722053523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1410</v>
      </c>
      <c r="D18" s="456">
        <v>1319</v>
      </c>
      <c r="E18" s="456">
        <f t="shared" si="0"/>
        <v>-91</v>
      </c>
      <c r="F18" s="449">
        <f t="shared" si="1"/>
        <v>-6.4539007092198578E-2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1.1719999999999999</v>
      </c>
      <c r="D19" s="459">
        <v>1.2321</v>
      </c>
      <c r="E19" s="460">
        <f t="shared" si="0"/>
        <v>6.0100000000000042E-2</v>
      </c>
      <c r="F19" s="449">
        <f t="shared" si="1"/>
        <v>5.1279863481228705E-2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1652.52</v>
      </c>
      <c r="D20" s="463">
        <f>LN_IA4*LN_IA5</f>
        <v>1625.1398999999999</v>
      </c>
      <c r="E20" s="463">
        <f t="shared" si="0"/>
        <v>-27.380100000000084</v>
      </c>
      <c r="F20" s="449">
        <f t="shared" si="1"/>
        <v>-1.6568695083871956E-2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9275.6202648076869</v>
      </c>
      <c r="D21" s="465">
        <f>IF(LN_IA6=0,0,LN_IA2/LN_IA6)</f>
        <v>9460.0520238288409</v>
      </c>
      <c r="E21" s="465">
        <f t="shared" si="0"/>
        <v>184.43175902115399</v>
      </c>
      <c r="F21" s="449">
        <f t="shared" si="1"/>
        <v>1.9883496063427715E-2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7687</v>
      </c>
      <c r="D22" s="456">
        <v>6558</v>
      </c>
      <c r="E22" s="456">
        <f t="shared" si="0"/>
        <v>-1129</v>
      </c>
      <c r="F22" s="449">
        <f t="shared" si="1"/>
        <v>-0.14687134122544557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1994.0351242357226</v>
      </c>
      <c r="D23" s="465">
        <f>IF(LN_IA8=0,0,LN_IA2/LN_IA8)</f>
        <v>2344.298261665142</v>
      </c>
      <c r="E23" s="465">
        <f t="shared" si="0"/>
        <v>350.26313742941943</v>
      </c>
      <c r="F23" s="449">
        <f t="shared" si="1"/>
        <v>0.17565545018354123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5.4517730496453902</v>
      </c>
      <c r="D24" s="466">
        <f>IF(LN_IA4=0,0,LN_IA8/LN_IA4)</f>
        <v>4.9719484457922665</v>
      </c>
      <c r="E24" s="466">
        <f t="shared" si="0"/>
        <v>-0.47982460385312375</v>
      </c>
      <c r="F24" s="449">
        <f t="shared" si="1"/>
        <v>-8.8012578565487762E-2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34940236</v>
      </c>
      <c r="D27" s="448">
        <v>37824490</v>
      </c>
      <c r="E27" s="448">
        <f t="shared" ref="E27:E32" si="2">D27-C27</f>
        <v>2884254</v>
      </c>
      <c r="F27" s="449">
        <f t="shared" ref="F27:F32" si="3">IF(C27=0,0,E27/C27)</f>
        <v>8.2548211752204531E-2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7089829</v>
      </c>
      <c r="D28" s="448">
        <v>6838629</v>
      </c>
      <c r="E28" s="448">
        <f t="shared" si="2"/>
        <v>-251200</v>
      </c>
      <c r="F28" s="449">
        <f t="shared" si="3"/>
        <v>-3.5431037899503644E-2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0.20291302554453267</v>
      </c>
      <c r="D29" s="453">
        <f>IF(LN_IA11=0,0,LN_IA12/LN_IA11)</f>
        <v>0.18079897442106951</v>
      </c>
      <c r="E29" s="454">
        <f t="shared" si="2"/>
        <v>-2.2114051123463152E-2</v>
      </c>
      <c r="F29" s="449">
        <f t="shared" si="3"/>
        <v>-0.10898290567654983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0.95910143507945533</v>
      </c>
      <c r="D30" s="453">
        <f>IF(LN_IA1=0,0,LN_IA11/LN_IA1)</f>
        <v>1.1484515643092816</v>
      </c>
      <c r="E30" s="454">
        <f t="shared" si="2"/>
        <v>0.1893501292298263</v>
      </c>
      <c r="F30" s="449">
        <f t="shared" si="3"/>
        <v>0.1974245082994166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1352.3330234620321</v>
      </c>
      <c r="D31" s="463">
        <f>LN_IA14*LN_IA4</f>
        <v>1514.8076133239424</v>
      </c>
      <c r="E31" s="463">
        <f t="shared" si="2"/>
        <v>162.47458986191032</v>
      </c>
      <c r="F31" s="449">
        <f t="shared" si="3"/>
        <v>0.12014391946590805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5242.6649922736678</v>
      </c>
      <c r="D32" s="465">
        <f>IF(LN_IA15=0,0,LN_IA12/LN_IA15)</f>
        <v>4514.5198240679529</v>
      </c>
      <c r="E32" s="465">
        <f t="shared" si="2"/>
        <v>-728.14516820571498</v>
      </c>
      <c r="F32" s="449">
        <f t="shared" si="3"/>
        <v>-0.13888836484475217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71370414</v>
      </c>
      <c r="D35" s="448">
        <f>LN_IA1+LN_IA11</f>
        <v>70759697</v>
      </c>
      <c r="E35" s="448">
        <f>D35-C35</f>
        <v>-610717</v>
      </c>
      <c r="F35" s="449">
        <f>IF(C35=0,0,E35/C35)</f>
        <v>-8.5570051478193743E-3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22417977</v>
      </c>
      <c r="D36" s="448">
        <f>LN_IA2+LN_IA12</f>
        <v>22212537</v>
      </c>
      <c r="E36" s="448">
        <f>D36-C36</f>
        <v>-205440</v>
      </c>
      <c r="F36" s="449">
        <f>IF(C36=0,0,E36/C36)</f>
        <v>-9.164073992938792E-3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48952437</v>
      </c>
      <c r="D37" s="448">
        <f>LN_IA17-LN_IA18</f>
        <v>48547160</v>
      </c>
      <c r="E37" s="448">
        <f>D37-C37</f>
        <v>-405277</v>
      </c>
      <c r="F37" s="449">
        <f>IF(C37=0,0,E37/C37)</f>
        <v>-8.278995384846723E-3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9870758</v>
      </c>
      <c r="D42" s="448">
        <v>10185805</v>
      </c>
      <c r="E42" s="448">
        <f t="shared" ref="E42:E53" si="4">D42-C42</f>
        <v>315047</v>
      </c>
      <c r="F42" s="449">
        <f t="shared" ref="F42:F53" si="5">IF(C42=0,0,E42/C42)</f>
        <v>3.1917204332230616E-2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4688042</v>
      </c>
      <c r="D43" s="448">
        <v>4860113</v>
      </c>
      <c r="E43" s="448">
        <f t="shared" si="4"/>
        <v>172071</v>
      </c>
      <c r="F43" s="449">
        <f t="shared" si="5"/>
        <v>3.6704236011537439E-2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0.47494245122816303</v>
      </c>
      <c r="D44" s="453">
        <f>IF(LN_IB1=0,0,LN_IB2/LN_IB1)</f>
        <v>0.47714569442474108</v>
      </c>
      <c r="E44" s="454">
        <f t="shared" si="4"/>
        <v>2.203243196578053E-3</v>
      </c>
      <c r="F44" s="449">
        <f t="shared" si="5"/>
        <v>4.6389687653328165E-3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647</v>
      </c>
      <c r="D45" s="456">
        <v>646</v>
      </c>
      <c r="E45" s="456">
        <f t="shared" si="4"/>
        <v>-1</v>
      </c>
      <c r="F45" s="449">
        <f t="shared" si="5"/>
        <v>-1.5455950540958269E-3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0.87690000000000001</v>
      </c>
      <c r="D46" s="459">
        <v>0.89429999999999998</v>
      </c>
      <c r="E46" s="460">
        <f t="shared" si="4"/>
        <v>1.7399999999999971E-2</v>
      </c>
      <c r="F46" s="449">
        <f t="shared" si="5"/>
        <v>1.9842627437564112E-2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567.35429999999997</v>
      </c>
      <c r="D47" s="463">
        <f>LN_IB4*LN_IB5</f>
        <v>577.71780000000001</v>
      </c>
      <c r="E47" s="463">
        <f t="shared" si="4"/>
        <v>10.363500000000045</v>
      </c>
      <c r="F47" s="449">
        <f t="shared" si="5"/>
        <v>1.8266363716640633E-2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8262.9884007224409</v>
      </c>
      <c r="D48" s="465">
        <f>IF(LN_IB6=0,0,LN_IB2/LN_IB6)</f>
        <v>8412.6073318149447</v>
      </c>
      <c r="E48" s="465">
        <f t="shared" si="4"/>
        <v>149.61893109250377</v>
      </c>
      <c r="F48" s="449">
        <f t="shared" si="5"/>
        <v>1.8107121036188608E-2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1012.631864085246</v>
      </c>
      <c r="D49" s="465">
        <f>LN_IA7-LN_IB7</f>
        <v>1047.4446920138962</v>
      </c>
      <c r="E49" s="465">
        <f t="shared" si="4"/>
        <v>34.812827928650222</v>
      </c>
      <c r="F49" s="449">
        <f t="shared" si="5"/>
        <v>3.4378562598460352E-2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574521.04240577982</v>
      </c>
      <c r="D50" s="479">
        <f>LN_IB8*LN_IB6</f>
        <v>605127.44309194572</v>
      </c>
      <c r="E50" s="479">
        <f t="shared" si="4"/>
        <v>30606.4006861659</v>
      </c>
      <c r="F50" s="449">
        <f t="shared" si="5"/>
        <v>5.3272897643579835E-2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1868</v>
      </c>
      <c r="D51" s="456">
        <v>1836</v>
      </c>
      <c r="E51" s="456">
        <f t="shared" si="4"/>
        <v>-32</v>
      </c>
      <c r="F51" s="449">
        <f t="shared" si="5"/>
        <v>-1.7130620985010708E-2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2509.6584582441114</v>
      </c>
      <c r="D52" s="465">
        <f>IF(LN_IB10=0,0,LN_IB2/LN_IB10)</f>
        <v>2647.1203703703704</v>
      </c>
      <c r="E52" s="465">
        <f t="shared" si="4"/>
        <v>137.46191212625899</v>
      </c>
      <c r="F52" s="449">
        <f t="shared" si="5"/>
        <v>5.477315515770801E-2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2.8871715610510047</v>
      </c>
      <c r="D53" s="466">
        <f>IF(LN_IB4=0,0,LN_IB10/LN_IB4)</f>
        <v>2.8421052631578947</v>
      </c>
      <c r="E53" s="466">
        <f t="shared" si="4"/>
        <v>-4.5066297893110008E-2</v>
      </c>
      <c r="F53" s="449">
        <f t="shared" si="5"/>
        <v>-1.5609151358052556E-2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41221496</v>
      </c>
      <c r="D56" s="448">
        <v>41044675</v>
      </c>
      <c r="E56" s="448">
        <f t="shared" ref="E56:E63" si="6">D56-C56</f>
        <v>-176821</v>
      </c>
      <c r="F56" s="449">
        <f t="shared" ref="F56:F63" si="7">IF(C56=0,0,E56/C56)</f>
        <v>-4.2895337908163255E-3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17242979</v>
      </c>
      <c r="D57" s="448">
        <v>17006465</v>
      </c>
      <c r="E57" s="448">
        <f t="shared" si="6"/>
        <v>-236514</v>
      </c>
      <c r="F57" s="449">
        <f t="shared" si="7"/>
        <v>-1.3716539352045838E-2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0.4183006604127128</v>
      </c>
      <c r="D58" s="453">
        <f>IF(LN_IB13=0,0,LN_IB14/LN_IB13)</f>
        <v>0.41434034987486196</v>
      </c>
      <c r="E58" s="454">
        <f t="shared" si="6"/>
        <v>-3.9603105378508419E-3</v>
      </c>
      <c r="F58" s="449">
        <f t="shared" si="7"/>
        <v>-9.4676172252356351E-3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4.176122644279193</v>
      </c>
      <c r="D59" s="453">
        <f>IF(LN_IB1=0,0,LN_IB13/LN_IB1)</f>
        <v>4.0295955989732768</v>
      </c>
      <c r="E59" s="454">
        <f t="shared" si="6"/>
        <v>-0.1465270453059162</v>
      </c>
      <c r="F59" s="449">
        <f t="shared" si="7"/>
        <v>-3.5086863530371021E-2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2701.951350848638</v>
      </c>
      <c r="D60" s="463">
        <f>LN_IB16*LN_IB4</f>
        <v>2603.1187569367366</v>
      </c>
      <c r="E60" s="463">
        <f t="shared" si="6"/>
        <v>-98.832593911901313</v>
      </c>
      <c r="F60" s="449">
        <f t="shared" si="7"/>
        <v>-3.6578228501730661E-2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6381.6763372087607</v>
      </c>
      <c r="D61" s="465">
        <f>IF(LN_IB17=0,0,LN_IB14/LN_IB17)</f>
        <v>6533.111466651887</v>
      </c>
      <c r="E61" s="465">
        <f t="shared" si="6"/>
        <v>151.43512944312624</v>
      </c>
      <c r="F61" s="449">
        <f t="shared" si="7"/>
        <v>2.3729678761703146E-2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-1139.0113449350929</v>
      </c>
      <c r="D62" s="465">
        <f>LN_IA16-LN_IB18</f>
        <v>-2018.5916425839341</v>
      </c>
      <c r="E62" s="465">
        <f t="shared" si="6"/>
        <v>-879.58029764884122</v>
      </c>
      <c r="F62" s="449">
        <f t="shared" si="7"/>
        <v>0.77223137553468757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-3077553.242079298</v>
      </c>
      <c r="D63" s="448">
        <f>LN_IB19*LN_IB17</f>
        <v>-5254633.7674059756</v>
      </c>
      <c r="E63" s="448">
        <f t="shared" si="6"/>
        <v>-2177080.5253266776</v>
      </c>
      <c r="F63" s="449">
        <f t="shared" si="7"/>
        <v>0.70740629132244326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51092254</v>
      </c>
      <c r="D66" s="448">
        <f>LN_IB1+LN_IB13</f>
        <v>51230480</v>
      </c>
      <c r="E66" s="448">
        <f>D66-C66</f>
        <v>138226</v>
      </c>
      <c r="F66" s="449">
        <f>IF(C66=0,0,E66/C66)</f>
        <v>2.7054198861533882E-3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21931021</v>
      </c>
      <c r="D67" s="448">
        <f>LN_IB2+LN_IB14</f>
        <v>21866578</v>
      </c>
      <c r="E67" s="448">
        <f>D67-C67</f>
        <v>-64443</v>
      </c>
      <c r="F67" s="449">
        <f>IF(C67=0,0,E67/C67)</f>
        <v>-2.9384404857393551E-3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29161233</v>
      </c>
      <c r="D68" s="448">
        <f>LN_IB21-LN_IB22</f>
        <v>29363902</v>
      </c>
      <c r="E68" s="448">
        <f>D68-C68</f>
        <v>202669</v>
      </c>
      <c r="F68" s="449">
        <f>IF(C68=0,0,E68/C68)</f>
        <v>6.9499461836884605E-3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-2503032.1996735181</v>
      </c>
      <c r="D70" s="441">
        <f>LN_IB9+LN_IB20</f>
        <v>-4649506.3243140299</v>
      </c>
      <c r="E70" s="448">
        <f>D70-C70</f>
        <v>-2146474.1246405118</v>
      </c>
      <c r="F70" s="449">
        <f>IF(C70=0,0,E70/C70)</f>
        <v>0.85754954527572047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51092254</v>
      </c>
      <c r="D73" s="488">
        <v>51230479</v>
      </c>
      <c r="E73" s="488">
        <f>D73-C73</f>
        <v>138225</v>
      </c>
      <c r="F73" s="489">
        <f>IF(C73=0,0,E73/C73)</f>
        <v>2.7054003137148737E-3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25835394</v>
      </c>
      <c r="D74" s="488">
        <v>25927321</v>
      </c>
      <c r="E74" s="488">
        <f>D74-C74</f>
        <v>91927</v>
      </c>
      <c r="F74" s="489">
        <f>IF(C74=0,0,E74/C74)</f>
        <v>3.558180688090145E-3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25256860</v>
      </c>
      <c r="D76" s="441">
        <f>LN_IB32-LN_IB33</f>
        <v>25303158</v>
      </c>
      <c r="E76" s="488">
        <f>D76-C76</f>
        <v>46298</v>
      </c>
      <c r="F76" s="489">
        <f>IF(E76=0,0,E76/C76)</f>
        <v>1.8330861397655924E-3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0.49433833942812544</v>
      </c>
      <c r="D77" s="453">
        <f>IF(LN_IB32=0,0,LN_IB34/LN_IB32)</f>
        <v>0.49390828455849495</v>
      </c>
      <c r="E77" s="493">
        <f>D77-C77</f>
        <v>-4.3005486963049178E-4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365024</v>
      </c>
      <c r="D83" s="448">
        <v>635979</v>
      </c>
      <c r="E83" s="448">
        <f t="shared" ref="E83:E95" si="8">D83-C83</f>
        <v>270955</v>
      </c>
      <c r="F83" s="449">
        <f t="shared" ref="F83:F95" si="9">IF(C83=0,0,E83/C83)</f>
        <v>0.74229365740334885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5900</v>
      </c>
      <c r="D84" s="448">
        <v>16179</v>
      </c>
      <c r="E84" s="448">
        <f t="shared" si="8"/>
        <v>10279</v>
      </c>
      <c r="F84" s="449">
        <f t="shared" si="9"/>
        <v>1.7422033898305085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1.6163320767949504E-2</v>
      </c>
      <c r="D85" s="453">
        <f>IF(LN_IC1=0,0,LN_IC2/LN_IC1)</f>
        <v>2.5439519229408517E-2</v>
      </c>
      <c r="E85" s="454">
        <f t="shared" si="8"/>
        <v>9.2761984614590128E-3</v>
      </c>
      <c r="F85" s="449">
        <f t="shared" si="9"/>
        <v>0.57390424867722278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45</v>
      </c>
      <c r="D86" s="456">
        <v>51</v>
      </c>
      <c r="E86" s="456">
        <f t="shared" si="8"/>
        <v>6</v>
      </c>
      <c r="F86" s="449">
        <f t="shared" si="9"/>
        <v>0.13333333333333333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0.73839999999999995</v>
      </c>
      <c r="D87" s="459">
        <v>0.87180000000000002</v>
      </c>
      <c r="E87" s="460">
        <f t="shared" si="8"/>
        <v>0.13340000000000007</v>
      </c>
      <c r="F87" s="449">
        <f t="shared" si="9"/>
        <v>0.18066088840736738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33.227999999999994</v>
      </c>
      <c r="D88" s="463">
        <f>LN_IC4*LN_IC5</f>
        <v>44.461800000000004</v>
      </c>
      <c r="E88" s="463">
        <f t="shared" si="8"/>
        <v>11.233800000000009</v>
      </c>
      <c r="F88" s="449">
        <f t="shared" si="9"/>
        <v>0.3380823401950166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177.56109305405084</v>
      </c>
      <c r="D89" s="465">
        <f>IF(LN_IC6=0,0,LN_IC2/LN_IC6)</f>
        <v>363.88540275022598</v>
      </c>
      <c r="E89" s="465">
        <f t="shared" si="8"/>
        <v>186.32430969617513</v>
      </c>
      <c r="F89" s="449">
        <f t="shared" si="9"/>
        <v>1.0493532478956789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8085.4273076683903</v>
      </c>
      <c r="D90" s="465">
        <f>LN_IB7-LN_IC7</f>
        <v>8048.721929064719</v>
      </c>
      <c r="E90" s="465">
        <f t="shared" si="8"/>
        <v>-36.705378603671306</v>
      </c>
      <c r="F90" s="449">
        <f t="shared" si="9"/>
        <v>-4.5396955790894498E-3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9098.0591717536354</v>
      </c>
      <c r="D91" s="465">
        <f>LN_IA7-LN_IC7</f>
        <v>9096.1666210786152</v>
      </c>
      <c r="E91" s="465">
        <f t="shared" si="8"/>
        <v>-1.8925506750201748</v>
      </c>
      <c r="F91" s="449">
        <f t="shared" si="9"/>
        <v>-2.0801696705775424E-4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302310.31015902973</v>
      </c>
      <c r="D92" s="441">
        <f>LN_IC9*LN_IC6</f>
        <v>404431.94107307319</v>
      </c>
      <c r="E92" s="441">
        <f t="shared" si="8"/>
        <v>102121.63091404346</v>
      </c>
      <c r="F92" s="449">
        <f t="shared" si="9"/>
        <v>0.33780399636493569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124</v>
      </c>
      <c r="D93" s="456">
        <v>108</v>
      </c>
      <c r="E93" s="456">
        <f t="shared" si="8"/>
        <v>-16</v>
      </c>
      <c r="F93" s="449">
        <f t="shared" si="9"/>
        <v>-0.12903225806451613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47.58064516129032</v>
      </c>
      <c r="D94" s="499">
        <f>IF(LN_IC11=0,0,LN_IC2/LN_IC11)</f>
        <v>149.80555555555554</v>
      </c>
      <c r="E94" s="499">
        <f t="shared" si="8"/>
        <v>102.22491039426522</v>
      </c>
      <c r="F94" s="449">
        <f t="shared" si="9"/>
        <v>2.1484557438794725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2.7555555555555555</v>
      </c>
      <c r="D95" s="466">
        <f>IF(LN_IC4=0,0,LN_IC11/LN_IC4)</f>
        <v>2.1176470588235294</v>
      </c>
      <c r="E95" s="466">
        <f t="shared" si="8"/>
        <v>-0.6379084967320261</v>
      </c>
      <c r="F95" s="449">
        <f t="shared" si="9"/>
        <v>-0.23149905123339656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2051499</v>
      </c>
      <c r="D98" s="448">
        <v>2223333</v>
      </c>
      <c r="E98" s="448">
        <f t="shared" ref="E98:E106" si="10">D98-C98</f>
        <v>171834</v>
      </c>
      <c r="F98" s="449">
        <f t="shared" ref="F98:F106" si="11">IF(C98=0,0,E98/C98)</f>
        <v>8.3760216310122496E-2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224891</v>
      </c>
      <c r="D99" s="448">
        <v>203614</v>
      </c>
      <c r="E99" s="448">
        <f t="shared" si="10"/>
        <v>-21277</v>
      </c>
      <c r="F99" s="449">
        <f t="shared" si="11"/>
        <v>-9.4610277867944917E-2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0.10962276852194419</v>
      </c>
      <c r="D100" s="453">
        <f>IF(LN_IC14=0,0,LN_IC15/LN_IC14)</f>
        <v>9.1580523475340847E-2</v>
      </c>
      <c r="E100" s="454">
        <f t="shared" si="10"/>
        <v>-1.8042245046603345E-2</v>
      </c>
      <c r="F100" s="449">
        <f t="shared" si="11"/>
        <v>-0.16458483296735626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5.6201756596826513</v>
      </c>
      <c r="D101" s="453">
        <f>IF(LN_IC1=0,0,LN_IC14/LN_IC1)</f>
        <v>3.4959220351615383</v>
      </c>
      <c r="E101" s="454">
        <f t="shared" si="10"/>
        <v>-2.124253624521113</v>
      </c>
      <c r="F101" s="449">
        <f t="shared" si="11"/>
        <v>-0.37796925810697191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252.9079046857193</v>
      </c>
      <c r="D102" s="463">
        <f>LN_IC17*LN_IC4</f>
        <v>178.29202379323846</v>
      </c>
      <c r="E102" s="463">
        <f t="shared" si="10"/>
        <v>-74.615880892480845</v>
      </c>
      <c r="F102" s="449">
        <f t="shared" si="11"/>
        <v>-0.29503182585456811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889.22092126564792</v>
      </c>
      <c r="D103" s="465">
        <f>IF(LN_IC18=0,0,LN_IC15/LN_IC18)</f>
        <v>1142.0252890063489</v>
      </c>
      <c r="E103" s="465">
        <f t="shared" si="10"/>
        <v>252.80436774070097</v>
      </c>
      <c r="F103" s="449">
        <f t="shared" si="11"/>
        <v>0.28429871778194205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5492.4554159431127</v>
      </c>
      <c r="D104" s="465">
        <f>LN_IB18-LN_IC19</f>
        <v>5391.0861776455386</v>
      </c>
      <c r="E104" s="465">
        <f t="shared" si="10"/>
        <v>-101.36923829757416</v>
      </c>
      <c r="F104" s="449">
        <f t="shared" si="11"/>
        <v>-1.8456087600333845E-2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4353.4440710080198</v>
      </c>
      <c r="D105" s="465">
        <f>LN_IA16-LN_IC19</f>
        <v>3372.494535061604</v>
      </c>
      <c r="E105" s="465">
        <f t="shared" si="10"/>
        <v>-980.94953594641584</v>
      </c>
      <c r="F105" s="449">
        <f t="shared" si="11"/>
        <v>-0.22532723975463442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1101020.4181651061</v>
      </c>
      <c r="D106" s="448">
        <f>LN_IC21*LN_IC18</f>
        <v>601288.87588777021</v>
      </c>
      <c r="E106" s="448">
        <f t="shared" si="10"/>
        <v>-499731.54227733589</v>
      </c>
      <c r="F106" s="449">
        <f t="shared" si="11"/>
        <v>-0.45388035864962267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2416523</v>
      </c>
      <c r="D109" s="448">
        <f>LN_IC1+LN_IC14</f>
        <v>2859312</v>
      </c>
      <c r="E109" s="448">
        <f>D109-C109</f>
        <v>442789</v>
      </c>
      <c r="F109" s="449">
        <f>IF(C109=0,0,E109/C109)</f>
        <v>0.18323392742382341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230791</v>
      </c>
      <c r="D110" s="448">
        <f>LN_IC2+LN_IC15</f>
        <v>219793</v>
      </c>
      <c r="E110" s="448">
        <f>D110-C110</f>
        <v>-10998</v>
      </c>
      <c r="F110" s="449">
        <f>IF(C110=0,0,E110/C110)</f>
        <v>-4.7653504686057946E-2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2185732</v>
      </c>
      <c r="D111" s="448">
        <f>LN_IC23-LN_IC24</f>
        <v>2639519</v>
      </c>
      <c r="E111" s="448">
        <f>D111-C111</f>
        <v>453787</v>
      </c>
      <c r="F111" s="449">
        <f>IF(C111=0,0,E111/C111)</f>
        <v>0.20761328470279064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1403330.7283241358</v>
      </c>
      <c r="D113" s="448">
        <f>LN_IC10+LN_IC22</f>
        <v>1005720.8169608434</v>
      </c>
      <c r="E113" s="448">
        <f>D113-C113</f>
        <v>-397609.91136329237</v>
      </c>
      <c r="F113" s="449">
        <f>IF(C113=0,0,E113/C113)</f>
        <v>-0.28333300435751169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3561353</v>
      </c>
      <c r="D118" s="448">
        <v>3885345</v>
      </c>
      <c r="E118" s="448">
        <f t="shared" ref="E118:E130" si="12">D118-C118</f>
        <v>323992</v>
      </c>
      <c r="F118" s="449">
        <f t="shared" ref="F118:F130" si="13">IF(C118=0,0,E118/C118)</f>
        <v>9.0974413376039953E-2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1001592</v>
      </c>
      <c r="D119" s="448">
        <v>1057016</v>
      </c>
      <c r="E119" s="448">
        <f t="shared" si="12"/>
        <v>55424</v>
      </c>
      <c r="F119" s="449">
        <f t="shared" si="13"/>
        <v>5.5335905238859735E-2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0.28123918072710008</v>
      </c>
      <c r="D120" s="453">
        <f>IF(LN_ID1=0,0,LN_1D2/LN_ID1)</f>
        <v>0.27205203141548562</v>
      </c>
      <c r="E120" s="454">
        <f t="shared" si="12"/>
        <v>-9.187149311614462E-3</v>
      </c>
      <c r="F120" s="449">
        <f t="shared" si="13"/>
        <v>-3.2666676413515783E-2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219</v>
      </c>
      <c r="D121" s="456">
        <v>268</v>
      </c>
      <c r="E121" s="456">
        <f t="shared" si="12"/>
        <v>49</v>
      </c>
      <c r="F121" s="449">
        <f t="shared" si="13"/>
        <v>0.22374429223744291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0.93510000000000004</v>
      </c>
      <c r="D122" s="459">
        <v>0.87560000000000004</v>
      </c>
      <c r="E122" s="460">
        <f t="shared" si="12"/>
        <v>-5.9499999999999997E-2</v>
      </c>
      <c r="F122" s="449">
        <f t="shared" si="13"/>
        <v>-6.3629558336006836E-2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204.7869</v>
      </c>
      <c r="D123" s="463">
        <f>LN_ID4*LN_ID5</f>
        <v>234.66080000000002</v>
      </c>
      <c r="E123" s="463">
        <f t="shared" si="12"/>
        <v>29.87390000000002</v>
      </c>
      <c r="F123" s="449">
        <f t="shared" si="13"/>
        <v>0.14587798340616523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4890.8987830764563</v>
      </c>
      <c r="D124" s="465">
        <f>IF(LN_ID6=0,0,LN_1D2/LN_ID6)</f>
        <v>4504.4421565084576</v>
      </c>
      <c r="E124" s="465">
        <f t="shared" si="12"/>
        <v>-386.45662656799868</v>
      </c>
      <c r="F124" s="449">
        <f t="shared" si="13"/>
        <v>-7.9015461923935187E-2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3372.0896176459846</v>
      </c>
      <c r="D125" s="465">
        <f>LN_IB7-LN_ID7</f>
        <v>3908.1651753064871</v>
      </c>
      <c r="E125" s="465">
        <f t="shared" si="12"/>
        <v>536.07555766050245</v>
      </c>
      <c r="F125" s="449">
        <f t="shared" si="13"/>
        <v>0.15897429144683597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4384.7214817312306</v>
      </c>
      <c r="D126" s="465">
        <f>LN_IA7-LN_ID7</f>
        <v>4955.6098673203833</v>
      </c>
      <c r="E126" s="465">
        <f t="shared" si="12"/>
        <v>570.88838558915268</v>
      </c>
      <c r="F126" s="449">
        <f t="shared" si="13"/>
        <v>0.13019946374421651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897933.51960714534</v>
      </c>
      <c r="D127" s="479">
        <f>LN_ID9*LN_ID6</f>
        <v>1162887.375953295</v>
      </c>
      <c r="E127" s="479">
        <f t="shared" si="12"/>
        <v>264953.8563461497</v>
      </c>
      <c r="F127" s="449">
        <f t="shared" si="13"/>
        <v>0.29507068236195211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795</v>
      </c>
      <c r="D128" s="456">
        <v>822</v>
      </c>
      <c r="E128" s="456">
        <f t="shared" si="12"/>
        <v>27</v>
      </c>
      <c r="F128" s="449">
        <f t="shared" si="13"/>
        <v>3.3962264150943396E-2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1259.8641509433962</v>
      </c>
      <c r="D129" s="465">
        <f>IF(LN_ID11=0,0,LN_1D2/LN_ID11)</f>
        <v>1285.9075425790754</v>
      </c>
      <c r="E129" s="465">
        <f t="shared" si="12"/>
        <v>26.0433916356792</v>
      </c>
      <c r="F129" s="449">
        <f t="shared" si="13"/>
        <v>2.0671587183568721E-2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3.6301369863013697</v>
      </c>
      <c r="D130" s="466">
        <f>IF(LN_ID4=0,0,LN_ID11/LN_ID4)</f>
        <v>3.0671641791044775</v>
      </c>
      <c r="E130" s="466">
        <f t="shared" si="12"/>
        <v>-0.56297280719689224</v>
      </c>
      <c r="F130" s="449">
        <f t="shared" si="13"/>
        <v>-0.15508307519008729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8023925</v>
      </c>
      <c r="D133" s="448">
        <v>8071723</v>
      </c>
      <c r="E133" s="448">
        <f t="shared" ref="E133:E141" si="14">D133-C133</f>
        <v>47798</v>
      </c>
      <c r="F133" s="449">
        <f t="shared" ref="F133:F141" si="15">IF(C133=0,0,E133/C133)</f>
        <v>5.9569350411425833E-3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1560189</v>
      </c>
      <c r="D134" s="448">
        <v>1466344</v>
      </c>
      <c r="E134" s="448">
        <f t="shared" si="14"/>
        <v>-93845</v>
      </c>
      <c r="F134" s="449">
        <f t="shared" si="15"/>
        <v>-6.0149763906808727E-2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0.19444212153029844</v>
      </c>
      <c r="D135" s="453">
        <f>IF(LN_ID14=0,0,LN_ID15/LN_ID14)</f>
        <v>0.18166431132485591</v>
      </c>
      <c r="E135" s="454">
        <f t="shared" si="14"/>
        <v>-1.2777810205442525E-2</v>
      </c>
      <c r="F135" s="449">
        <f t="shared" si="15"/>
        <v>-6.5715237546672495E-2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2.2530552292906658</v>
      </c>
      <c r="D136" s="453">
        <f>IF(LN_ID1=0,0,LN_ID14/LN_ID1)</f>
        <v>2.0774790913033461</v>
      </c>
      <c r="E136" s="454">
        <f t="shared" si="14"/>
        <v>-0.17557613798731975</v>
      </c>
      <c r="F136" s="449">
        <f t="shared" si="15"/>
        <v>-7.7928022227221103E-2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493.41909521465584</v>
      </c>
      <c r="D137" s="463">
        <f>LN_ID17*LN_ID4</f>
        <v>556.7643964692968</v>
      </c>
      <c r="E137" s="463">
        <f t="shared" si="14"/>
        <v>63.345301254640958</v>
      </c>
      <c r="F137" s="449">
        <f t="shared" si="15"/>
        <v>0.12838031983152856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3161.9955837364973</v>
      </c>
      <c r="D138" s="465">
        <f>IF(LN_ID18=0,0,LN_ID15/LN_ID18)</f>
        <v>2633.6885212107177</v>
      </c>
      <c r="E138" s="465">
        <f t="shared" si="14"/>
        <v>-528.30706252577966</v>
      </c>
      <c r="F138" s="449">
        <f t="shared" si="15"/>
        <v>-0.16708026577996821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3219.6807534722634</v>
      </c>
      <c r="D139" s="465">
        <f>LN_IB18-LN_ID19</f>
        <v>3899.4229454411693</v>
      </c>
      <c r="E139" s="465">
        <f t="shared" si="14"/>
        <v>679.7421919689059</v>
      </c>
      <c r="F139" s="449">
        <f t="shared" si="15"/>
        <v>0.21112099118393593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2080.6694085371705</v>
      </c>
      <c r="D140" s="465">
        <f>LN_IA16-LN_ID19</f>
        <v>1880.8313028572352</v>
      </c>
      <c r="E140" s="465">
        <f t="shared" si="14"/>
        <v>-199.83810567993532</v>
      </c>
      <c r="F140" s="449">
        <f t="shared" si="15"/>
        <v>-9.6045102052244299E-2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1026642.0170012238</v>
      </c>
      <c r="D141" s="441">
        <f>LN_ID21*LN_ID18</f>
        <v>1047179.9051958697</v>
      </c>
      <c r="E141" s="441">
        <f t="shared" si="14"/>
        <v>20537.888194645988</v>
      </c>
      <c r="F141" s="449">
        <f t="shared" si="15"/>
        <v>2.0004916859565378E-2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11585278</v>
      </c>
      <c r="D144" s="448">
        <f>LN_ID1+LN_ID14</f>
        <v>11957068</v>
      </c>
      <c r="E144" s="448">
        <f>D144-C144</f>
        <v>371790</v>
      </c>
      <c r="F144" s="449">
        <f>IF(C144=0,0,E144/C144)</f>
        <v>3.2091590724020604E-2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2561781</v>
      </c>
      <c r="D145" s="448">
        <f>LN_1D2+LN_ID15</f>
        <v>2523360</v>
      </c>
      <c r="E145" s="448">
        <f>D145-C145</f>
        <v>-38421</v>
      </c>
      <c r="F145" s="449">
        <f>IF(C145=0,0,E145/C145)</f>
        <v>-1.4997769130148128E-2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9023497</v>
      </c>
      <c r="D146" s="448">
        <f>LN_ID23-LN_ID24</f>
        <v>9433708</v>
      </c>
      <c r="E146" s="448">
        <f>D146-C146</f>
        <v>410211</v>
      </c>
      <c r="F146" s="449">
        <f>IF(C146=0,0,E146/C146)</f>
        <v>4.5460313224462756E-2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1924575.5366083691</v>
      </c>
      <c r="D148" s="448">
        <f>LN_ID10+LN_ID22</f>
        <v>2210067.2811491648</v>
      </c>
      <c r="E148" s="448">
        <f>D148-C148</f>
        <v>285491.74454079568</v>
      </c>
      <c r="F148" s="503">
        <f>IF(C148=0,0,E148/C148)</f>
        <v>0.14834010882415694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3593563</v>
      </c>
      <c r="D153" s="448">
        <v>2915553</v>
      </c>
      <c r="E153" s="448">
        <f t="shared" ref="E153:E165" si="16">D153-C153</f>
        <v>-678010</v>
      </c>
      <c r="F153" s="449">
        <f t="shared" ref="F153:F165" si="17">IF(C153=0,0,E153/C153)</f>
        <v>-0.18867346975689586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1337350</v>
      </c>
      <c r="D154" s="448">
        <v>1481750</v>
      </c>
      <c r="E154" s="448">
        <f t="shared" si="16"/>
        <v>144400</v>
      </c>
      <c r="F154" s="449">
        <f t="shared" si="17"/>
        <v>0.10797472613751075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0.37215153873745915</v>
      </c>
      <c r="D155" s="453">
        <f>IF(LN_IE1=0,0,LN_IE2/LN_IE1)</f>
        <v>0.50822262534757556</v>
      </c>
      <c r="E155" s="454">
        <f t="shared" si="16"/>
        <v>0.13607108661011641</v>
      </c>
      <c r="F155" s="449">
        <f t="shared" si="17"/>
        <v>0.36563354560280387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179</v>
      </c>
      <c r="D156" s="506">
        <v>164</v>
      </c>
      <c r="E156" s="506">
        <f t="shared" si="16"/>
        <v>-15</v>
      </c>
      <c r="F156" s="449">
        <f t="shared" si="17"/>
        <v>-8.3798882681564241E-2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1.0068999999999999</v>
      </c>
      <c r="D157" s="459">
        <v>0.99939999999999996</v>
      </c>
      <c r="E157" s="460">
        <f t="shared" si="16"/>
        <v>-7.4999999999999512E-3</v>
      </c>
      <c r="F157" s="449">
        <f t="shared" si="17"/>
        <v>-7.4486046280662944E-3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180.23509999999999</v>
      </c>
      <c r="D158" s="463">
        <f>LN_IE4*LN_IE5</f>
        <v>163.9016</v>
      </c>
      <c r="E158" s="463">
        <f t="shared" si="16"/>
        <v>-16.333499999999987</v>
      </c>
      <c r="F158" s="449">
        <f t="shared" si="17"/>
        <v>-9.0623302564261835E-2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7420.0308375005761</v>
      </c>
      <c r="D159" s="465">
        <f>IF(LN_IE6=0,0,LN_IE2/LN_IE6)</f>
        <v>9040.4852667698178</v>
      </c>
      <c r="E159" s="465">
        <f t="shared" si="16"/>
        <v>1620.4544292692417</v>
      </c>
      <c r="F159" s="449">
        <f t="shared" si="17"/>
        <v>0.21838917718232675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842.9575632218648</v>
      </c>
      <c r="D160" s="465">
        <f>LN_IB7-LN_IE7</f>
        <v>-627.87793495487313</v>
      </c>
      <c r="E160" s="465">
        <f t="shared" si="16"/>
        <v>-1470.8354981767379</v>
      </c>
      <c r="F160" s="449">
        <f t="shared" si="17"/>
        <v>-1.7448511791685732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1855.5894273071108</v>
      </c>
      <c r="D161" s="465">
        <f>LN_IA7-LN_IE7</f>
        <v>419.56675705902308</v>
      </c>
      <c r="E161" s="465">
        <f t="shared" si="16"/>
        <v>-1436.0226702480877</v>
      </c>
      <c r="F161" s="449">
        <f t="shared" si="17"/>
        <v>-0.77389030629048616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334442.34598963981</v>
      </c>
      <c r="D162" s="479">
        <f>LN_IE9*LN_IE6</f>
        <v>68767.662788785179</v>
      </c>
      <c r="E162" s="479">
        <f t="shared" si="16"/>
        <v>-265674.68320085463</v>
      </c>
      <c r="F162" s="449">
        <f t="shared" si="17"/>
        <v>-0.79438111347623597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657</v>
      </c>
      <c r="D163" s="456">
        <v>545</v>
      </c>
      <c r="E163" s="506">
        <f t="shared" si="16"/>
        <v>-112</v>
      </c>
      <c r="F163" s="449">
        <f t="shared" si="17"/>
        <v>-0.17047184170471841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2035.5403348554034</v>
      </c>
      <c r="D164" s="465">
        <f>IF(LN_IE11=0,0,LN_IE2/LN_IE11)</f>
        <v>2718.8073394495414</v>
      </c>
      <c r="E164" s="465">
        <f t="shared" si="16"/>
        <v>683.26700459413792</v>
      </c>
      <c r="F164" s="449">
        <f t="shared" si="17"/>
        <v>0.3356686148116414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3.6703910614525141</v>
      </c>
      <c r="D165" s="466">
        <f>IF(LN_IE4=0,0,LN_IE11/LN_IE4)</f>
        <v>3.3231707317073171</v>
      </c>
      <c r="E165" s="466">
        <f t="shared" si="16"/>
        <v>-0.34722032974519701</v>
      </c>
      <c r="F165" s="449">
        <f t="shared" si="17"/>
        <v>-9.4600363811857324E-2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5718656</v>
      </c>
      <c r="D168" s="511">
        <v>5847697</v>
      </c>
      <c r="E168" s="511">
        <f t="shared" ref="E168:E176" si="18">D168-C168</f>
        <v>129041</v>
      </c>
      <c r="F168" s="449">
        <f t="shared" ref="F168:F176" si="19">IF(C168=0,0,E168/C168)</f>
        <v>2.2564917351209794E-2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731317</v>
      </c>
      <c r="D169" s="511">
        <v>705262</v>
      </c>
      <c r="E169" s="511">
        <f t="shared" si="18"/>
        <v>-26055</v>
      </c>
      <c r="F169" s="449">
        <f t="shared" si="19"/>
        <v>-3.5627504898696462E-2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0.12788267033372877</v>
      </c>
      <c r="D170" s="453">
        <f>IF(LN_IE14=0,0,LN_IE15/LN_IE14)</f>
        <v>0.12060508607063601</v>
      </c>
      <c r="E170" s="454">
        <f t="shared" si="18"/>
        <v>-7.2775842630927595E-3</v>
      </c>
      <c r="F170" s="449">
        <f t="shared" si="19"/>
        <v>-5.6908291358796506E-2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1.591360997427901</v>
      </c>
      <c r="D171" s="453">
        <f>IF(LN_IE1=0,0,LN_IE14/LN_IE1)</f>
        <v>2.0056905156586073</v>
      </c>
      <c r="E171" s="454">
        <f t="shared" si="18"/>
        <v>0.4143295182307063</v>
      </c>
      <c r="F171" s="449">
        <f t="shared" si="19"/>
        <v>0.26036173998255735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284.85361853959427</v>
      </c>
      <c r="D172" s="463">
        <f>LN_IE17*LN_IE4</f>
        <v>328.93324456801162</v>
      </c>
      <c r="E172" s="463">
        <f t="shared" si="18"/>
        <v>44.079626028417351</v>
      </c>
      <c r="F172" s="449">
        <f t="shared" si="19"/>
        <v>0.15474483439742698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2567.3431980585774</v>
      </c>
      <c r="D173" s="465">
        <f>IF(LN_IE18=0,0,LN_IE15/LN_IE18)</f>
        <v>2144.0885396859821</v>
      </c>
      <c r="E173" s="465">
        <f t="shared" si="18"/>
        <v>-423.25465837259526</v>
      </c>
      <c r="F173" s="449">
        <f t="shared" si="19"/>
        <v>-0.16486095769847212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3814.3331391501833</v>
      </c>
      <c r="D174" s="465">
        <f>LN_IB18-LN_IE19</f>
        <v>4389.0229269659048</v>
      </c>
      <c r="E174" s="465">
        <f t="shared" si="18"/>
        <v>574.6897878157215</v>
      </c>
      <c r="F174" s="449">
        <f t="shared" si="19"/>
        <v>0.15066586133159829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2675.3217942150904</v>
      </c>
      <c r="D175" s="465">
        <f>LN_IA16-LN_IE19</f>
        <v>2370.4312843819707</v>
      </c>
      <c r="E175" s="465">
        <f t="shared" si="18"/>
        <v>-304.89050983311972</v>
      </c>
      <c r="F175" s="449">
        <f t="shared" si="19"/>
        <v>-0.11396405116288869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762075.09384000825</v>
      </c>
      <c r="D176" s="441">
        <f>LN_IE21*LN_IE18</f>
        <v>779713.65339728072</v>
      </c>
      <c r="E176" s="441">
        <f t="shared" si="18"/>
        <v>17638.559557272471</v>
      </c>
      <c r="F176" s="449">
        <f t="shared" si="19"/>
        <v>2.3145435010077299E-2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9312219</v>
      </c>
      <c r="D179" s="448">
        <f>LN_IE1+LN_IE14</f>
        <v>8763250</v>
      </c>
      <c r="E179" s="448">
        <f>D179-C179</f>
        <v>-548969</v>
      </c>
      <c r="F179" s="449">
        <f>IF(C179=0,0,E179/C179)</f>
        <v>-5.8951470106104679E-2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2068667</v>
      </c>
      <c r="D180" s="448">
        <f>LN_IE15+LN_IE2</f>
        <v>2187012</v>
      </c>
      <c r="E180" s="448">
        <f>D180-C180</f>
        <v>118345</v>
      </c>
      <c r="F180" s="449">
        <f>IF(C180=0,0,E180/C180)</f>
        <v>5.7208337542968495E-2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7243552</v>
      </c>
      <c r="D181" s="448">
        <f>LN_IE23-LN_IE24</f>
        <v>6576238</v>
      </c>
      <c r="E181" s="448">
        <f>D181-C181</f>
        <v>-667314</v>
      </c>
      <c r="F181" s="449">
        <f>IF(C181=0,0,E181/C181)</f>
        <v>-9.2125244631363179E-2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1096517.439829648</v>
      </c>
      <c r="D183" s="448">
        <f>LN_IE10+LN_IE22</f>
        <v>848481.3161860659</v>
      </c>
      <c r="E183" s="441">
        <f>D183-C183</f>
        <v>-248036.1236435821</v>
      </c>
      <c r="F183" s="449">
        <f>IF(C183=0,0,E183/C183)</f>
        <v>-0.22620353733919302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7154916</v>
      </c>
      <c r="D188" s="448">
        <f>LN_ID1+LN_IE1</f>
        <v>6800898</v>
      </c>
      <c r="E188" s="448">
        <f t="shared" ref="E188:E200" si="20">D188-C188</f>
        <v>-354018</v>
      </c>
      <c r="F188" s="449">
        <f t="shared" ref="F188:F200" si="21">IF(C188=0,0,E188/C188)</f>
        <v>-4.9478987593984329E-2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2338942</v>
      </c>
      <c r="D189" s="448">
        <f>LN_1D2+LN_IE2</f>
        <v>2538766</v>
      </c>
      <c r="E189" s="448">
        <f t="shared" si="20"/>
        <v>199824</v>
      </c>
      <c r="F189" s="449">
        <f t="shared" si="21"/>
        <v>8.5433499419823145E-2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0.32689999435353262</v>
      </c>
      <c r="D190" s="453">
        <f>IF(LN_IF1=0,0,LN_IF2/LN_IF1)</f>
        <v>0.37329864379674565</v>
      </c>
      <c r="E190" s="454">
        <f t="shared" si="20"/>
        <v>4.6398649443213036E-2</v>
      </c>
      <c r="F190" s="449">
        <f t="shared" si="21"/>
        <v>0.141935302063769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398</v>
      </c>
      <c r="D191" s="456">
        <f>LN_ID4+LN_IE4</f>
        <v>432</v>
      </c>
      <c r="E191" s="456">
        <f t="shared" si="20"/>
        <v>34</v>
      </c>
      <c r="F191" s="449">
        <f t="shared" si="21"/>
        <v>8.5427135678391955E-2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0.96739195979899495</v>
      </c>
      <c r="D192" s="459">
        <f>IF((LN_ID4+LN_IE4)=0,0,(LN_ID6+LN_IE6)/(LN_ID4+LN_IE4))</f>
        <v>0.92259814814814822</v>
      </c>
      <c r="E192" s="460">
        <f t="shared" si="20"/>
        <v>-4.4793811650846727E-2</v>
      </c>
      <c r="F192" s="449">
        <f t="shared" si="21"/>
        <v>-4.6303684041527494E-2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385.02199999999999</v>
      </c>
      <c r="D193" s="463">
        <f>LN_IF4*LN_IF5</f>
        <v>398.56240000000003</v>
      </c>
      <c r="E193" s="463">
        <f t="shared" si="20"/>
        <v>13.540400000000034</v>
      </c>
      <c r="F193" s="449">
        <f t="shared" si="21"/>
        <v>3.5167860537839483E-2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6074.8268930087115</v>
      </c>
      <c r="D194" s="465">
        <f>IF(LN_IF6=0,0,LN_IF2/LN_IF6)</f>
        <v>6369.8080902764532</v>
      </c>
      <c r="E194" s="465">
        <f t="shared" si="20"/>
        <v>294.98119726774166</v>
      </c>
      <c r="F194" s="449">
        <f t="shared" si="21"/>
        <v>4.8557959339915406E-2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2188.1615077137294</v>
      </c>
      <c r="D195" s="465">
        <f>LN_IB7-LN_IF7</f>
        <v>2042.7992415384915</v>
      </c>
      <c r="E195" s="465">
        <f t="shared" si="20"/>
        <v>-145.36226617523789</v>
      </c>
      <c r="F195" s="449">
        <f t="shared" si="21"/>
        <v>-6.6431232641103205E-2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3200.7933717989754</v>
      </c>
      <c r="D196" s="465">
        <f>LN_IA7-LN_IF7</f>
        <v>3090.2439335523877</v>
      </c>
      <c r="E196" s="465">
        <f t="shared" si="20"/>
        <v>-110.54943824658767</v>
      </c>
      <c r="F196" s="449">
        <f t="shared" si="21"/>
        <v>-3.4538136457229168E-2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1232375.8655967852</v>
      </c>
      <c r="D197" s="479">
        <f>LN_IF9*LN_IF6</f>
        <v>1231655.0387420803</v>
      </c>
      <c r="E197" s="479">
        <f t="shared" si="20"/>
        <v>-720.82685470487922</v>
      </c>
      <c r="F197" s="449">
        <f t="shared" si="21"/>
        <v>-5.8490828555443565E-4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1452</v>
      </c>
      <c r="D198" s="456">
        <f>LN_ID11+LN_IE11</f>
        <v>1367</v>
      </c>
      <c r="E198" s="456">
        <f t="shared" si="20"/>
        <v>-85</v>
      </c>
      <c r="F198" s="449">
        <f t="shared" si="21"/>
        <v>-5.8539944903581269E-2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1610.8415977961433</v>
      </c>
      <c r="D199" s="519">
        <f>IF(LN_IF11=0,0,LN_IF2/LN_IF11)</f>
        <v>1857.1806876371616</v>
      </c>
      <c r="E199" s="519">
        <f t="shared" si="20"/>
        <v>246.33908984101822</v>
      </c>
      <c r="F199" s="449">
        <f t="shared" si="21"/>
        <v>0.1529257067721895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3.6482412060301508</v>
      </c>
      <c r="D200" s="466">
        <f>IF(LN_IF4=0,0,LN_IF11/LN_IF4)</f>
        <v>3.1643518518518516</v>
      </c>
      <c r="E200" s="466">
        <f t="shared" si="20"/>
        <v>-0.48388935417829915</v>
      </c>
      <c r="F200" s="449">
        <f t="shared" si="21"/>
        <v>-0.13263633812876244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13742581</v>
      </c>
      <c r="D203" s="448">
        <f>LN_ID14+LN_IE14</f>
        <v>13919420</v>
      </c>
      <c r="E203" s="448">
        <f t="shared" ref="E203:E211" si="22">D203-C203</f>
        <v>176839</v>
      </c>
      <c r="F203" s="449">
        <f t="shared" ref="F203:F211" si="23">IF(C203=0,0,E203/C203)</f>
        <v>1.2867961265791339E-2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2291506</v>
      </c>
      <c r="D204" s="448">
        <f>LN_ID15+LN_IE15</f>
        <v>2171606</v>
      </c>
      <c r="E204" s="448">
        <f t="shared" si="22"/>
        <v>-119900</v>
      </c>
      <c r="F204" s="449">
        <f t="shared" si="23"/>
        <v>-5.2323668364822086E-2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0.16674495133046696</v>
      </c>
      <c r="D205" s="453">
        <f>IF(LN_IF14=0,0,LN_IF15/LN_IF14)</f>
        <v>0.15601267868919827</v>
      </c>
      <c r="E205" s="454">
        <f t="shared" si="22"/>
        <v>-1.0732272641268692E-2</v>
      </c>
      <c r="F205" s="449">
        <f t="shared" si="23"/>
        <v>-6.4363403843026787E-2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1.9207187058520323</v>
      </c>
      <c r="D206" s="453">
        <f>IF(LN_IF1=0,0,LN_IF14/LN_IF1)</f>
        <v>2.0467032441892234</v>
      </c>
      <c r="E206" s="454">
        <f t="shared" si="22"/>
        <v>0.12598453833719114</v>
      </c>
      <c r="F206" s="449">
        <f t="shared" si="23"/>
        <v>6.5592394114423067E-2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778.27271375425016</v>
      </c>
      <c r="D207" s="463">
        <f>LN_ID18+LN_IE18</f>
        <v>885.69764103730836</v>
      </c>
      <c r="E207" s="463">
        <f t="shared" si="22"/>
        <v>107.4249272830582</v>
      </c>
      <c r="F207" s="449">
        <f t="shared" si="23"/>
        <v>0.13802992882129878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2944.3483749368261</v>
      </c>
      <c r="D208" s="465">
        <f>IF(LN_IF18=0,0,LN_IF15/LN_IF18)</f>
        <v>2451.859302071377</v>
      </c>
      <c r="E208" s="465">
        <f t="shared" si="22"/>
        <v>-492.48907286544909</v>
      </c>
      <c r="F208" s="449">
        <f t="shared" si="23"/>
        <v>-0.16726589728907876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3437.3279622719347</v>
      </c>
      <c r="D209" s="465">
        <f>LN_IB18-LN_IF19</f>
        <v>4081.25216458051</v>
      </c>
      <c r="E209" s="465">
        <f t="shared" si="22"/>
        <v>643.92420230857533</v>
      </c>
      <c r="F209" s="449">
        <f t="shared" si="23"/>
        <v>0.18733277981510019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2298.3166173368418</v>
      </c>
      <c r="D210" s="465">
        <f>LN_IA16-LN_IF19</f>
        <v>2062.6605219965759</v>
      </c>
      <c r="E210" s="465">
        <f t="shared" si="22"/>
        <v>-235.65609534026589</v>
      </c>
      <c r="F210" s="449">
        <f t="shared" si="23"/>
        <v>-0.10253421724519868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1788717.1108412319</v>
      </c>
      <c r="D211" s="441">
        <f>LN_IF21*LN_IF18</f>
        <v>1826893.5585931505</v>
      </c>
      <c r="E211" s="441">
        <f t="shared" si="22"/>
        <v>38176.447751918575</v>
      </c>
      <c r="F211" s="449">
        <f t="shared" si="23"/>
        <v>2.1342920867998088E-2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20897497</v>
      </c>
      <c r="D214" s="448">
        <f>LN_IF1+LN_IF14</f>
        <v>20720318</v>
      </c>
      <c r="E214" s="448">
        <f>D214-C214</f>
        <v>-177179</v>
      </c>
      <c r="F214" s="449">
        <f>IF(C214=0,0,E214/C214)</f>
        <v>-8.4784795040286406E-3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4630448</v>
      </c>
      <c r="D215" s="448">
        <f>LN_IF2+LN_IF15</f>
        <v>4710372</v>
      </c>
      <c r="E215" s="448">
        <f>D215-C215</f>
        <v>79924</v>
      </c>
      <c r="F215" s="449">
        <f>IF(C215=0,0,E215/C215)</f>
        <v>1.7260532890122079E-2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16267049</v>
      </c>
      <c r="D216" s="448">
        <f>LN_IF23-LN_IF24</f>
        <v>16009946</v>
      </c>
      <c r="E216" s="448">
        <f>D216-C216</f>
        <v>-257103</v>
      </c>
      <c r="F216" s="449">
        <f>IF(C216=0,0,E216/C216)</f>
        <v>-1.5805140809497777E-2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68340</v>
      </c>
      <c r="D221" s="448">
        <v>135837</v>
      </c>
      <c r="E221" s="448">
        <f t="shared" ref="E221:E230" si="24">D221-C221</f>
        <v>67497</v>
      </c>
      <c r="F221" s="449">
        <f t="shared" ref="F221:F230" si="25">IF(C221=0,0,E221/C221)</f>
        <v>0.98766461808604034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50049</v>
      </c>
      <c r="D222" s="448">
        <v>84437</v>
      </c>
      <c r="E222" s="448">
        <f t="shared" si="24"/>
        <v>34388</v>
      </c>
      <c r="F222" s="449">
        <f t="shared" si="25"/>
        <v>0.68708665507802358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0.73235294117647054</v>
      </c>
      <c r="D223" s="453">
        <f>IF(LN_IG1=0,0,LN_IG2/LN_IG1)</f>
        <v>0.62160530635982836</v>
      </c>
      <c r="E223" s="454">
        <f t="shared" si="24"/>
        <v>-0.11074763481664218</v>
      </c>
      <c r="F223" s="449">
        <f t="shared" si="25"/>
        <v>-0.1512216700307564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11</v>
      </c>
      <c r="D224" s="456">
        <v>13</v>
      </c>
      <c r="E224" s="456">
        <f t="shared" si="24"/>
        <v>2</v>
      </c>
      <c r="F224" s="449">
        <f t="shared" si="25"/>
        <v>0.18181818181818182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0.875</v>
      </c>
      <c r="D225" s="459">
        <v>0.66910000000000003</v>
      </c>
      <c r="E225" s="460">
        <f t="shared" si="24"/>
        <v>-0.20589999999999997</v>
      </c>
      <c r="F225" s="449">
        <f t="shared" si="25"/>
        <v>-0.23531428571428567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9.625</v>
      </c>
      <c r="D226" s="463">
        <f>LN_IG3*LN_IG4</f>
        <v>8.6982999999999997</v>
      </c>
      <c r="E226" s="463">
        <f t="shared" si="24"/>
        <v>-0.9267000000000003</v>
      </c>
      <c r="F226" s="449">
        <f t="shared" si="25"/>
        <v>-9.6280519480519508E-2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5199.8961038961043</v>
      </c>
      <c r="D227" s="465">
        <f>IF(LN_IG5=0,0,LN_IG2/LN_IG5)</f>
        <v>9707.299127415703</v>
      </c>
      <c r="E227" s="465">
        <f t="shared" si="24"/>
        <v>4507.4030235195987</v>
      </c>
      <c r="F227" s="449">
        <f t="shared" si="25"/>
        <v>0.86682559294643524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22</v>
      </c>
      <c r="D228" s="456">
        <v>28</v>
      </c>
      <c r="E228" s="456">
        <f t="shared" si="24"/>
        <v>6</v>
      </c>
      <c r="F228" s="449">
        <f t="shared" si="25"/>
        <v>0.27272727272727271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2274.9545454545455</v>
      </c>
      <c r="D229" s="465">
        <f>IF(LN_IG6=0,0,LN_IG2/LN_IG6)</f>
        <v>3015.6071428571427</v>
      </c>
      <c r="E229" s="465">
        <f t="shared" si="24"/>
        <v>740.65259740259717</v>
      </c>
      <c r="F229" s="449">
        <f t="shared" si="25"/>
        <v>0.32556808613273269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2</v>
      </c>
      <c r="D230" s="466">
        <f>IF(LN_IG3=0,0,LN_IG6/LN_IG3)</f>
        <v>2.1538461538461537</v>
      </c>
      <c r="E230" s="466">
        <f t="shared" si="24"/>
        <v>0.15384615384615374</v>
      </c>
      <c r="F230" s="449">
        <f t="shared" si="25"/>
        <v>7.6923076923076872E-2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177520</v>
      </c>
      <c r="D233" s="448">
        <v>199502</v>
      </c>
      <c r="E233" s="448">
        <f>D233-C233</f>
        <v>21982</v>
      </c>
      <c r="F233" s="449">
        <f>IF(C233=0,0,E233/C233)</f>
        <v>0.12382830103650293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35754</v>
      </c>
      <c r="D234" s="448">
        <v>44759</v>
      </c>
      <c r="E234" s="448">
        <f>D234-C234</f>
        <v>9005</v>
      </c>
      <c r="F234" s="449">
        <f>IF(C234=0,0,E234/C234)</f>
        <v>0.25185993175588745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245860</v>
      </c>
      <c r="D237" s="448">
        <f>LN_IG1+LN_IG9</f>
        <v>335339</v>
      </c>
      <c r="E237" s="448">
        <f>D237-C237</f>
        <v>89479</v>
      </c>
      <c r="F237" s="449">
        <f>IF(C237=0,0,E237/C237)</f>
        <v>0.36394289433010657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85803</v>
      </c>
      <c r="D238" s="448">
        <f>LN_IG2+LN_IG10</f>
        <v>129196</v>
      </c>
      <c r="E238" s="448">
        <f>D238-C238</f>
        <v>43393</v>
      </c>
      <c r="F238" s="449">
        <f>IF(C238=0,0,E238/C238)</f>
        <v>0.50572823794039834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160057</v>
      </c>
      <c r="D239" s="448">
        <f>LN_IG13-LN_IG14</f>
        <v>206143</v>
      </c>
      <c r="E239" s="448">
        <f>D239-C239</f>
        <v>46086</v>
      </c>
      <c r="F239" s="449">
        <f>IF(C239=0,0,E239/C239)</f>
        <v>0.28793492318361585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851556</v>
      </c>
      <c r="D243" s="448">
        <v>661116</v>
      </c>
      <c r="E243" s="441">
        <f>D243-C243</f>
        <v>-190440</v>
      </c>
      <c r="F243" s="503">
        <f>IF(C243=0,0,E243/C243)</f>
        <v>-0.22363767033524512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50076702</v>
      </c>
      <c r="D244" s="448">
        <v>49518354</v>
      </c>
      <c r="E244" s="441">
        <f>D244-C244</f>
        <v>-558348</v>
      </c>
      <c r="F244" s="503">
        <f>IF(C244=0,0,E244/C244)</f>
        <v>-1.114985567539971E-2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741722</v>
      </c>
      <c r="D248" s="441">
        <v>536593</v>
      </c>
      <c r="E248" s="441">
        <f>D248-C248</f>
        <v>-205129</v>
      </c>
      <c r="F248" s="449">
        <f>IF(C248=0,0,E248/C248)</f>
        <v>-0.27655779389043333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1930565</v>
      </c>
      <c r="D249" s="441">
        <v>2583830</v>
      </c>
      <c r="E249" s="441">
        <f>D249-C249</f>
        <v>653265</v>
      </c>
      <c r="F249" s="449">
        <f>IF(C249=0,0,E249/C249)</f>
        <v>0.33838021511837207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2672287</v>
      </c>
      <c r="D250" s="441">
        <f>LN_IH4+LN_IH5</f>
        <v>3120423</v>
      </c>
      <c r="E250" s="441">
        <f>D250-C250</f>
        <v>448136</v>
      </c>
      <c r="F250" s="449">
        <f>IF(C250=0,0,E250/C250)</f>
        <v>0.16769755643761317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923794.32267655199</v>
      </c>
      <c r="D251" s="441">
        <f>LN_IH6*LN_III10</f>
        <v>1067119.4585378696</v>
      </c>
      <c r="E251" s="441">
        <f>D251-C251</f>
        <v>143325.13586131763</v>
      </c>
      <c r="F251" s="449">
        <f>IF(C251=0,0,E251/C251)</f>
        <v>0.15514831856300554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20897497</v>
      </c>
      <c r="D254" s="441">
        <f>LN_IF23</f>
        <v>20720318</v>
      </c>
      <c r="E254" s="441">
        <f>D254-C254</f>
        <v>-177179</v>
      </c>
      <c r="F254" s="449">
        <f>IF(C254=0,0,E254/C254)</f>
        <v>-8.4784795040286406E-3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4630448</v>
      </c>
      <c r="D255" s="441">
        <f>LN_IF24</f>
        <v>4710372</v>
      </c>
      <c r="E255" s="441">
        <f>D255-C255</f>
        <v>79924</v>
      </c>
      <c r="F255" s="449">
        <f>IF(C255=0,0,E255/C255)</f>
        <v>1.7260532890122079E-2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7224145.1186756054</v>
      </c>
      <c r="D256" s="441">
        <f>LN_IH8*LN_III10</f>
        <v>7085915.7636296349</v>
      </c>
      <c r="E256" s="441">
        <f>D256-C256</f>
        <v>-138229.35504597053</v>
      </c>
      <c r="F256" s="449">
        <f>IF(C256=0,0,E256/C256)</f>
        <v>-1.9134354691827116E-2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2593697.1186756054</v>
      </c>
      <c r="D257" s="441">
        <f>LN_IH10-LN_IH9</f>
        <v>2375543.7636296349</v>
      </c>
      <c r="E257" s="441">
        <f>D257-C257</f>
        <v>-218153.35504597053</v>
      </c>
      <c r="F257" s="449">
        <f>IF(C257=0,0,E257/C257)</f>
        <v>-8.4109032421397015E-2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53524192</v>
      </c>
      <c r="D261" s="448">
        <f>LN_IA1+LN_IB1+LN_IF1+LN_IG1</f>
        <v>50057747</v>
      </c>
      <c r="E261" s="448">
        <f t="shared" ref="E261:E274" si="26">D261-C261</f>
        <v>-3466445</v>
      </c>
      <c r="F261" s="503">
        <f t="shared" ref="F261:F274" si="27">IF(C261=0,0,E261/C261)</f>
        <v>-6.4764079016830373E-2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22405181</v>
      </c>
      <c r="D262" s="448">
        <f>+LN_IA2+LN_IB2+LN_IF2+LN_IG2</f>
        <v>22857224</v>
      </c>
      <c r="E262" s="448">
        <f t="shared" si="26"/>
        <v>452043</v>
      </c>
      <c r="F262" s="503">
        <f t="shared" si="27"/>
        <v>2.017582451130388E-2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0.41859914485023891</v>
      </c>
      <c r="D263" s="453">
        <f>IF(LN_IIA1=0,0,LN_IIA2/LN_IIA1)</f>
        <v>0.45661711462962967</v>
      </c>
      <c r="E263" s="454">
        <f t="shared" si="26"/>
        <v>3.8017969779390759E-2</v>
      </c>
      <c r="F263" s="458">
        <f t="shared" si="27"/>
        <v>9.0821900252549118E-2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2466</v>
      </c>
      <c r="D264" s="456">
        <f>LN_IA4+LN_IB4+LN_IF4+LN_IG3</f>
        <v>2410</v>
      </c>
      <c r="E264" s="456">
        <f t="shared" si="26"/>
        <v>-56</v>
      </c>
      <c r="F264" s="503">
        <f t="shared" si="27"/>
        <v>-2.2708840227088401E-2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1.060227615571776</v>
      </c>
      <c r="D265" s="525">
        <f>IF(LN_IIA4=0,0,LN_IIA6/LN_IIA4)</f>
        <v>1.0830366804979255</v>
      </c>
      <c r="E265" s="525">
        <f t="shared" si="26"/>
        <v>2.2809064926149425E-2</v>
      </c>
      <c r="F265" s="503">
        <f t="shared" si="27"/>
        <v>2.1513366178307475E-2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2614.5212999999999</v>
      </c>
      <c r="D266" s="463">
        <f>LN_IA6+LN_IB6+LN_IF6+LN_IG5</f>
        <v>2610.1184000000003</v>
      </c>
      <c r="E266" s="463">
        <f t="shared" si="26"/>
        <v>-4.4028999999995904</v>
      </c>
      <c r="F266" s="503">
        <f t="shared" si="27"/>
        <v>-1.6840176440710544E-3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90081833</v>
      </c>
      <c r="D267" s="448">
        <f>LN_IA11+LN_IB13+LN_IF14+LN_IG9</f>
        <v>92988087</v>
      </c>
      <c r="E267" s="448">
        <f t="shared" si="26"/>
        <v>2906254</v>
      </c>
      <c r="F267" s="503">
        <f t="shared" si="27"/>
        <v>3.2262376366164754E-2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1.6830115436399302</v>
      </c>
      <c r="D268" s="453">
        <f>IF(LN_IIA1=0,0,LN_IIA7/LN_IIA1)</f>
        <v>1.8576163046251362</v>
      </c>
      <c r="E268" s="454">
        <f t="shared" si="26"/>
        <v>0.17460476098520594</v>
      </c>
      <c r="F268" s="458">
        <f t="shared" si="27"/>
        <v>0.10374543278983091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26660068</v>
      </c>
      <c r="D269" s="448">
        <f>LN_IA12+LN_IB14+LN_IF15+LN_IG10</f>
        <v>26061459</v>
      </c>
      <c r="E269" s="448">
        <f t="shared" si="26"/>
        <v>-598609</v>
      </c>
      <c r="F269" s="503">
        <f t="shared" si="27"/>
        <v>-2.2453393592244401E-2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0.29595388006813761</v>
      </c>
      <c r="D270" s="453">
        <f>IF(LN_IIA7=0,0,LN_IIA9/LN_IIA7)</f>
        <v>0.28026664318839034</v>
      </c>
      <c r="E270" s="454">
        <f t="shared" si="26"/>
        <v>-1.5687236879747268E-2</v>
      </c>
      <c r="F270" s="458">
        <f t="shared" si="27"/>
        <v>-5.3005680736929649E-2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143606025</v>
      </c>
      <c r="D271" s="441">
        <f>LN_IIA1+LN_IIA7</f>
        <v>143045834</v>
      </c>
      <c r="E271" s="441">
        <f t="shared" si="26"/>
        <v>-560191</v>
      </c>
      <c r="F271" s="503">
        <f t="shared" si="27"/>
        <v>-3.9008878631659081E-3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49065249</v>
      </c>
      <c r="D272" s="441">
        <f>LN_IIA2+LN_IIA9</f>
        <v>48918683</v>
      </c>
      <c r="E272" s="441">
        <f t="shared" si="26"/>
        <v>-146566</v>
      </c>
      <c r="F272" s="503">
        <f t="shared" si="27"/>
        <v>-2.9871651115028481E-3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0.34166567175715645</v>
      </c>
      <c r="D273" s="453">
        <f>IF(LN_IIA11=0,0,LN_IIA12/LN_IIA11)</f>
        <v>0.3419790820332454</v>
      </c>
      <c r="E273" s="454">
        <f t="shared" si="26"/>
        <v>3.1341027608894345E-4</v>
      </c>
      <c r="F273" s="458">
        <f t="shared" si="27"/>
        <v>9.1730104015747915E-4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11029</v>
      </c>
      <c r="D274" s="508">
        <f>LN_IA8+LN_IB10+LN_IF11+LN_IG6</f>
        <v>9789</v>
      </c>
      <c r="E274" s="528">
        <f t="shared" si="26"/>
        <v>-1240</v>
      </c>
      <c r="F274" s="458">
        <f t="shared" si="27"/>
        <v>-0.11243086408559252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43653434</v>
      </c>
      <c r="D277" s="448">
        <f>LN_IA1+LN_IF1+LN_IG1</f>
        <v>39871942</v>
      </c>
      <c r="E277" s="448">
        <f t="shared" ref="E277:E291" si="28">D277-C277</f>
        <v>-3781492</v>
      </c>
      <c r="F277" s="503">
        <f t="shared" ref="F277:F291" si="29">IF(C277=0,0,E277/C277)</f>
        <v>-8.6625304208599027E-2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17717139</v>
      </c>
      <c r="D278" s="448">
        <f>LN_IA2+LN_IF2+LN_IG2</f>
        <v>17997111</v>
      </c>
      <c r="E278" s="448">
        <f t="shared" si="28"/>
        <v>279972</v>
      </c>
      <c r="F278" s="503">
        <f t="shared" si="29"/>
        <v>1.580232564636988E-2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0.40585899840090472</v>
      </c>
      <c r="D279" s="453">
        <f>IF(D277=0,0,LN_IIB2/D277)</f>
        <v>0.4513728225226652</v>
      </c>
      <c r="E279" s="454">
        <f t="shared" si="28"/>
        <v>4.5513824121760471E-2</v>
      </c>
      <c r="F279" s="458">
        <f t="shared" si="29"/>
        <v>0.11214196137349708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1819</v>
      </c>
      <c r="D280" s="456">
        <f>LN_IA4+LN_IF4+LN_IG3</f>
        <v>1764</v>
      </c>
      <c r="E280" s="456">
        <f t="shared" si="28"/>
        <v>-55</v>
      </c>
      <c r="F280" s="503">
        <f t="shared" si="29"/>
        <v>-3.0236393622869707E-2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1.1254354040681693</v>
      </c>
      <c r="D281" s="525">
        <f>IF(LN_IIB4=0,0,LN_IIB6/LN_IIB4)</f>
        <v>1.1521545351473923</v>
      </c>
      <c r="E281" s="525">
        <f t="shared" si="28"/>
        <v>2.6719131079222969E-2</v>
      </c>
      <c r="F281" s="503">
        <f t="shared" si="29"/>
        <v>2.3741150298488879E-2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2047.1669999999999</v>
      </c>
      <c r="D282" s="463">
        <f>LN_IA6+LN_IF6+LN_IG5</f>
        <v>2032.4005999999999</v>
      </c>
      <c r="E282" s="463">
        <f t="shared" si="28"/>
        <v>-14.766399999999976</v>
      </c>
      <c r="F282" s="503">
        <f t="shared" si="29"/>
        <v>-7.213090089865642E-3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48860337</v>
      </c>
      <c r="D283" s="448">
        <f>LN_IA11+LN_IF14+LN_IG9</f>
        <v>51943412</v>
      </c>
      <c r="E283" s="448">
        <f t="shared" si="28"/>
        <v>3083075</v>
      </c>
      <c r="F283" s="503">
        <f t="shared" si="29"/>
        <v>6.3099748984539336E-2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1.1192781992820999</v>
      </c>
      <c r="D284" s="453">
        <f>IF(D277=0,0,LN_IIB7/D277)</f>
        <v>1.302756008222524</v>
      </c>
      <c r="E284" s="454">
        <f t="shared" si="28"/>
        <v>0.18347780894042409</v>
      </c>
      <c r="F284" s="458">
        <f t="shared" si="29"/>
        <v>0.1639251162562676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9417089</v>
      </c>
      <c r="D285" s="448">
        <f>LN_IA12+LN_IF15+LN_IG10</f>
        <v>9054994</v>
      </c>
      <c r="E285" s="448">
        <f t="shared" si="28"/>
        <v>-362095</v>
      </c>
      <c r="F285" s="503">
        <f t="shared" si="29"/>
        <v>-3.8450841868437266E-2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0.19273483520999865</v>
      </c>
      <c r="D286" s="453">
        <f>IF(LN_IIB7=0,0,LN_IIB9/LN_IIB7)</f>
        <v>0.17432420496366316</v>
      </c>
      <c r="E286" s="454">
        <f t="shared" si="28"/>
        <v>-1.8410630246335491E-2</v>
      </c>
      <c r="F286" s="458">
        <f t="shared" si="29"/>
        <v>-9.5523106792167425E-2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92513771</v>
      </c>
      <c r="D287" s="441">
        <f>D277+LN_IIB7</f>
        <v>91815354</v>
      </c>
      <c r="E287" s="441">
        <f t="shared" si="28"/>
        <v>-698417</v>
      </c>
      <c r="F287" s="503">
        <f t="shared" si="29"/>
        <v>-7.5493301424282011E-3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27134228</v>
      </c>
      <c r="D288" s="441">
        <f>LN_IIB2+LN_IIB9</f>
        <v>27052105</v>
      </c>
      <c r="E288" s="441">
        <f t="shared" si="28"/>
        <v>-82123</v>
      </c>
      <c r="F288" s="503">
        <f t="shared" si="29"/>
        <v>-3.0265463974136282E-3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0.29329934026794779</v>
      </c>
      <c r="D289" s="453">
        <f>IF(LN_IIB11=0,0,LN_IIB12/LN_IIB11)</f>
        <v>0.29463596034275485</v>
      </c>
      <c r="E289" s="454">
        <f t="shared" si="28"/>
        <v>1.33662007480706E-3</v>
      </c>
      <c r="F289" s="458">
        <f t="shared" si="29"/>
        <v>4.5571874576532346E-3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9161</v>
      </c>
      <c r="D290" s="508">
        <f>LN_IA8+LN_IF11+LN_IG6</f>
        <v>7953</v>
      </c>
      <c r="E290" s="528">
        <f t="shared" si="28"/>
        <v>-1208</v>
      </c>
      <c r="F290" s="458">
        <f t="shared" si="29"/>
        <v>-0.13186333369719463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65379543</v>
      </c>
      <c r="D291" s="516">
        <f>LN_IIB11-LN_IIB12</f>
        <v>64763249</v>
      </c>
      <c r="E291" s="441">
        <f t="shared" si="28"/>
        <v>-616294</v>
      </c>
      <c r="F291" s="503">
        <f t="shared" si="29"/>
        <v>-9.4264042194360399E-3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5.4517730496453902</v>
      </c>
      <c r="D294" s="466">
        <f>IF(LN_IA4=0,0,LN_IA8/LN_IA4)</f>
        <v>4.9719484457922665</v>
      </c>
      <c r="E294" s="466">
        <f t="shared" ref="E294:E300" si="30">D294-C294</f>
        <v>-0.47982460385312375</v>
      </c>
      <c r="F294" s="503">
        <f t="shared" ref="F294:F300" si="31">IF(C294=0,0,E294/C294)</f>
        <v>-8.8012578565487762E-2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2.8871715610510047</v>
      </c>
      <c r="D295" s="466">
        <f>IF(LN_IB4=0,0,(LN_IB10)/(LN_IB4))</f>
        <v>2.8421052631578947</v>
      </c>
      <c r="E295" s="466">
        <f t="shared" si="30"/>
        <v>-4.5066297893110008E-2</v>
      </c>
      <c r="F295" s="503">
        <f t="shared" si="31"/>
        <v>-1.5609151358052556E-2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2.7555555555555555</v>
      </c>
      <c r="D296" s="466">
        <f>IF(LN_IC4=0,0,LN_IC11/LN_IC4)</f>
        <v>2.1176470588235294</v>
      </c>
      <c r="E296" s="466">
        <f t="shared" si="30"/>
        <v>-0.6379084967320261</v>
      </c>
      <c r="F296" s="503">
        <f t="shared" si="31"/>
        <v>-0.23149905123339656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3.6301369863013697</v>
      </c>
      <c r="D297" s="466">
        <f>IF(LN_ID4=0,0,LN_ID11/LN_ID4)</f>
        <v>3.0671641791044775</v>
      </c>
      <c r="E297" s="466">
        <f t="shared" si="30"/>
        <v>-0.56297280719689224</v>
      </c>
      <c r="F297" s="503">
        <f t="shared" si="31"/>
        <v>-0.15508307519008729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3.6703910614525141</v>
      </c>
      <c r="D298" s="466">
        <f>IF(LN_IE4=0,0,LN_IE11/LN_IE4)</f>
        <v>3.3231707317073171</v>
      </c>
      <c r="E298" s="466">
        <f t="shared" si="30"/>
        <v>-0.34722032974519701</v>
      </c>
      <c r="F298" s="503">
        <f t="shared" si="31"/>
        <v>-9.4600363811857324E-2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</v>
      </c>
      <c r="D299" s="466">
        <f>IF(LN_IG3=0,0,LN_IG6/LN_IG3)</f>
        <v>2.1538461538461537</v>
      </c>
      <c r="E299" s="466">
        <f t="shared" si="30"/>
        <v>0.15384615384615374</v>
      </c>
      <c r="F299" s="503">
        <f t="shared" si="31"/>
        <v>7.6923076923076872E-2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4.4724249797242495</v>
      </c>
      <c r="D300" s="466">
        <f>IF(LN_IIA4=0,0,LN_IIA14/LN_IIA4)</f>
        <v>4.0618257261410786</v>
      </c>
      <c r="E300" s="466">
        <f t="shared" si="30"/>
        <v>-0.41059925358317084</v>
      </c>
      <c r="F300" s="503">
        <f t="shared" si="31"/>
        <v>-9.1806850968909184E-2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143606025</v>
      </c>
      <c r="D304" s="441">
        <f>LN_IIA11</f>
        <v>143045834</v>
      </c>
      <c r="E304" s="441">
        <f t="shared" ref="E304:E316" si="32">D304-C304</f>
        <v>-560191</v>
      </c>
      <c r="F304" s="449">
        <f>IF(C304=0,0,E304/C304)</f>
        <v>-3.9008878631659081E-3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65379543</v>
      </c>
      <c r="D305" s="441">
        <f>LN_IIB14</f>
        <v>64763249</v>
      </c>
      <c r="E305" s="441">
        <f t="shared" si="32"/>
        <v>-616294</v>
      </c>
      <c r="F305" s="449">
        <f>IF(C305=0,0,E305/C305)</f>
        <v>-9.4264042194360399E-3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2672287</v>
      </c>
      <c r="D306" s="441">
        <f>LN_IH6</f>
        <v>3120423</v>
      </c>
      <c r="E306" s="441">
        <f t="shared" si="32"/>
        <v>448136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25256860</v>
      </c>
      <c r="D307" s="441">
        <f>LN_IB32-LN_IB33</f>
        <v>25303158</v>
      </c>
      <c r="E307" s="441">
        <f t="shared" si="32"/>
        <v>46298</v>
      </c>
      <c r="F307" s="449">
        <f t="shared" ref="F307:F316" si="33">IF(C307=0,0,E307/C307)</f>
        <v>1.8330861397655924E-3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653554</v>
      </c>
      <c r="D308" s="441">
        <v>940318</v>
      </c>
      <c r="E308" s="441">
        <f t="shared" si="32"/>
        <v>286764</v>
      </c>
      <c r="F308" s="449">
        <f t="shared" si="33"/>
        <v>0.43877629086502418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93962244</v>
      </c>
      <c r="D309" s="441">
        <f>LN_III2+LN_III3+LN_III4+LN_III5</f>
        <v>94127148</v>
      </c>
      <c r="E309" s="441">
        <f t="shared" si="32"/>
        <v>164904</v>
      </c>
      <c r="F309" s="449">
        <f t="shared" si="33"/>
        <v>1.7550027860126457E-3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49643781</v>
      </c>
      <c r="D310" s="441">
        <f>LN_III1-LN_III6</f>
        <v>48918686</v>
      </c>
      <c r="E310" s="441">
        <f t="shared" si="32"/>
        <v>-725095</v>
      </c>
      <c r="F310" s="449">
        <f t="shared" si="33"/>
        <v>-1.4605958397890764E-2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49643781</v>
      </c>
      <c r="D312" s="441">
        <f>LN_III7+LN_III8</f>
        <v>48918686</v>
      </c>
      <c r="E312" s="441">
        <f t="shared" si="32"/>
        <v>-725095</v>
      </c>
      <c r="F312" s="449">
        <f t="shared" si="33"/>
        <v>-1.4605958397890764E-2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0.34569427710292794</v>
      </c>
      <c r="D313" s="532">
        <f>IF(LN_III1=0,0,LN_III9/LN_III1)</f>
        <v>0.34197910300554435</v>
      </c>
      <c r="E313" s="532">
        <f t="shared" si="32"/>
        <v>-3.7151740973835889E-3</v>
      </c>
      <c r="F313" s="449">
        <f t="shared" si="33"/>
        <v>-1.0746993350651921E-2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923794.32267655199</v>
      </c>
      <c r="D314" s="441">
        <f>D313*LN_III5</f>
        <v>1067119.4585378696</v>
      </c>
      <c r="E314" s="441">
        <f t="shared" si="32"/>
        <v>143325.13586131763</v>
      </c>
      <c r="F314" s="449">
        <f t="shared" si="33"/>
        <v>0.15514831856300554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2593697.1186756054</v>
      </c>
      <c r="D315" s="441">
        <f>D313*LN_IH8-LN_IH9</f>
        <v>2375543.7636296349</v>
      </c>
      <c r="E315" s="441">
        <f t="shared" si="32"/>
        <v>-218153.35504597053</v>
      </c>
      <c r="F315" s="449">
        <f t="shared" si="33"/>
        <v>-8.4109032421397015E-2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3517491.4413521574</v>
      </c>
      <c r="D318" s="441">
        <f>D314+D315+D316</f>
        <v>3442663.2221675045</v>
      </c>
      <c r="E318" s="441">
        <f>D318-C318</f>
        <v>-74828.219184652902</v>
      </c>
      <c r="F318" s="449">
        <f>IF(C318=0,0,E318/C318)</f>
        <v>-2.1273177328866001E-2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1026642.0170012238</v>
      </c>
      <c r="D322" s="441">
        <f>LN_ID22</f>
        <v>1047179.9051958697</v>
      </c>
      <c r="E322" s="441">
        <f>LN_IV2-C322</f>
        <v>20537.888194645988</v>
      </c>
      <c r="F322" s="449">
        <f>IF(C322=0,0,E322/C322)</f>
        <v>2.0004916859565378E-2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1096517.439829648</v>
      </c>
      <c r="D323" s="441">
        <f>LN_IE10+LN_IE22</f>
        <v>848481.3161860659</v>
      </c>
      <c r="E323" s="441">
        <f>LN_IV3-C323</f>
        <v>-248036.1236435821</v>
      </c>
      <c r="F323" s="449">
        <f>IF(C323=0,0,E323/C323)</f>
        <v>-0.22620353733919302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1403330.7283241358</v>
      </c>
      <c r="D324" s="441">
        <f>LN_IC10+LN_IC22</f>
        <v>1005720.8169608434</v>
      </c>
      <c r="E324" s="441">
        <f>LN_IV1-C324</f>
        <v>-397609.91136329237</v>
      </c>
      <c r="F324" s="449">
        <f>IF(C324=0,0,E324/C324)</f>
        <v>-0.28333300435751169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3526490.1851550075</v>
      </c>
      <c r="D325" s="516">
        <f>LN_IV1+LN_IV2+LN_IV3</f>
        <v>2901382.038342779</v>
      </c>
      <c r="E325" s="441">
        <f>LN_IV4-C325</f>
        <v>-625108.14681222849</v>
      </c>
      <c r="F325" s="449">
        <f>IF(C325=0,0,E325/C325)</f>
        <v>-0.17726070795366519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1159710</v>
      </c>
      <c r="D329" s="518">
        <v>1677617</v>
      </c>
      <c r="E329" s="518">
        <f t="shared" ref="E329:E335" si="34">D329-C329</f>
        <v>517907</v>
      </c>
      <c r="F329" s="542">
        <f t="shared" ref="F329:F335" si="35">IF(C329=0,0,E329/C329)</f>
        <v>0.44658319752351883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420328</v>
      </c>
      <c r="D330" s="516">
        <v>235741</v>
      </c>
      <c r="E330" s="518">
        <f t="shared" si="34"/>
        <v>-184587</v>
      </c>
      <c r="F330" s="543">
        <f t="shared" si="35"/>
        <v>-0.43914990198130982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49485574</v>
      </c>
      <c r="D331" s="516">
        <v>49154424</v>
      </c>
      <c r="E331" s="518">
        <f t="shared" si="34"/>
        <v>-331150</v>
      </c>
      <c r="F331" s="542">
        <f t="shared" si="35"/>
        <v>-6.6918492245841184E-3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143606025</v>
      </c>
      <c r="D333" s="516">
        <v>143045833</v>
      </c>
      <c r="E333" s="518">
        <f t="shared" si="34"/>
        <v>-560192</v>
      </c>
      <c r="F333" s="542">
        <f t="shared" si="35"/>
        <v>-3.9008948266620429E-3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2672287</v>
      </c>
      <c r="D335" s="516">
        <v>3120423</v>
      </c>
      <c r="E335" s="516">
        <f t="shared" si="34"/>
        <v>448136</v>
      </c>
      <c r="F335" s="542">
        <f t="shared" si="35"/>
        <v>0.16769755643761317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75" bottom="0.75" header="0.3" footer="0.3"/>
  <pageSetup scale="81" fitToHeight="0" orientation="portrait" r:id="rId1"/>
  <headerFooter>
    <oddHeader>&amp;LOFFICE OF HEALTH CARE ACCESS&amp;CTWELVE MONTHS ACTUAL FILING&amp;RESSENT-SHARON HOSPITAL</oddHeader>
    <oddFooter>&amp;L&amp;"Arial,Regular"REPORT 500&amp;C&amp;"Arial,Regular"&amp;P of &amp;N&amp;R&amp;"Arial,Regular"&amp;D,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108.140625" style="660" bestFit="1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9870758</v>
      </c>
      <c r="D14" s="589">
        <v>10185805</v>
      </c>
      <c r="E14" s="590">
        <f t="shared" ref="E14:E22" si="0">D14-C14</f>
        <v>315047</v>
      </c>
    </row>
    <row r="15" spans="1:5" s="421" customFormat="1" x14ac:dyDescent="0.2">
      <c r="A15" s="588">
        <v>2</v>
      </c>
      <c r="B15" s="587" t="s">
        <v>635</v>
      </c>
      <c r="C15" s="589">
        <v>36430178</v>
      </c>
      <c r="D15" s="591">
        <v>32935207</v>
      </c>
      <c r="E15" s="590">
        <f t="shared" si="0"/>
        <v>-3494971</v>
      </c>
    </row>
    <row r="16" spans="1:5" s="421" customFormat="1" x14ac:dyDescent="0.2">
      <c r="A16" s="588">
        <v>3</v>
      </c>
      <c r="B16" s="587" t="s">
        <v>777</v>
      </c>
      <c r="C16" s="589">
        <v>7154916</v>
      </c>
      <c r="D16" s="591">
        <v>6800898</v>
      </c>
      <c r="E16" s="590">
        <f t="shared" si="0"/>
        <v>-354018</v>
      </c>
    </row>
    <row r="17" spans="1:5" s="421" customFormat="1" x14ac:dyDescent="0.2">
      <c r="A17" s="588">
        <v>4</v>
      </c>
      <c r="B17" s="587" t="s">
        <v>115</v>
      </c>
      <c r="C17" s="589">
        <v>3561353</v>
      </c>
      <c r="D17" s="591">
        <v>3885345</v>
      </c>
      <c r="E17" s="590">
        <f t="shared" si="0"/>
        <v>323992</v>
      </c>
    </row>
    <row r="18" spans="1:5" s="421" customFormat="1" x14ac:dyDescent="0.2">
      <c r="A18" s="588">
        <v>5</v>
      </c>
      <c r="B18" s="587" t="s">
        <v>743</v>
      </c>
      <c r="C18" s="589">
        <v>3593563</v>
      </c>
      <c r="D18" s="591">
        <v>2915553</v>
      </c>
      <c r="E18" s="590">
        <f t="shared" si="0"/>
        <v>-678010</v>
      </c>
    </row>
    <row r="19" spans="1:5" s="421" customFormat="1" x14ac:dyDescent="0.2">
      <c r="A19" s="588">
        <v>6</v>
      </c>
      <c r="B19" s="587" t="s">
        <v>424</v>
      </c>
      <c r="C19" s="589">
        <v>68340</v>
      </c>
      <c r="D19" s="591">
        <v>135837</v>
      </c>
      <c r="E19" s="590">
        <f t="shared" si="0"/>
        <v>67497</v>
      </c>
    </row>
    <row r="20" spans="1:5" s="421" customFormat="1" x14ac:dyDescent="0.2">
      <c r="A20" s="588">
        <v>7</v>
      </c>
      <c r="B20" s="587" t="s">
        <v>758</v>
      </c>
      <c r="C20" s="589">
        <v>365024</v>
      </c>
      <c r="D20" s="591">
        <v>635979</v>
      </c>
      <c r="E20" s="590">
        <f t="shared" si="0"/>
        <v>270955</v>
      </c>
    </row>
    <row r="21" spans="1:5" s="421" customFormat="1" x14ac:dyDescent="0.2">
      <c r="A21" s="588"/>
      <c r="B21" s="592" t="s">
        <v>778</v>
      </c>
      <c r="C21" s="593">
        <f>SUM(C15+C16+C19)</f>
        <v>43653434</v>
      </c>
      <c r="D21" s="593">
        <f>SUM(D15+D16+D19)</f>
        <v>39871942</v>
      </c>
      <c r="E21" s="593">
        <f t="shared" si="0"/>
        <v>-3781492</v>
      </c>
    </row>
    <row r="22" spans="1:5" s="421" customFormat="1" x14ac:dyDescent="0.2">
      <c r="A22" s="588"/>
      <c r="B22" s="592" t="s">
        <v>465</v>
      </c>
      <c r="C22" s="593">
        <f>SUM(C14+C21)</f>
        <v>53524192</v>
      </c>
      <c r="D22" s="593">
        <f>SUM(D14+D21)</f>
        <v>50057747</v>
      </c>
      <c r="E22" s="593">
        <f t="shared" si="0"/>
        <v>-3466445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41221496</v>
      </c>
      <c r="D25" s="589">
        <v>41044675</v>
      </c>
      <c r="E25" s="590">
        <f t="shared" ref="E25:E33" si="1">D25-C25</f>
        <v>-176821</v>
      </c>
    </row>
    <row r="26" spans="1:5" s="421" customFormat="1" x14ac:dyDescent="0.2">
      <c r="A26" s="588">
        <v>2</v>
      </c>
      <c r="B26" s="587" t="s">
        <v>635</v>
      </c>
      <c r="C26" s="589">
        <v>34940236</v>
      </c>
      <c r="D26" s="591">
        <v>37824490</v>
      </c>
      <c r="E26" s="590">
        <f t="shared" si="1"/>
        <v>2884254</v>
      </c>
    </row>
    <row r="27" spans="1:5" s="421" customFormat="1" x14ac:dyDescent="0.2">
      <c r="A27" s="588">
        <v>3</v>
      </c>
      <c r="B27" s="587" t="s">
        <v>777</v>
      </c>
      <c r="C27" s="589">
        <v>13742581</v>
      </c>
      <c r="D27" s="591">
        <v>13919420</v>
      </c>
      <c r="E27" s="590">
        <f t="shared" si="1"/>
        <v>176839</v>
      </c>
    </row>
    <row r="28" spans="1:5" s="421" customFormat="1" x14ac:dyDescent="0.2">
      <c r="A28" s="588">
        <v>4</v>
      </c>
      <c r="B28" s="587" t="s">
        <v>115</v>
      </c>
      <c r="C28" s="589">
        <v>8023925</v>
      </c>
      <c r="D28" s="591">
        <v>8071723</v>
      </c>
      <c r="E28" s="590">
        <f t="shared" si="1"/>
        <v>47798</v>
      </c>
    </row>
    <row r="29" spans="1:5" s="421" customFormat="1" x14ac:dyDescent="0.2">
      <c r="A29" s="588">
        <v>5</v>
      </c>
      <c r="B29" s="587" t="s">
        <v>743</v>
      </c>
      <c r="C29" s="589">
        <v>5718656</v>
      </c>
      <c r="D29" s="591">
        <v>5847697</v>
      </c>
      <c r="E29" s="590">
        <f t="shared" si="1"/>
        <v>129041</v>
      </c>
    </row>
    <row r="30" spans="1:5" s="421" customFormat="1" x14ac:dyDescent="0.2">
      <c r="A30" s="588">
        <v>6</v>
      </c>
      <c r="B30" s="587" t="s">
        <v>424</v>
      </c>
      <c r="C30" s="589">
        <v>177520</v>
      </c>
      <c r="D30" s="591">
        <v>199502</v>
      </c>
      <c r="E30" s="590">
        <f t="shared" si="1"/>
        <v>21982</v>
      </c>
    </row>
    <row r="31" spans="1:5" s="421" customFormat="1" x14ac:dyDescent="0.2">
      <c r="A31" s="588">
        <v>7</v>
      </c>
      <c r="B31" s="587" t="s">
        <v>758</v>
      </c>
      <c r="C31" s="590">
        <v>2051499</v>
      </c>
      <c r="D31" s="594">
        <v>2223333</v>
      </c>
      <c r="E31" s="590">
        <f t="shared" si="1"/>
        <v>171834</v>
      </c>
    </row>
    <row r="32" spans="1:5" s="421" customFormat="1" x14ac:dyDescent="0.2">
      <c r="A32" s="588"/>
      <c r="B32" s="592" t="s">
        <v>780</v>
      </c>
      <c r="C32" s="593">
        <f>SUM(C26+C27+C30)</f>
        <v>48860337</v>
      </c>
      <c r="D32" s="593">
        <f>SUM(D26+D27+D30)</f>
        <v>51943412</v>
      </c>
      <c r="E32" s="593">
        <f t="shared" si="1"/>
        <v>3083075</v>
      </c>
    </row>
    <row r="33" spans="1:5" s="421" customFormat="1" x14ac:dyDescent="0.2">
      <c r="A33" s="588"/>
      <c r="B33" s="592" t="s">
        <v>467</v>
      </c>
      <c r="C33" s="593">
        <f>SUM(C25+C32)</f>
        <v>90081833</v>
      </c>
      <c r="D33" s="593">
        <f>SUM(D25+D32)</f>
        <v>92988087</v>
      </c>
      <c r="E33" s="593">
        <f t="shared" si="1"/>
        <v>2906254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51092254</v>
      </c>
      <c r="D36" s="590">
        <f t="shared" si="2"/>
        <v>51230480</v>
      </c>
      <c r="E36" s="590">
        <f t="shared" ref="E36:E44" si="3">D36-C36</f>
        <v>138226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71370414</v>
      </c>
      <c r="D37" s="590">
        <f t="shared" si="2"/>
        <v>70759697</v>
      </c>
      <c r="E37" s="590">
        <f t="shared" si="3"/>
        <v>-610717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20897497</v>
      </c>
      <c r="D38" s="590">
        <f t="shared" si="2"/>
        <v>20720318</v>
      </c>
      <c r="E38" s="590">
        <f t="shared" si="3"/>
        <v>-177179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11585278</v>
      </c>
      <c r="D39" s="590">
        <f t="shared" si="2"/>
        <v>11957068</v>
      </c>
      <c r="E39" s="590">
        <f t="shared" si="3"/>
        <v>371790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9312219</v>
      </c>
      <c r="D40" s="590">
        <f t="shared" si="2"/>
        <v>8763250</v>
      </c>
      <c r="E40" s="590">
        <f t="shared" si="3"/>
        <v>-548969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245860</v>
      </c>
      <c r="D41" s="590">
        <f t="shared" si="2"/>
        <v>335339</v>
      </c>
      <c r="E41" s="590">
        <f t="shared" si="3"/>
        <v>89479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2416523</v>
      </c>
      <c r="D42" s="590">
        <f t="shared" si="2"/>
        <v>2859312</v>
      </c>
      <c r="E42" s="590">
        <f t="shared" si="3"/>
        <v>442789</v>
      </c>
    </row>
    <row r="43" spans="1:5" s="421" customFormat="1" x14ac:dyDescent="0.2">
      <c r="A43" s="588"/>
      <c r="B43" s="592" t="s">
        <v>788</v>
      </c>
      <c r="C43" s="593">
        <f>SUM(C37+C38+C41)</f>
        <v>92513771</v>
      </c>
      <c r="D43" s="593">
        <f>SUM(D37+D38+D41)</f>
        <v>91815354</v>
      </c>
      <c r="E43" s="593">
        <f t="shared" si="3"/>
        <v>-698417</v>
      </c>
    </row>
    <row r="44" spans="1:5" s="421" customFormat="1" x14ac:dyDescent="0.2">
      <c r="A44" s="588"/>
      <c r="B44" s="592" t="s">
        <v>725</v>
      </c>
      <c r="C44" s="593">
        <f>SUM(C36+C43)</f>
        <v>143606025</v>
      </c>
      <c r="D44" s="593">
        <f>SUM(D36+D43)</f>
        <v>143045834</v>
      </c>
      <c r="E44" s="593">
        <f t="shared" si="3"/>
        <v>-560191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4688042</v>
      </c>
      <c r="D47" s="589">
        <v>4860113</v>
      </c>
      <c r="E47" s="590">
        <f t="shared" ref="E47:E55" si="4">D47-C47</f>
        <v>172071</v>
      </c>
    </row>
    <row r="48" spans="1:5" s="421" customFormat="1" x14ac:dyDescent="0.2">
      <c r="A48" s="588">
        <v>2</v>
      </c>
      <c r="B48" s="587" t="s">
        <v>635</v>
      </c>
      <c r="C48" s="589">
        <v>15328148</v>
      </c>
      <c r="D48" s="591">
        <v>15373908</v>
      </c>
      <c r="E48" s="590">
        <f t="shared" si="4"/>
        <v>45760</v>
      </c>
    </row>
    <row r="49" spans="1:5" s="421" customFormat="1" x14ac:dyDescent="0.2">
      <c r="A49" s="588">
        <v>3</v>
      </c>
      <c r="B49" s="587" t="s">
        <v>777</v>
      </c>
      <c r="C49" s="589">
        <v>2338942</v>
      </c>
      <c r="D49" s="591">
        <v>2538766</v>
      </c>
      <c r="E49" s="590">
        <f t="shared" si="4"/>
        <v>199824</v>
      </c>
    </row>
    <row r="50" spans="1:5" s="421" customFormat="1" x14ac:dyDescent="0.2">
      <c r="A50" s="588">
        <v>4</v>
      </c>
      <c r="B50" s="587" t="s">
        <v>115</v>
      </c>
      <c r="C50" s="589">
        <v>1001592</v>
      </c>
      <c r="D50" s="591">
        <v>1057016</v>
      </c>
      <c r="E50" s="590">
        <f t="shared" si="4"/>
        <v>55424</v>
      </c>
    </row>
    <row r="51" spans="1:5" s="421" customFormat="1" x14ac:dyDescent="0.2">
      <c r="A51" s="588">
        <v>5</v>
      </c>
      <c r="B51" s="587" t="s">
        <v>743</v>
      </c>
      <c r="C51" s="589">
        <v>1337350</v>
      </c>
      <c r="D51" s="591">
        <v>1481750</v>
      </c>
      <c r="E51" s="590">
        <f t="shared" si="4"/>
        <v>144400</v>
      </c>
    </row>
    <row r="52" spans="1:5" s="421" customFormat="1" x14ac:dyDescent="0.2">
      <c r="A52" s="588">
        <v>6</v>
      </c>
      <c r="B52" s="587" t="s">
        <v>424</v>
      </c>
      <c r="C52" s="589">
        <v>50049</v>
      </c>
      <c r="D52" s="591">
        <v>84437</v>
      </c>
      <c r="E52" s="590">
        <f t="shared" si="4"/>
        <v>34388</v>
      </c>
    </row>
    <row r="53" spans="1:5" s="421" customFormat="1" x14ac:dyDescent="0.2">
      <c r="A53" s="588">
        <v>7</v>
      </c>
      <c r="B53" s="587" t="s">
        <v>758</v>
      </c>
      <c r="C53" s="589">
        <v>5900</v>
      </c>
      <c r="D53" s="591">
        <v>16179</v>
      </c>
      <c r="E53" s="590">
        <f t="shared" si="4"/>
        <v>10279</v>
      </c>
    </row>
    <row r="54" spans="1:5" s="421" customFormat="1" x14ac:dyDescent="0.2">
      <c r="A54" s="588"/>
      <c r="B54" s="592" t="s">
        <v>790</v>
      </c>
      <c r="C54" s="593">
        <f>SUM(C48+C49+C52)</f>
        <v>17717139</v>
      </c>
      <c r="D54" s="593">
        <f>SUM(D48+D49+D52)</f>
        <v>17997111</v>
      </c>
      <c r="E54" s="593">
        <f t="shared" si="4"/>
        <v>279972</v>
      </c>
    </row>
    <row r="55" spans="1:5" s="421" customFormat="1" x14ac:dyDescent="0.2">
      <c r="A55" s="588"/>
      <c r="B55" s="592" t="s">
        <v>466</v>
      </c>
      <c r="C55" s="593">
        <f>SUM(C47+C54)</f>
        <v>22405181</v>
      </c>
      <c r="D55" s="593">
        <f>SUM(D47+D54)</f>
        <v>22857224</v>
      </c>
      <c r="E55" s="593">
        <f t="shared" si="4"/>
        <v>452043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17242979</v>
      </c>
      <c r="D58" s="589">
        <v>17006465</v>
      </c>
      <c r="E58" s="590">
        <f t="shared" ref="E58:E66" si="5">D58-C58</f>
        <v>-236514</v>
      </c>
    </row>
    <row r="59" spans="1:5" s="421" customFormat="1" x14ac:dyDescent="0.2">
      <c r="A59" s="588">
        <v>2</v>
      </c>
      <c r="B59" s="587" t="s">
        <v>635</v>
      </c>
      <c r="C59" s="589">
        <v>7089829</v>
      </c>
      <c r="D59" s="591">
        <v>6838629</v>
      </c>
      <c r="E59" s="590">
        <f t="shared" si="5"/>
        <v>-251200</v>
      </c>
    </row>
    <row r="60" spans="1:5" s="421" customFormat="1" x14ac:dyDescent="0.2">
      <c r="A60" s="588">
        <v>3</v>
      </c>
      <c r="B60" s="587" t="s">
        <v>777</v>
      </c>
      <c r="C60" s="589">
        <f>C61+C62</f>
        <v>2291506</v>
      </c>
      <c r="D60" s="591">
        <f>D61+D62</f>
        <v>2171606</v>
      </c>
      <c r="E60" s="590">
        <f t="shared" si="5"/>
        <v>-119900</v>
      </c>
    </row>
    <row r="61" spans="1:5" s="421" customFormat="1" x14ac:dyDescent="0.2">
      <c r="A61" s="588">
        <v>4</v>
      </c>
      <c r="B61" s="587" t="s">
        <v>115</v>
      </c>
      <c r="C61" s="589">
        <v>1560189</v>
      </c>
      <c r="D61" s="591">
        <v>1466344</v>
      </c>
      <c r="E61" s="590">
        <f t="shared" si="5"/>
        <v>-93845</v>
      </c>
    </row>
    <row r="62" spans="1:5" s="421" customFormat="1" x14ac:dyDescent="0.2">
      <c r="A62" s="588">
        <v>5</v>
      </c>
      <c r="B62" s="587" t="s">
        <v>743</v>
      </c>
      <c r="C62" s="589">
        <v>731317</v>
      </c>
      <c r="D62" s="591">
        <v>705262</v>
      </c>
      <c r="E62" s="590">
        <f t="shared" si="5"/>
        <v>-26055</v>
      </c>
    </row>
    <row r="63" spans="1:5" s="421" customFormat="1" x14ac:dyDescent="0.2">
      <c r="A63" s="588">
        <v>6</v>
      </c>
      <c r="B63" s="587" t="s">
        <v>424</v>
      </c>
      <c r="C63" s="589">
        <v>35754</v>
      </c>
      <c r="D63" s="591">
        <v>44759</v>
      </c>
      <c r="E63" s="590">
        <f t="shared" si="5"/>
        <v>9005</v>
      </c>
    </row>
    <row r="64" spans="1:5" s="421" customFormat="1" x14ac:dyDescent="0.2">
      <c r="A64" s="588">
        <v>7</v>
      </c>
      <c r="B64" s="587" t="s">
        <v>758</v>
      </c>
      <c r="C64" s="589">
        <v>224891</v>
      </c>
      <c r="D64" s="591">
        <v>203614</v>
      </c>
      <c r="E64" s="590">
        <f t="shared" si="5"/>
        <v>-21277</v>
      </c>
    </row>
    <row r="65" spans="1:5" s="421" customFormat="1" x14ac:dyDescent="0.2">
      <c r="A65" s="588"/>
      <c r="B65" s="592" t="s">
        <v>792</v>
      </c>
      <c r="C65" s="593">
        <f>SUM(C59+C60+C63)</f>
        <v>9417089</v>
      </c>
      <c r="D65" s="593">
        <f>SUM(D59+D60+D63)</f>
        <v>9054994</v>
      </c>
      <c r="E65" s="593">
        <f t="shared" si="5"/>
        <v>-362095</v>
      </c>
    </row>
    <row r="66" spans="1:5" s="421" customFormat="1" x14ac:dyDescent="0.2">
      <c r="A66" s="588"/>
      <c r="B66" s="592" t="s">
        <v>468</v>
      </c>
      <c r="C66" s="593">
        <f>SUM(C58+C65)</f>
        <v>26660068</v>
      </c>
      <c r="D66" s="593">
        <f>SUM(D58+D65)</f>
        <v>26061459</v>
      </c>
      <c r="E66" s="593">
        <f t="shared" si="5"/>
        <v>-598609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21931021</v>
      </c>
      <c r="D69" s="590">
        <f t="shared" si="6"/>
        <v>21866578</v>
      </c>
      <c r="E69" s="590">
        <f t="shared" ref="E69:E77" si="7">D69-C69</f>
        <v>-64443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22417977</v>
      </c>
      <c r="D70" s="590">
        <f t="shared" si="6"/>
        <v>22212537</v>
      </c>
      <c r="E70" s="590">
        <f t="shared" si="7"/>
        <v>-205440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4630448</v>
      </c>
      <c r="D71" s="590">
        <f t="shared" si="6"/>
        <v>4710372</v>
      </c>
      <c r="E71" s="590">
        <f t="shared" si="7"/>
        <v>79924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2561781</v>
      </c>
      <c r="D72" s="590">
        <f t="shared" si="6"/>
        <v>2523360</v>
      </c>
      <c r="E72" s="590">
        <f t="shared" si="7"/>
        <v>-38421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2068667</v>
      </c>
      <c r="D73" s="590">
        <f t="shared" si="6"/>
        <v>2187012</v>
      </c>
      <c r="E73" s="590">
        <f t="shared" si="7"/>
        <v>118345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85803</v>
      </c>
      <c r="D74" s="590">
        <f t="shared" si="6"/>
        <v>129196</v>
      </c>
      <c r="E74" s="590">
        <f t="shared" si="7"/>
        <v>43393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230791</v>
      </c>
      <c r="D75" s="590">
        <f t="shared" si="6"/>
        <v>219793</v>
      </c>
      <c r="E75" s="590">
        <f t="shared" si="7"/>
        <v>-10998</v>
      </c>
    </row>
    <row r="76" spans="1:5" s="421" customFormat="1" x14ac:dyDescent="0.2">
      <c r="A76" s="588"/>
      <c r="B76" s="592" t="s">
        <v>793</v>
      </c>
      <c r="C76" s="593">
        <f>SUM(C70+C71+C74)</f>
        <v>27134228</v>
      </c>
      <c r="D76" s="593">
        <f>SUM(D70+D71+D74)</f>
        <v>27052105</v>
      </c>
      <c r="E76" s="593">
        <f t="shared" si="7"/>
        <v>-82123</v>
      </c>
    </row>
    <row r="77" spans="1:5" s="421" customFormat="1" x14ac:dyDescent="0.2">
      <c r="A77" s="588"/>
      <c r="B77" s="592" t="s">
        <v>726</v>
      </c>
      <c r="C77" s="593">
        <f>SUM(C69+C76)</f>
        <v>49065249</v>
      </c>
      <c r="D77" s="593">
        <f>SUM(D69+D76)</f>
        <v>48918683</v>
      </c>
      <c r="E77" s="593">
        <f t="shared" si="7"/>
        <v>-146566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6.8734985179068911E-2</v>
      </c>
      <c r="D83" s="599">
        <f t="shared" si="8"/>
        <v>7.1206582639799218E-2</v>
      </c>
      <c r="E83" s="599">
        <f t="shared" ref="E83:E91" si="9">D83-C83</f>
        <v>2.4715974607303071E-3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0.25368140368762382</v>
      </c>
      <c r="D84" s="599">
        <f t="shared" si="8"/>
        <v>0.23024233617317369</v>
      </c>
      <c r="E84" s="599">
        <f t="shared" si="9"/>
        <v>-2.3439067514450129E-2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4.9823229909747871E-2</v>
      </c>
      <c r="D85" s="599">
        <f t="shared" si="8"/>
        <v>4.7543488753401933E-2</v>
      </c>
      <c r="E85" s="599">
        <f t="shared" si="9"/>
        <v>-2.279741156345938E-3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2.479946784962539E-2</v>
      </c>
      <c r="D86" s="599">
        <f t="shared" si="8"/>
        <v>2.7161539007140887E-2</v>
      </c>
      <c r="E86" s="599">
        <f t="shared" si="9"/>
        <v>2.3620711575154975E-3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2.5023762060122478E-2</v>
      </c>
      <c r="D87" s="599">
        <f t="shared" si="8"/>
        <v>2.0381949746261049E-2</v>
      </c>
      <c r="E87" s="599">
        <f t="shared" si="9"/>
        <v>-4.6418123138614285E-3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4.758853258420042E-4</v>
      </c>
      <c r="D88" s="599">
        <f t="shared" si="8"/>
        <v>9.4960472599292891E-4</v>
      </c>
      <c r="E88" s="599">
        <f t="shared" si="9"/>
        <v>4.7371940015092471E-4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2.5418432130546054E-3</v>
      </c>
      <c r="D89" s="599">
        <f t="shared" si="8"/>
        <v>4.4459805799028024E-3</v>
      </c>
      <c r="E89" s="599">
        <f t="shared" si="9"/>
        <v>1.904137366848197E-3</v>
      </c>
    </row>
    <row r="90" spans="1:5" s="421" customFormat="1" x14ac:dyDescent="0.2">
      <c r="A90" s="588"/>
      <c r="B90" s="592" t="s">
        <v>796</v>
      </c>
      <c r="C90" s="600">
        <f>SUM(C84+C85+C88)</f>
        <v>0.30398051892321371</v>
      </c>
      <c r="D90" s="600">
        <f>SUM(D84+D85+D88)</f>
        <v>0.27873542965256853</v>
      </c>
      <c r="E90" s="601">
        <f t="shared" si="9"/>
        <v>-2.5245089270645171E-2</v>
      </c>
    </row>
    <row r="91" spans="1:5" s="421" customFormat="1" x14ac:dyDescent="0.2">
      <c r="A91" s="588"/>
      <c r="B91" s="592" t="s">
        <v>797</v>
      </c>
      <c r="C91" s="600">
        <f>SUM(C83+C90)</f>
        <v>0.3727155041022826</v>
      </c>
      <c r="D91" s="600">
        <f>SUM(D83+D90)</f>
        <v>0.34994201229236777</v>
      </c>
      <c r="E91" s="601">
        <f t="shared" si="9"/>
        <v>-2.2773491809914836E-2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0.28704572806050443</v>
      </c>
      <c r="D95" s="599">
        <f t="shared" si="10"/>
        <v>0.28693373202326183</v>
      </c>
      <c r="E95" s="599">
        <f t="shared" ref="E95:E103" si="11">D95-C95</f>
        <v>-1.1199603724260099E-4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0.24330619832977063</v>
      </c>
      <c r="D96" s="599">
        <f t="shared" si="10"/>
        <v>0.2644221711483048</v>
      </c>
      <c r="E96" s="599">
        <f t="shared" si="11"/>
        <v>2.1115972818534168E-2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9.5696409673619198E-2</v>
      </c>
      <c r="D97" s="599">
        <f t="shared" si="10"/>
        <v>9.7307412671661583E-2</v>
      </c>
      <c r="E97" s="599">
        <f t="shared" si="11"/>
        <v>1.6110029980423851E-3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5.5874570722224223E-2</v>
      </c>
      <c r="D98" s="599">
        <f t="shared" si="10"/>
        <v>5.6427529374955446E-2</v>
      </c>
      <c r="E98" s="599">
        <f t="shared" si="11"/>
        <v>5.5295865273122247E-4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3.9821838951394968E-2</v>
      </c>
      <c r="D99" s="599">
        <f t="shared" si="10"/>
        <v>4.0879883296706145E-2</v>
      </c>
      <c r="E99" s="599">
        <f t="shared" si="11"/>
        <v>1.0580443453111765E-3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1.2361598338231283E-3</v>
      </c>
      <c r="D100" s="599">
        <f t="shared" si="10"/>
        <v>1.3946718644039643E-3</v>
      </c>
      <c r="E100" s="599">
        <f t="shared" si="11"/>
        <v>1.5851203058083602E-4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1.4285605356739036E-2</v>
      </c>
      <c r="D101" s="599">
        <f t="shared" si="10"/>
        <v>1.5542801477182481E-2</v>
      </c>
      <c r="E101" s="599">
        <f t="shared" si="11"/>
        <v>1.2571961204434455E-3</v>
      </c>
    </row>
    <row r="102" spans="1:5" s="421" customFormat="1" x14ac:dyDescent="0.2">
      <c r="A102" s="588"/>
      <c r="B102" s="592" t="s">
        <v>799</v>
      </c>
      <c r="C102" s="600">
        <f>SUM(C96+C97+C100)</f>
        <v>0.34023876783721296</v>
      </c>
      <c r="D102" s="600">
        <f>SUM(D96+D97+D100)</f>
        <v>0.36312425568437035</v>
      </c>
      <c r="E102" s="601">
        <f t="shared" si="11"/>
        <v>2.2885487847157382E-2</v>
      </c>
    </row>
    <row r="103" spans="1:5" s="421" customFormat="1" x14ac:dyDescent="0.2">
      <c r="A103" s="588"/>
      <c r="B103" s="592" t="s">
        <v>800</v>
      </c>
      <c r="C103" s="600">
        <f>SUM(C95+C102)</f>
        <v>0.6272844958977174</v>
      </c>
      <c r="D103" s="600">
        <f>SUM(D95+D102)</f>
        <v>0.65005798770763223</v>
      </c>
      <c r="E103" s="601">
        <f t="shared" si="11"/>
        <v>2.2773491809914836E-2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9.5547094849146696E-2</v>
      </c>
      <c r="D109" s="599">
        <f t="shared" si="12"/>
        <v>9.9350855377688729E-2</v>
      </c>
      <c r="E109" s="599">
        <f t="shared" ref="E109:E117" si="13">D109-C109</f>
        <v>3.8037605285420328E-3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0.31240334681680715</v>
      </c>
      <c r="D110" s="599">
        <f t="shared" si="12"/>
        <v>0.31427477309640572</v>
      </c>
      <c r="E110" s="599">
        <f t="shared" si="13"/>
        <v>1.8714262795985759E-3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4.7670032205482132E-2</v>
      </c>
      <c r="D111" s="599">
        <f t="shared" si="12"/>
        <v>5.189767680376841E-2</v>
      </c>
      <c r="E111" s="599">
        <f t="shared" si="13"/>
        <v>4.2276445982862773E-3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2.0413470234299635E-2</v>
      </c>
      <c r="D112" s="599">
        <f t="shared" si="12"/>
        <v>2.1607613598264696E-2</v>
      </c>
      <c r="E112" s="599">
        <f t="shared" si="13"/>
        <v>1.1941433639650612E-3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2.7256561971182498E-2</v>
      </c>
      <c r="D113" s="599">
        <f t="shared" si="12"/>
        <v>3.0290063205503714E-2</v>
      </c>
      <c r="E113" s="599">
        <f t="shared" si="13"/>
        <v>3.0335012343212162E-3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1.0200498523914552E-3</v>
      </c>
      <c r="D114" s="599">
        <f t="shared" si="12"/>
        <v>1.7260685452222826E-3</v>
      </c>
      <c r="E114" s="599">
        <f t="shared" si="13"/>
        <v>7.0601869283082731E-4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1.2024803950347832E-4</v>
      </c>
      <c r="D115" s="599">
        <f t="shared" si="12"/>
        <v>3.3073253423441509E-4</v>
      </c>
      <c r="E115" s="599">
        <f t="shared" si="13"/>
        <v>2.1048449473093676E-4</v>
      </c>
    </row>
    <row r="116" spans="1:5" s="421" customFormat="1" x14ac:dyDescent="0.2">
      <c r="A116" s="588"/>
      <c r="B116" s="592" t="s">
        <v>796</v>
      </c>
      <c r="C116" s="600">
        <f>SUM(C110+C111+C114)</f>
        <v>0.36109342887468077</v>
      </c>
      <c r="D116" s="600">
        <f>SUM(D110+D111+D114)</f>
        <v>0.36789851844539639</v>
      </c>
      <c r="E116" s="601">
        <f t="shared" si="13"/>
        <v>6.8050895707156278E-3</v>
      </c>
    </row>
    <row r="117" spans="1:5" s="421" customFormat="1" x14ac:dyDescent="0.2">
      <c r="A117" s="588"/>
      <c r="B117" s="592" t="s">
        <v>797</v>
      </c>
      <c r="C117" s="600">
        <f>SUM(C109+C116)</f>
        <v>0.45664052372382746</v>
      </c>
      <c r="D117" s="600">
        <f>SUM(D109+D116)</f>
        <v>0.46724937382308512</v>
      </c>
      <c r="E117" s="601">
        <f t="shared" si="13"/>
        <v>1.0608850099257661E-2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0.35142956270333003</v>
      </c>
      <c r="D121" s="599">
        <f t="shared" si="14"/>
        <v>0.34764764619685284</v>
      </c>
      <c r="E121" s="599">
        <f t="shared" ref="E121:E129" si="15">D121-C121</f>
        <v>-3.7819165064771898E-3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0.14449797248557733</v>
      </c>
      <c r="D122" s="599">
        <f t="shared" si="14"/>
        <v>0.13979585263977773</v>
      </c>
      <c r="E122" s="599">
        <f t="shared" si="15"/>
        <v>-4.7021198457996016E-3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4.6703237967874164E-2</v>
      </c>
      <c r="D123" s="599">
        <f t="shared" si="14"/>
        <v>4.4392159944289585E-2</v>
      </c>
      <c r="E123" s="599">
        <f t="shared" si="15"/>
        <v>-2.3110780235845799E-3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3.1798248899134296E-2</v>
      </c>
      <c r="D124" s="599">
        <f t="shared" si="14"/>
        <v>2.9975132404934123E-2</v>
      </c>
      <c r="E124" s="599">
        <f t="shared" si="15"/>
        <v>-1.8231164942001735E-3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1.4904989068739874E-2</v>
      </c>
      <c r="D125" s="599">
        <f t="shared" si="14"/>
        <v>1.4417027539355465E-2</v>
      </c>
      <c r="E125" s="599">
        <f t="shared" si="15"/>
        <v>-4.8796152938440814E-4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7.2870311939107865E-4</v>
      </c>
      <c r="D126" s="599">
        <f t="shared" si="14"/>
        <v>9.1496739599469595E-4</v>
      </c>
      <c r="E126" s="599">
        <f t="shared" si="15"/>
        <v>1.8626427660361729E-4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4.5835087884706343E-3</v>
      </c>
      <c r="D127" s="599">
        <f t="shared" si="14"/>
        <v>4.1622952114225972E-3</v>
      </c>
      <c r="E127" s="599">
        <f t="shared" si="15"/>
        <v>-4.212135770480371E-4</v>
      </c>
    </row>
    <row r="128" spans="1:5" s="421" customFormat="1" x14ac:dyDescent="0.2">
      <c r="A128" s="588"/>
      <c r="B128" s="592" t="s">
        <v>799</v>
      </c>
      <c r="C128" s="600">
        <f>SUM(C122+C123+C126)</f>
        <v>0.19192991357284259</v>
      </c>
      <c r="D128" s="600">
        <f>SUM(D122+D123+D126)</f>
        <v>0.185102979980062</v>
      </c>
      <c r="E128" s="601">
        <f t="shared" si="15"/>
        <v>-6.8269335927805819E-3</v>
      </c>
    </row>
    <row r="129" spans="1:5" s="421" customFormat="1" x14ac:dyDescent="0.2">
      <c r="A129" s="588"/>
      <c r="B129" s="592" t="s">
        <v>800</v>
      </c>
      <c r="C129" s="600">
        <f>SUM(C121+C128)</f>
        <v>0.54335947627617265</v>
      </c>
      <c r="D129" s="600">
        <f>SUM(D121+D128)</f>
        <v>0.53275062617691482</v>
      </c>
      <c r="E129" s="601">
        <f t="shared" si="15"/>
        <v>-1.0608850099257827E-2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647</v>
      </c>
      <c r="D137" s="606">
        <v>646</v>
      </c>
      <c r="E137" s="607">
        <f t="shared" ref="E137:E145" si="16">D137-C137</f>
        <v>-1</v>
      </c>
    </row>
    <row r="138" spans="1:5" s="421" customFormat="1" x14ac:dyDescent="0.2">
      <c r="A138" s="588">
        <v>2</v>
      </c>
      <c r="B138" s="587" t="s">
        <v>635</v>
      </c>
      <c r="C138" s="606">
        <v>1410</v>
      </c>
      <c r="D138" s="606">
        <v>1319</v>
      </c>
      <c r="E138" s="607">
        <f t="shared" si="16"/>
        <v>-91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398</v>
      </c>
      <c r="D139" s="606">
        <f>D140+D141</f>
        <v>432</v>
      </c>
      <c r="E139" s="607">
        <f t="shared" si="16"/>
        <v>34</v>
      </c>
    </row>
    <row r="140" spans="1:5" s="421" customFormat="1" x14ac:dyDescent="0.2">
      <c r="A140" s="588">
        <v>4</v>
      </c>
      <c r="B140" s="587" t="s">
        <v>115</v>
      </c>
      <c r="C140" s="606">
        <v>219</v>
      </c>
      <c r="D140" s="606">
        <v>268</v>
      </c>
      <c r="E140" s="607">
        <f t="shared" si="16"/>
        <v>49</v>
      </c>
    </row>
    <row r="141" spans="1:5" s="421" customFormat="1" x14ac:dyDescent="0.2">
      <c r="A141" s="588">
        <v>5</v>
      </c>
      <c r="B141" s="587" t="s">
        <v>743</v>
      </c>
      <c r="C141" s="606">
        <v>179</v>
      </c>
      <c r="D141" s="606">
        <v>164</v>
      </c>
      <c r="E141" s="607">
        <f t="shared" si="16"/>
        <v>-15</v>
      </c>
    </row>
    <row r="142" spans="1:5" s="421" customFormat="1" x14ac:dyDescent="0.2">
      <c r="A142" s="588">
        <v>6</v>
      </c>
      <c r="B142" s="587" t="s">
        <v>424</v>
      </c>
      <c r="C142" s="606">
        <v>11</v>
      </c>
      <c r="D142" s="606">
        <v>13</v>
      </c>
      <c r="E142" s="607">
        <f t="shared" si="16"/>
        <v>2</v>
      </c>
    </row>
    <row r="143" spans="1:5" s="421" customFormat="1" x14ac:dyDescent="0.2">
      <c r="A143" s="588">
        <v>7</v>
      </c>
      <c r="B143" s="587" t="s">
        <v>758</v>
      </c>
      <c r="C143" s="606">
        <v>45</v>
      </c>
      <c r="D143" s="606">
        <v>51</v>
      </c>
      <c r="E143" s="607">
        <f t="shared" si="16"/>
        <v>6</v>
      </c>
    </row>
    <row r="144" spans="1:5" s="421" customFormat="1" x14ac:dyDescent="0.2">
      <c r="A144" s="588"/>
      <c r="B144" s="592" t="s">
        <v>807</v>
      </c>
      <c r="C144" s="608">
        <f>SUM(C138+C139+C142)</f>
        <v>1819</v>
      </c>
      <c r="D144" s="608">
        <f>SUM(D138+D139+D142)</f>
        <v>1764</v>
      </c>
      <c r="E144" s="609">
        <f t="shared" si="16"/>
        <v>-55</v>
      </c>
    </row>
    <row r="145" spans="1:5" s="421" customFormat="1" x14ac:dyDescent="0.2">
      <c r="A145" s="588"/>
      <c r="B145" s="592" t="s">
        <v>138</v>
      </c>
      <c r="C145" s="608">
        <f>SUM(C137+C144)</f>
        <v>2466</v>
      </c>
      <c r="D145" s="608">
        <f>SUM(D137+D144)</f>
        <v>2410</v>
      </c>
      <c r="E145" s="609">
        <f t="shared" si="16"/>
        <v>-56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1868</v>
      </c>
      <c r="D149" s="610">
        <v>1836</v>
      </c>
      <c r="E149" s="607">
        <f t="shared" ref="E149:E157" si="17">D149-C149</f>
        <v>-32</v>
      </c>
    </row>
    <row r="150" spans="1:5" s="421" customFormat="1" x14ac:dyDescent="0.2">
      <c r="A150" s="588">
        <v>2</v>
      </c>
      <c r="B150" s="587" t="s">
        <v>635</v>
      </c>
      <c r="C150" s="610">
        <v>7687</v>
      </c>
      <c r="D150" s="610">
        <v>6558</v>
      </c>
      <c r="E150" s="607">
        <f t="shared" si="17"/>
        <v>-1129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1452</v>
      </c>
      <c r="D151" s="610">
        <f>D152+D153</f>
        <v>1367</v>
      </c>
      <c r="E151" s="607">
        <f t="shared" si="17"/>
        <v>-85</v>
      </c>
    </row>
    <row r="152" spans="1:5" s="421" customFormat="1" x14ac:dyDescent="0.2">
      <c r="A152" s="588">
        <v>4</v>
      </c>
      <c r="B152" s="587" t="s">
        <v>115</v>
      </c>
      <c r="C152" s="610">
        <v>795</v>
      </c>
      <c r="D152" s="610">
        <v>822</v>
      </c>
      <c r="E152" s="607">
        <f t="shared" si="17"/>
        <v>27</v>
      </c>
    </row>
    <row r="153" spans="1:5" s="421" customFormat="1" x14ac:dyDescent="0.2">
      <c r="A153" s="588">
        <v>5</v>
      </c>
      <c r="B153" s="587" t="s">
        <v>743</v>
      </c>
      <c r="C153" s="611">
        <v>657</v>
      </c>
      <c r="D153" s="610">
        <v>545</v>
      </c>
      <c r="E153" s="607">
        <f t="shared" si="17"/>
        <v>-112</v>
      </c>
    </row>
    <row r="154" spans="1:5" s="421" customFormat="1" x14ac:dyDescent="0.2">
      <c r="A154" s="588">
        <v>6</v>
      </c>
      <c r="B154" s="587" t="s">
        <v>424</v>
      </c>
      <c r="C154" s="610">
        <v>22</v>
      </c>
      <c r="D154" s="610">
        <v>28</v>
      </c>
      <c r="E154" s="607">
        <f t="shared" si="17"/>
        <v>6</v>
      </c>
    </row>
    <row r="155" spans="1:5" s="421" customFormat="1" x14ac:dyDescent="0.2">
      <c r="A155" s="588">
        <v>7</v>
      </c>
      <c r="B155" s="587" t="s">
        <v>758</v>
      </c>
      <c r="C155" s="610">
        <v>124</v>
      </c>
      <c r="D155" s="610">
        <v>108</v>
      </c>
      <c r="E155" s="607">
        <f t="shared" si="17"/>
        <v>-16</v>
      </c>
    </row>
    <row r="156" spans="1:5" s="421" customFormat="1" x14ac:dyDescent="0.2">
      <c r="A156" s="588"/>
      <c r="B156" s="592" t="s">
        <v>808</v>
      </c>
      <c r="C156" s="608">
        <f>SUM(C150+C151+C154)</f>
        <v>9161</v>
      </c>
      <c r="D156" s="608">
        <f>SUM(D150+D151+D154)</f>
        <v>7953</v>
      </c>
      <c r="E156" s="609">
        <f t="shared" si="17"/>
        <v>-1208</v>
      </c>
    </row>
    <row r="157" spans="1:5" s="421" customFormat="1" x14ac:dyDescent="0.2">
      <c r="A157" s="588"/>
      <c r="B157" s="592" t="s">
        <v>140</v>
      </c>
      <c r="C157" s="608">
        <f>SUM(C149+C156)</f>
        <v>11029</v>
      </c>
      <c r="D157" s="608">
        <f>SUM(D149+D156)</f>
        <v>9789</v>
      </c>
      <c r="E157" s="609">
        <f t="shared" si="17"/>
        <v>-1240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2.8871715610510047</v>
      </c>
      <c r="D161" s="612">
        <f t="shared" si="18"/>
        <v>2.8421052631578947</v>
      </c>
      <c r="E161" s="613">
        <f t="shared" ref="E161:E169" si="19">D161-C161</f>
        <v>-4.5066297893110008E-2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5.4517730496453902</v>
      </c>
      <c r="D162" s="612">
        <f t="shared" si="18"/>
        <v>4.9719484457922665</v>
      </c>
      <c r="E162" s="613">
        <f t="shared" si="19"/>
        <v>-0.47982460385312375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3.6482412060301508</v>
      </c>
      <c r="D163" s="612">
        <f t="shared" si="18"/>
        <v>3.1643518518518516</v>
      </c>
      <c r="E163" s="613">
        <f t="shared" si="19"/>
        <v>-0.48388935417829915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3.6301369863013697</v>
      </c>
      <c r="D164" s="612">
        <f t="shared" si="18"/>
        <v>3.0671641791044775</v>
      </c>
      <c r="E164" s="613">
        <f t="shared" si="19"/>
        <v>-0.56297280719689224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3.6703910614525141</v>
      </c>
      <c r="D165" s="612">
        <f t="shared" si="18"/>
        <v>3.3231707317073171</v>
      </c>
      <c r="E165" s="613">
        <f t="shared" si="19"/>
        <v>-0.34722032974519701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</v>
      </c>
      <c r="D166" s="612">
        <f t="shared" si="18"/>
        <v>2.1538461538461537</v>
      </c>
      <c r="E166" s="613">
        <f t="shared" si="19"/>
        <v>0.15384615384615374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2.7555555555555555</v>
      </c>
      <c r="D167" s="612">
        <f t="shared" si="18"/>
        <v>2.1176470588235294</v>
      </c>
      <c r="E167" s="613">
        <f t="shared" si="19"/>
        <v>-0.6379084967320261</v>
      </c>
    </row>
    <row r="168" spans="1:5" s="421" customFormat="1" x14ac:dyDescent="0.2">
      <c r="A168" s="588"/>
      <c r="B168" s="592" t="s">
        <v>810</v>
      </c>
      <c r="C168" s="614">
        <f t="shared" si="18"/>
        <v>5.0362836723474436</v>
      </c>
      <c r="D168" s="614">
        <f t="shared" si="18"/>
        <v>4.5085034013605441</v>
      </c>
      <c r="E168" s="615">
        <f t="shared" si="19"/>
        <v>-0.5277802709868995</v>
      </c>
    </row>
    <row r="169" spans="1:5" s="421" customFormat="1" x14ac:dyDescent="0.2">
      <c r="A169" s="588"/>
      <c r="B169" s="592" t="s">
        <v>744</v>
      </c>
      <c r="C169" s="614">
        <f t="shared" si="18"/>
        <v>4.4724249797242495</v>
      </c>
      <c r="D169" s="614">
        <f t="shared" si="18"/>
        <v>4.0618257261410786</v>
      </c>
      <c r="E169" s="615">
        <f t="shared" si="19"/>
        <v>-0.41059925358317084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0.8768999999999999</v>
      </c>
      <c r="D173" s="617">
        <f t="shared" si="20"/>
        <v>0.89429999999999998</v>
      </c>
      <c r="E173" s="618">
        <f t="shared" ref="E173:E181" si="21">D173-C173</f>
        <v>1.7400000000000082E-2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1.1719999999999999</v>
      </c>
      <c r="D174" s="617">
        <f t="shared" si="20"/>
        <v>1.2321</v>
      </c>
      <c r="E174" s="618">
        <f t="shared" si="21"/>
        <v>6.0100000000000042E-2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0.96739195979899495</v>
      </c>
      <c r="D175" s="617">
        <f t="shared" si="20"/>
        <v>0.92259814814814822</v>
      </c>
      <c r="E175" s="618">
        <f t="shared" si="21"/>
        <v>-4.4793811650846727E-2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0.93510000000000004</v>
      </c>
      <c r="D176" s="617">
        <f t="shared" si="20"/>
        <v>0.87560000000000004</v>
      </c>
      <c r="E176" s="618">
        <f t="shared" si="21"/>
        <v>-5.9499999999999997E-2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1.0068999999999999</v>
      </c>
      <c r="D177" s="617">
        <f t="shared" si="20"/>
        <v>0.99940000000000007</v>
      </c>
      <c r="E177" s="618">
        <f t="shared" si="21"/>
        <v>-7.4999999999998401E-3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0.875</v>
      </c>
      <c r="D178" s="617">
        <f t="shared" si="20"/>
        <v>0.66910000000000003</v>
      </c>
      <c r="E178" s="618">
        <f t="shared" si="21"/>
        <v>-0.20589999999999997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0.73839999999999983</v>
      </c>
      <c r="D179" s="617">
        <f t="shared" si="20"/>
        <v>0.87180000000000002</v>
      </c>
      <c r="E179" s="618">
        <f t="shared" si="21"/>
        <v>0.13340000000000019</v>
      </c>
    </row>
    <row r="180" spans="1:5" s="421" customFormat="1" x14ac:dyDescent="0.2">
      <c r="A180" s="588"/>
      <c r="B180" s="592" t="s">
        <v>812</v>
      </c>
      <c r="C180" s="619">
        <f t="shared" si="20"/>
        <v>1.1254354040681693</v>
      </c>
      <c r="D180" s="619">
        <f t="shared" si="20"/>
        <v>1.1521545351473923</v>
      </c>
      <c r="E180" s="620">
        <f t="shared" si="21"/>
        <v>2.6719131079222969E-2</v>
      </c>
    </row>
    <row r="181" spans="1:5" s="421" customFormat="1" x14ac:dyDescent="0.2">
      <c r="A181" s="588"/>
      <c r="B181" s="592" t="s">
        <v>723</v>
      </c>
      <c r="C181" s="619">
        <f t="shared" si="20"/>
        <v>1.060227615571776</v>
      </c>
      <c r="D181" s="619">
        <f t="shared" si="20"/>
        <v>1.0830366804979252</v>
      </c>
      <c r="E181" s="620">
        <f t="shared" si="21"/>
        <v>2.2809064926149203E-2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x14ac:dyDescent="0.2">
      <c r="A185" s="588">
        <v>1</v>
      </c>
      <c r="B185" s="587" t="s">
        <v>814</v>
      </c>
      <c r="C185" s="589">
        <v>51092254</v>
      </c>
      <c r="D185" s="589">
        <v>51230479</v>
      </c>
      <c r="E185" s="590">
        <f>D185-C185</f>
        <v>138225</v>
      </c>
    </row>
    <row r="186" spans="1:5" s="421" customFormat="1" x14ac:dyDescent="0.2">
      <c r="A186" s="588">
        <v>2</v>
      </c>
      <c r="B186" s="587" t="s">
        <v>815</v>
      </c>
      <c r="C186" s="589">
        <v>25835394</v>
      </c>
      <c r="D186" s="589">
        <v>25927321</v>
      </c>
      <c r="E186" s="590">
        <f>D186-C186</f>
        <v>91927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25256860</v>
      </c>
      <c r="D188" s="622">
        <f>+D185-D186</f>
        <v>25303158</v>
      </c>
      <c r="E188" s="590">
        <f t="shared" ref="E188:E197" si="22">D188-C188</f>
        <v>46298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0.49433833942812544</v>
      </c>
      <c r="D189" s="623">
        <f>IF(D185=0,0,+D188/D185)</f>
        <v>0.49390828455849495</v>
      </c>
      <c r="E189" s="599">
        <f t="shared" si="22"/>
        <v>-4.3005486963049178E-4</v>
      </c>
    </row>
    <row r="190" spans="1:5" s="421" customFormat="1" x14ac:dyDescent="0.2">
      <c r="A190" s="588">
        <v>5</v>
      </c>
      <c r="B190" s="587" t="s">
        <v>762</v>
      </c>
      <c r="C190" s="589">
        <v>1159710</v>
      </c>
      <c r="D190" s="589">
        <v>1677617</v>
      </c>
      <c r="E190" s="622">
        <f t="shared" si="22"/>
        <v>517907</v>
      </c>
    </row>
    <row r="191" spans="1:5" s="421" customFormat="1" x14ac:dyDescent="0.2">
      <c r="A191" s="588">
        <v>6</v>
      </c>
      <c r="B191" s="587" t="s">
        <v>748</v>
      </c>
      <c r="C191" s="589">
        <v>653554</v>
      </c>
      <c r="D191" s="589">
        <v>940318</v>
      </c>
      <c r="E191" s="622">
        <f t="shared" si="22"/>
        <v>286764</v>
      </c>
    </row>
    <row r="192" spans="1:5" ht="1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741722</v>
      </c>
      <c r="D193" s="589">
        <v>536593</v>
      </c>
      <c r="E193" s="622">
        <f t="shared" si="22"/>
        <v>-205129</v>
      </c>
    </row>
    <row r="194" spans="1:5" s="421" customFormat="1" x14ac:dyDescent="0.2">
      <c r="A194" s="588">
        <v>9</v>
      </c>
      <c r="B194" s="587" t="s">
        <v>818</v>
      </c>
      <c r="C194" s="589">
        <v>1930565</v>
      </c>
      <c r="D194" s="589">
        <v>2583830</v>
      </c>
      <c r="E194" s="622">
        <f t="shared" si="22"/>
        <v>653265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2672287</v>
      </c>
      <c r="D195" s="589">
        <f>+D193+D194</f>
        <v>3120423</v>
      </c>
      <c r="E195" s="625">
        <f t="shared" si="22"/>
        <v>448136</v>
      </c>
    </row>
    <row r="196" spans="1:5" s="421" customFormat="1" x14ac:dyDescent="0.2">
      <c r="A196" s="588">
        <v>11</v>
      </c>
      <c r="B196" s="587" t="s">
        <v>820</v>
      </c>
      <c r="C196" s="589">
        <v>851556</v>
      </c>
      <c r="D196" s="589">
        <v>661116</v>
      </c>
      <c r="E196" s="622">
        <f t="shared" si="22"/>
        <v>-190440</v>
      </c>
    </row>
    <row r="197" spans="1:5" s="421" customFormat="1" x14ac:dyDescent="0.2">
      <c r="A197" s="588">
        <v>12</v>
      </c>
      <c r="B197" s="587" t="s">
        <v>710</v>
      </c>
      <c r="C197" s="589">
        <v>50076702</v>
      </c>
      <c r="D197" s="589">
        <v>49518354</v>
      </c>
      <c r="E197" s="622">
        <f t="shared" si="22"/>
        <v>-558348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567.35429999999997</v>
      </c>
      <c r="D203" s="629">
        <v>577.71780000000001</v>
      </c>
      <c r="E203" s="630">
        <f t="shared" ref="E203:E211" si="23">D203-C203</f>
        <v>10.363500000000045</v>
      </c>
    </row>
    <row r="204" spans="1:5" s="421" customFormat="1" x14ac:dyDescent="0.2">
      <c r="A204" s="588">
        <v>2</v>
      </c>
      <c r="B204" s="587" t="s">
        <v>635</v>
      </c>
      <c r="C204" s="629">
        <v>1652.52</v>
      </c>
      <c r="D204" s="629">
        <v>1625.1398999999999</v>
      </c>
      <c r="E204" s="630">
        <f t="shared" si="23"/>
        <v>-27.380100000000084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385.02199999999999</v>
      </c>
      <c r="D205" s="629">
        <f>D206+D207</f>
        <v>398.56240000000003</v>
      </c>
      <c r="E205" s="630">
        <f t="shared" si="23"/>
        <v>13.540400000000034</v>
      </c>
    </row>
    <row r="206" spans="1:5" s="421" customFormat="1" x14ac:dyDescent="0.2">
      <c r="A206" s="588">
        <v>4</v>
      </c>
      <c r="B206" s="587" t="s">
        <v>115</v>
      </c>
      <c r="C206" s="629">
        <v>204.7869</v>
      </c>
      <c r="D206" s="629">
        <v>234.66080000000002</v>
      </c>
      <c r="E206" s="630">
        <f t="shared" si="23"/>
        <v>29.87390000000002</v>
      </c>
    </row>
    <row r="207" spans="1:5" s="421" customFormat="1" x14ac:dyDescent="0.2">
      <c r="A207" s="588">
        <v>5</v>
      </c>
      <c r="B207" s="587" t="s">
        <v>743</v>
      </c>
      <c r="C207" s="629">
        <v>180.23509999999999</v>
      </c>
      <c r="D207" s="629">
        <v>163.9016</v>
      </c>
      <c r="E207" s="630">
        <f t="shared" si="23"/>
        <v>-16.333499999999987</v>
      </c>
    </row>
    <row r="208" spans="1:5" s="421" customFormat="1" x14ac:dyDescent="0.2">
      <c r="A208" s="588">
        <v>6</v>
      </c>
      <c r="B208" s="587" t="s">
        <v>424</v>
      </c>
      <c r="C208" s="629">
        <v>9.625</v>
      </c>
      <c r="D208" s="629">
        <v>8.6982999999999997</v>
      </c>
      <c r="E208" s="630">
        <f t="shared" si="23"/>
        <v>-0.9267000000000003</v>
      </c>
    </row>
    <row r="209" spans="1:5" s="421" customFormat="1" x14ac:dyDescent="0.2">
      <c r="A209" s="588">
        <v>7</v>
      </c>
      <c r="B209" s="587" t="s">
        <v>758</v>
      </c>
      <c r="C209" s="629">
        <v>33.227999999999994</v>
      </c>
      <c r="D209" s="629">
        <v>44.461800000000004</v>
      </c>
      <c r="E209" s="630">
        <f t="shared" si="23"/>
        <v>11.233800000000009</v>
      </c>
    </row>
    <row r="210" spans="1:5" s="421" customFormat="1" x14ac:dyDescent="0.2">
      <c r="A210" s="588"/>
      <c r="B210" s="592" t="s">
        <v>823</v>
      </c>
      <c r="C210" s="631">
        <f>C204+C205+C208</f>
        <v>2047.1669999999999</v>
      </c>
      <c r="D210" s="631">
        <f>D204+D205+D208</f>
        <v>2032.4005999999999</v>
      </c>
      <c r="E210" s="632">
        <f t="shared" si="23"/>
        <v>-14.766399999999976</v>
      </c>
    </row>
    <row r="211" spans="1:5" s="421" customFormat="1" x14ac:dyDescent="0.2">
      <c r="A211" s="588"/>
      <c r="B211" s="592" t="s">
        <v>724</v>
      </c>
      <c r="C211" s="631">
        <f>C210+C203</f>
        <v>2614.5212999999999</v>
      </c>
      <c r="D211" s="631">
        <f>D210+D203</f>
        <v>2610.1183999999998</v>
      </c>
      <c r="E211" s="632">
        <f t="shared" si="23"/>
        <v>-4.4029000000000451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2701.951350848638</v>
      </c>
      <c r="D215" s="633">
        <f>IF(D14*D137=0,0,D25/D14*D137)</f>
        <v>2603.1187569367366</v>
      </c>
      <c r="E215" s="633">
        <f t="shared" ref="E215:E223" si="24">D215-C215</f>
        <v>-98.832593911901313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1352.3330234620321</v>
      </c>
      <c r="D216" s="633">
        <f>IF(D15*D138=0,0,D26/D15*D138)</f>
        <v>1514.8076133239424</v>
      </c>
      <c r="E216" s="633">
        <f t="shared" si="24"/>
        <v>162.47458986191032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778.27271375425016</v>
      </c>
      <c r="D217" s="633">
        <f>D218+D219</f>
        <v>885.69764103730836</v>
      </c>
      <c r="E217" s="633">
        <f t="shared" si="24"/>
        <v>107.4249272830582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493.41909521465584</v>
      </c>
      <c r="D218" s="633">
        <f t="shared" si="25"/>
        <v>556.7643964692968</v>
      </c>
      <c r="E218" s="633">
        <f t="shared" si="24"/>
        <v>63.345301254640958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284.85361853959427</v>
      </c>
      <c r="D219" s="633">
        <f t="shared" si="25"/>
        <v>328.93324456801162</v>
      </c>
      <c r="E219" s="633">
        <f t="shared" si="24"/>
        <v>44.079626028417351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28.5736025753585</v>
      </c>
      <c r="D220" s="633">
        <f t="shared" si="25"/>
        <v>19.092927552875874</v>
      </c>
      <c r="E220" s="633">
        <f t="shared" si="24"/>
        <v>-9.4806750224826253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252.9079046857193</v>
      </c>
      <c r="D221" s="633">
        <f t="shared" si="25"/>
        <v>178.29202379323846</v>
      </c>
      <c r="E221" s="633">
        <f t="shared" si="24"/>
        <v>-74.615880892480845</v>
      </c>
    </row>
    <row r="222" spans="1:5" s="421" customFormat="1" x14ac:dyDescent="0.2">
      <c r="A222" s="588"/>
      <c r="B222" s="592" t="s">
        <v>825</v>
      </c>
      <c r="C222" s="634">
        <f>C216+C218+C219+C220</f>
        <v>2159.1793397916408</v>
      </c>
      <c r="D222" s="634">
        <f>D216+D218+D219+D220</f>
        <v>2419.5981819141266</v>
      </c>
      <c r="E222" s="634">
        <f t="shared" si="24"/>
        <v>260.41884212248578</v>
      </c>
    </row>
    <row r="223" spans="1:5" s="421" customFormat="1" x14ac:dyDescent="0.2">
      <c r="A223" s="588"/>
      <c r="B223" s="592" t="s">
        <v>826</v>
      </c>
      <c r="C223" s="634">
        <f>C215+C222</f>
        <v>4861.1306906402788</v>
      </c>
      <c r="D223" s="634">
        <f>D215+D222</f>
        <v>5022.7169388508628</v>
      </c>
      <c r="E223" s="634">
        <f t="shared" si="24"/>
        <v>161.58624821058402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8262.9884007224409</v>
      </c>
      <c r="D227" s="636">
        <f t="shared" si="26"/>
        <v>8412.6073318149447</v>
      </c>
      <c r="E227" s="636">
        <f t="shared" ref="E227:E235" si="27">D227-C227</f>
        <v>149.61893109250377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9275.6202648076869</v>
      </c>
      <c r="D228" s="636">
        <f t="shared" si="26"/>
        <v>9460.0520238288409</v>
      </c>
      <c r="E228" s="636">
        <f t="shared" si="27"/>
        <v>184.43175902115399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6074.8268930087115</v>
      </c>
      <c r="D229" s="636">
        <f t="shared" si="26"/>
        <v>6369.8080902764532</v>
      </c>
      <c r="E229" s="636">
        <f t="shared" si="27"/>
        <v>294.98119726774166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4890.8987830764563</v>
      </c>
      <c r="D230" s="636">
        <f t="shared" si="26"/>
        <v>4504.4421565084576</v>
      </c>
      <c r="E230" s="636">
        <f t="shared" si="27"/>
        <v>-386.45662656799868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7420.0308375005761</v>
      </c>
      <c r="D231" s="636">
        <f t="shared" si="26"/>
        <v>9040.4852667698178</v>
      </c>
      <c r="E231" s="636">
        <f t="shared" si="27"/>
        <v>1620.4544292692417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5199.8961038961043</v>
      </c>
      <c r="D232" s="636">
        <f t="shared" si="26"/>
        <v>9707.299127415703</v>
      </c>
      <c r="E232" s="636">
        <f t="shared" si="27"/>
        <v>4507.4030235195987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177.56109305405084</v>
      </c>
      <c r="D233" s="636">
        <f t="shared" si="26"/>
        <v>363.88540275022598</v>
      </c>
      <c r="E233" s="636">
        <f t="shared" si="27"/>
        <v>186.32430969617513</v>
      </c>
    </row>
    <row r="234" spans="1:5" x14ac:dyDescent="0.2">
      <c r="A234" s="588"/>
      <c r="B234" s="592" t="s">
        <v>828</v>
      </c>
      <c r="C234" s="637">
        <f t="shared" si="26"/>
        <v>8654.4668803277891</v>
      </c>
      <c r="D234" s="637">
        <f t="shared" si="26"/>
        <v>8855.1002199074337</v>
      </c>
      <c r="E234" s="637">
        <f t="shared" si="27"/>
        <v>200.6333395796446</v>
      </c>
    </row>
    <row r="235" spans="1:5" s="421" customFormat="1" x14ac:dyDescent="0.2">
      <c r="A235" s="588"/>
      <c r="B235" s="592" t="s">
        <v>829</v>
      </c>
      <c r="C235" s="637">
        <f t="shared" si="26"/>
        <v>8569.5155744189196</v>
      </c>
      <c r="D235" s="637">
        <f t="shared" si="26"/>
        <v>8757.1598284583579</v>
      </c>
      <c r="E235" s="637">
        <f t="shared" si="27"/>
        <v>187.64425403943824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6381.6763372087607</v>
      </c>
      <c r="D239" s="636">
        <f t="shared" si="28"/>
        <v>6533.111466651887</v>
      </c>
      <c r="E239" s="638">
        <f t="shared" ref="E239:E247" si="29">D239-C239</f>
        <v>151.43512944312624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5242.6649922736678</v>
      </c>
      <c r="D240" s="636">
        <f t="shared" si="28"/>
        <v>4514.5198240679529</v>
      </c>
      <c r="E240" s="638">
        <f t="shared" si="29"/>
        <v>-728.14516820571498</v>
      </c>
    </row>
    <row r="241" spans="1:5" x14ac:dyDescent="0.2">
      <c r="A241" s="588">
        <v>3</v>
      </c>
      <c r="B241" s="587" t="s">
        <v>777</v>
      </c>
      <c r="C241" s="636">
        <f t="shared" si="28"/>
        <v>2944.3483749368261</v>
      </c>
      <c r="D241" s="636">
        <f t="shared" si="28"/>
        <v>2451.859302071377</v>
      </c>
      <c r="E241" s="638">
        <f t="shared" si="29"/>
        <v>-492.48907286544909</v>
      </c>
    </row>
    <row r="242" spans="1:5" x14ac:dyDescent="0.2">
      <c r="A242" s="588">
        <v>4</v>
      </c>
      <c r="B242" s="587" t="s">
        <v>115</v>
      </c>
      <c r="C242" s="636">
        <f t="shared" si="28"/>
        <v>3161.9955837364973</v>
      </c>
      <c r="D242" s="636">
        <f t="shared" si="28"/>
        <v>2633.6885212107177</v>
      </c>
      <c r="E242" s="638">
        <f t="shared" si="29"/>
        <v>-528.30706252577966</v>
      </c>
    </row>
    <row r="243" spans="1:5" x14ac:dyDescent="0.2">
      <c r="A243" s="588">
        <v>5</v>
      </c>
      <c r="B243" s="587" t="s">
        <v>743</v>
      </c>
      <c r="C243" s="636">
        <f t="shared" si="28"/>
        <v>2567.3431980585774</v>
      </c>
      <c r="D243" s="636">
        <f t="shared" si="28"/>
        <v>2144.0885396859821</v>
      </c>
      <c r="E243" s="638">
        <f t="shared" si="29"/>
        <v>-423.25465837259526</v>
      </c>
    </row>
    <row r="244" spans="1:5" x14ac:dyDescent="0.2">
      <c r="A244" s="588">
        <v>6</v>
      </c>
      <c r="B244" s="587" t="s">
        <v>424</v>
      </c>
      <c r="C244" s="636">
        <f t="shared" si="28"/>
        <v>1251.2947888074073</v>
      </c>
      <c r="D244" s="636">
        <f t="shared" si="28"/>
        <v>2344.2711902637566</v>
      </c>
      <c r="E244" s="638">
        <f t="shared" si="29"/>
        <v>1092.9764014563493</v>
      </c>
    </row>
    <row r="245" spans="1:5" x14ac:dyDescent="0.2">
      <c r="A245" s="588">
        <v>7</v>
      </c>
      <c r="B245" s="587" t="s">
        <v>758</v>
      </c>
      <c r="C245" s="636">
        <f t="shared" si="28"/>
        <v>889.22092126564792</v>
      </c>
      <c r="D245" s="636">
        <f t="shared" si="28"/>
        <v>1142.0252890063489</v>
      </c>
      <c r="E245" s="638">
        <f t="shared" si="29"/>
        <v>252.80436774070097</v>
      </c>
    </row>
    <row r="246" spans="1:5" x14ac:dyDescent="0.2">
      <c r="A246" s="588"/>
      <c r="B246" s="592" t="s">
        <v>831</v>
      </c>
      <c r="C246" s="637">
        <f t="shared" si="28"/>
        <v>4361.4204834456887</v>
      </c>
      <c r="D246" s="637">
        <f t="shared" si="28"/>
        <v>3742.3544403710289</v>
      </c>
      <c r="E246" s="639">
        <f t="shared" si="29"/>
        <v>-619.06604307465977</v>
      </c>
    </row>
    <row r="247" spans="1:5" x14ac:dyDescent="0.2">
      <c r="A247" s="588"/>
      <c r="B247" s="592" t="s">
        <v>832</v>
      </c>
      <c r="C247" s="637">
        <f t="shared" si="28"/>
        <v>5484.3347559718659</v>
      </c>
      <c r="D247" s="637">
        <f t="shared" si="28"/>
        <v>5188.7174446192357</v>
      </c>
      <c r="E247" s="639">
        <f t="shared" si="29"/>
        <v>-295.61731135263017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1026642.0170012238</v>
      </c>
      <c r="D251" s="622">
        <f>((IF((IF(D15=0,0,D26/D15)*D138)=0,0,D59/(IF(D15=0,0,D26/D15)*D138)))-(IF((IF(D17=0,0,D28/D17)*D140)=0,0,D61/(IF(D17=0,0,D28/D17)*D140))))*(IF(D17=0,0,D28/D17)*D140)</f>
        <v>1047179.9051958697</v>
      </c>
      <c r="E251" s="622">
        <f>D251-C251</f>
        <v>20537.888194645988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1096517.439829648</v>
      </c>
      <c r="D252" s="622">
        <f>IF(D231=0,0,(D228-D231)*D207)+IF(D243=0,0,(D240-D243)*D219)</f>
        <v>848481.3161860659</v>
      </c>
      <c r="E252" s="622">
        <f>D252-C252</f>
        <v>-248036.1236435821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1403330.7283241358</v>
      </c>
      <c r="D253" s="622">
        <f>IF(D233=0,0,(D228-D233)*D209+IF(D221=0,0,(D240-D245)*D221))</f>
        <v>1005720.8169608434</v>
      </c>
      <c r="E253" s="622">
        <f>D253-C253</f>
        <v>-397609.91136329237</v>
      </c>
    </row>
    <row r="254" spans="1:5" ht="15" customHeight="1" x14ac:dyDescent="0.2">
      <c r="A254" s="588"/>
      <c r="B254" s="592" t="s">
        <v>759</v>
      </c>
      <c r="C254" s="640">
        <f>+C251+C252+C253</f>
        <v>3526490.1851550075</v>
      </c>
      <c r="D254" s="640">
        <f>+D251+D252+D253</f>
        <v>2901382.038342779</v>
      </c>
      <c r="E254" s="640">
        <f>D254-C254</f>
        <v>-625108.14681222849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143606025</v>
      </c>
      <c r="D258" s="625">
        <f>+D44</f>
        <v>143045834</v>
      </c>
      <c r="E258" s="622">
        <f t="shared" ref="E258:E271" si="30">D258-C258</f>
        <v>-560191</v>
      </c>
    </row>
    <row r="259" spans="1:5" x14ac:dyDescent="0.2">
      <c r="A259" s="588">
        <v>2</v>
      </c>
      <c r="B259" s="587" t="s">
        <v>742</v>
      </c>
      <c r="C259" s="622">
        <f>+(C43-C76)</f>
        <v>65379543</v>
      </c>
      <c r="D259" s="625">
        <f>+(D43-D76)</f>
        <v>64763249</v>
      </c>
      <c r="E259" s="622">
        <f t="shared" si="30"/>
        <v>-616294</v>
      </c>
    </row>
    <row r="260" spans="1:5" x14ac:dyDescent="0.2">
      <c r="A260" s="588">
        <v>3</v>
      </c>
      <c r="B260" s="587" t="s">
        <v>746</v>
      </c>
      <c r="C260" s="622">
        <f>C195</f>
        <v>2672287</v>
      </c>
      <c r="D260" s="622">
        <f>D195</f>
        <v>3120423</v>
      </c>
      <c r="E260" s="622">
        <f t="shared" si="30"/>
        <v>448136</v>
      </c>
    </row>
    <row r="261" spans="1:5" x14ac:dyDescent="0.2">
      <c r="A261" s="588">
        <v>4</v>
      </c>
      <c r="B261" s="587" t="s">
        <v>747</v>
      </c>
      <c r="C261" s="622">
        <f>C188</f>
        <v>25256860</v>
      </c>
      <c r="D261" s="622">
        <f>D188</f>
        <v>25303158</v>
      </c>
      <c r="E261" s="622">
        <f t="shared" si="30"/>
        <v>46298</v>
      </c>
    </row>
    <row r="262" spans="1:5" x14ac:dyDescent="0.2">
      <c r="A262" s="588">
        <v>5</v>
      </c>
      <c r="B262" s="587" t="s">
        <v>748</v>
      </c>
      <c r="C262" s="622">
        <f>C191</f>
        <v>653554</v>
      </c>
      <c r="D262" s="622">
        <f>D191</f>
        <v>940318</v>
      </c>
      <c r="E262" s="622">
        <f t="shared" si="30"/>
        <v>286764</v>
      </c>
    </row>
    <row r="263" spans="1:5" x14ac:dyDescent="0.2">
      <c r="A263" s="588">
        <v>6</v>
      </c>
      <c r="B263" s="587" t="s">
        <v>749</v>
      </c>
      <c r="C263" s="622">
        <f>+C259+C260+C261+C262</f>
        <v>93962244</v>
      </c>
      <c r="D263" s="622">
        <f>+D259+D260+D261+D262</f>
        <v>94127148</v>
      </c>
      <c r="E263" s="622">
        <f t="shared" si="30"/>
        <v>164904</v>
      </c>
    </row>
    <row r="264" spans="1:5" x14ac:dyDescent="0.2">
      <c r="A264" s="588">
        <v>7</v>
      </c>
      <c r="B264" s="587" t="s">
        <v>654</v>
      </c>
      <c r="C264" s="622">
        <f>+C258-C263</f>
        <v>49643781</v>
      </c>
      <c r="D264" s="622">
        <f>+D258-D263</f>
        <v>48918686</v>
      </c>
      <c r="E264" s="622">
        <f t="shared" si="30"/>
        <v>-725095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49643781</v>
      </c>
      <c r="D266" s="622">
        <f>+D264+D265</f>
        <v>48918686</v>
      </c>
      <c r="E266" s="641">
        <f t="shared" si="30"/>
        <v>-725095</v>
      </c>
    </row>
    <row r="267" spans="1:5" x14ac:dyDescent="0.2">
      <c r="A267" s="588">
        <v>10</v>
      </c>
      <c r="B267" s="587" t="s">
        <v>837</v>
      </c>
      <c r="C267" s="642">
        <f>IF(C258=0,0,C266/C258)</f>
        <v>0.34569427710292794</v>
      </c>
      <c r="D267" s="642">
        <f>IF(D258=0,0,D266/D258)</f>
        <v>0.34197910300554435</v>
      </c>
      <c r="E267" s="643">
        <f t="shared" si="30"/>
        <v>-3.7151740973835889E-3</v>
      </c>
    </row>
    <row r="268" spans="1:5" x14ac:dyDescent="0.2">
      <c r="A268" s="588">
        <v>11</v>
      </c>
      <c r="B268" s="587" t="s">
        <v>716</v>
      </c>
      <c r="C268" s="622">
        <f>+C260*C267</f>
        <v>923794.32267655199</v>
      </c>
      <c r="D268" s="644">
        <f>+D260*D267</f>
        <v>1067119.4585378696</v>
      </c>
      <c r="E268" s="622">
        <f t="shared" si="30"/>
        <v>143325.13586131763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2593697.1186756054</v>
      </c>
      <c r="D269" s="644">
        <f>((D17+D18+D28+D29)*D267)-(D50+D51+D61+D62)</f>
        <v>2375543.7636296349</v>
      </c>
      <c r="E269" s="622">
        <f t="shared" si="30"/>
        <v>-218153.35504597053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x14ac:dyDescent="0.2">
      <c r="A271" s="588">
        <v>14</v>
      </c>
      <c r="B271" s="587" t="s">
        <v>840</v>
      </c>
      <c r="C271" s="622">
        <f>+C268+C269+C270</f>
        <v>3517491.4413521574</v>
      </c>
      <c r="D271" s="622">
        <f>+D268+D269+D270</f>
        <v>3442663.2221675045</v>
      </c>
      <c r="E271" s="625">
        <f t="shared" si="30"/>
        <v>-74828.219184652902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0.47494245122816303</v>
      </c>
      <c r="D276" s="623">
        <f t="shared" si="31"/>
        <v>0.47714569442474108</v>
      </c>
      <c r="E276" s="650">
        <f t="shared" ref="E276:E284" si="32">D276-C276</f>
        <v>2.203243196578053E-3</v>
      </c>
    </row>
    <row r="277" spans="1:5" x14ac:dyDescent="0.2">
      <c r="A277" s="588">
        <v>2</v>
      </c>
      <c r="B277" s="587" t="s">
        <v>635</v>
      </c>
      <c r="C277" s="623">
        <f t="shared" si="31"/>
        <v>0.4207541341137559</v>
      </c>
      <c r="D277" s="623">
        <f t="shared" si="31"/>
        <v>0.46679251173372011</v>
      </c>
      <c r="E277" s="650">
        <f t="shared" si="32"/>
        <v>4.603837761996421E-2</v>
      </c>
    </row>
    <row r="278" spans="1:5" x14ac:dyDescent="0.2">
      <c r="A278" s="588">
        <v>3</v>
      </c>
      <c r="B278" s="587" t="s">
        <v>777</v>
      </c>
      <c r="C278" s="623">
        <f t="shared" si="31"/>
        <v>0.32689999435353262</v>
      </c>
      <c r="D278" s="623">
        <f t="shared" si="31"/>
        <v>0.37329864379674565</v>
      </c>
      <c r="E278" s="650">
        <f t="shared" si="32"/>
        <v>4.6398649443213036E-2</v>
      </c>
    </row>
    <row r="279" spans="1:5" x14ac:dyDescent="0.2">
      <c r="A279" s="588">
        <v>4</v>
      </c>
      <c r="B279" s="587" t="s">
        <v>115</v>
      </c>
      <c r="C279" s="623">
        <f t="shared" si="31"/>
        <v>0.28123918072710008</v>
      </c>
      <c r="D279" s="623">
        <f t="shared" si="31"/>
        <v>0.27205203141548562</v>
      </c>
      <c r="E279" s="650">
        <f t="shared" si="32"/>
        <v>-9.187149311614462E-3</v>
      </c>
    </row>
    <row r="280" spans="1:5" x14ac:dyDescent="0.2">
      <c r="A280" s="588">
        <v>5</v>
      </c>
      <c r="B280" s="587" t="s">
        <v>743</v>
      </c>
      <c r="C280" s="623">
        <f t="shared" si="31"/>
        <v>0.37215153873745915</v>
      </c>
      <c r="D280" s="623">
        <f t="shared" si="31"/>
        <v>0.50822262534757556</v>
      </c>
      <c r="E280" s="650">
        <f t="shared" si="32"/>
        <v>0.13607108661011641</v>
      </c>
    </row>
    <row r="281" spans="1:5" x14ac:dyDescent="0.2">
      <c r="A281" s="588">
        <v>6</v>
      </c>
      <c r="B281" s="587" t="s">
        <v>424</v>
      </c>
      <c r="C281" s="623">
        <f t="shared" si="31"/>
        <v>0.73235294117647054</v>
      </c>
      <c r="D281" s="623">
        <f t="shared" si="31"/>
        <v>0.62160530635982836</v>
      </c>
      <c r="E281" s="650">
        <f t="shared" si="32"/>
        <v>-0.11074763481664218</v>
      </c>
    </row>
    <row r="282" spans="1:5" x14ac:dyDescent="0.2">
      <c r="A282" s="588">
        <v>7</v>
      </c>
      <c r="B282" s="587" t="s">
        <v>758</v>
      </c>
      <c r="C282" s="623">
        <f t="shared" si="31"/>
        <v>1.6163320767949504E-2</v>
      </c>
      <c r="D282" s="623">
        <f t="shared" si="31"/>
        <v>2.5439519229408517E-2</v>
      </c>
      <c r="E282" s="650">
        <f t="shared" si="32"/>
        <v>9.2761984614590128E-3</v>
      </c>
    </row>
    <row r="283" spans="1:5" ht="29.25" customHeight="1" x14ac:dyDescent="0.2">
      <c r="A283" s="588"/>
      <c r="B283" s="592" t="s">
        <v>844</v>
      </c>
      <c r="C283" s="651">
        <f t="shared" si="31"/>
        <v>0.40585899840090472</v>
      </c>
      <c r="D283" s="651">
        <f t="shared" si="31"/>
        <v>0.4513728225226652</v>
      </c>
      <c r="E283" s="652">
        <f t="shared" si="32"/>
        <v>4.5513824121760471E-2</v>
      </c>
    </row>
    <row r="284" spans="1:5" x14ac:dyDescent="0.2">
      <c r="A284" s="588"/>
      <c r="B284" s="592" t="s">
        <v>845</v>
      </c>
      <c r="C284" s="651">
        <f t="shared" si="31"/>
        <v>0.41859914485023891</v>
      </c>
      <c r="D284" s="651">
        <f t="shared" si="31"/>
        <v>0.45661711462962967</v>
      </c>
      <c r="E284" s="652">
        <f t="shared" si="32"/>
        <v>3.8017969779390759E-2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0.4183006604127128</v>
      </c>
      <c r="D287" s="623">
        <f t="shared" si="33"/>
        <v>0.41434034987486196</v>
      </c>
      <c r="E287" s="650">
        <f t="shared" ref="E287:E295" si="34">D287-C287</f>
        <v>-3.9603105378508419E-3</v>
      </c>
    </row>
    <row r="288" spans="1:5" x14ac:dyDescent="0.2">
      <c r="A288" s="588">
        <v>2</v>
      </c>
      <c r="B288" s="587" t="s">
        <v>635</v>
      </c>
      <c r="C288" s="623">
        <f t="shared" si="33"/>
        <v>0.20291302554453267</v>
      </c>
      <c r="D288" s="623">
        <f t="shared" si="33"/>
        <v>0.18079897442106951</v>
      </c>
      <c r="E288" s="650">
        <f t="shared" si="34"/>
        <v>-2.2114051123463152E-2</v>
      </c>
    </row>
    <row r="289" spans="1:5" x14ac:dyDescent="0.2">
      <c r="A289" s="588">
        <v>3</v>
      </c>
      <c r="B289" s="587" t="s">
        <v>777</v>
      </c>
      <c r="C289" s="623">
        <f t="shared" si="33"/>
        <v>0.16674495133046696</v>
      </c>
      <c r="D289" s="623">
        <f t="shared" si="33"/>
        <v>0.15601267868919827</v>
      </c>
      <c r="E289" s="650">
        <f t="shared" si="34"/>
        <v>-1.0732272641268692E-2</v>
      </c>
    </row>
    <row r="290" spans="1:5" x14ac:dyDescent="0.2">
      <c r="A290" s="588">
        <v>4</v>
      </c>
      <c r="B290" s="587" t="s">
        <v>115</v>
      </c>
      <c r="C290" s="623">
        <f t="shared" si="33"/>
        <v>0.19444212153029844</v>
      </c>
      <c r="D290" s="623">
        <f t="shared" si="33"/>
        <v>0.18166431132485591</v>
      </c>
      <c r="E290" s="650">
        <f t="shared" si="34"/>
        <v>-1.2777810205442525E-2</v>
      </c>
    </row>
    <row r="291" spans="1:5" x14ac:dyDescent="0.2">
      <c r="A291" s="588">
        <v>5</v>
      </c>
      <c r="B291" s="587" t="s">
        <v>743</v>
      </c>
      <c r="C291" s="623">
        <f t="shared" si="33"/>
        <v>0.12788267033372877</v>
      </c>
      <c r="D291" s="623">
        <f t="shared" si="33"/>
        <v>0.12060508607063601</v>
      </c>
      <c r="E291" s="650">
        <f t="shared" si="34"/>
        <v>-7.2775842630927595E-3</v>
      </c>
    </row>
    <row r="292" spans="1:5" x14ac:dyDescent="0.2">
      <c r="A292" s="588">
        <v>6</v>
      </c>
      <c r="B292" s="587" t="s">
        <v>424</v>
      </c>
      <c r="C292" s="623">
        <f t="shared" si="33"/>
        <v>0.20140829202343397</v>
      </c>
      <c r="D292" s="623">
        <f t="shared" si="33"/>
        <v>0.22435364056500687</v>
      </c>
      <c r="E292" s="650">
        <f t="shared" si="34"/>
        <v>2.2945348541572902E-2</v>
      </c>
    </row>
    <row r="293" spans="1:5" x14ac:dyDescent="0.2">
      <c r="A293" s="588">
        <v>7</v>
      </c>
      <c r="B293" s="587" t="s">
        <v>758</v>
      </c>
      <c r="C293" s="623">
        <f t="shared" si="33"/>
        <v>0.10962276852194419</v>
      </c>
      <c r="D293" s="623">
        <f t="shared" si="33"/>
        <v>9.1580523475340847E-2</v>
      </c>
      <c r="E293" s="650">
        <f t="shared" si="34"/>
        <v>-1.8042245046603345E-2</v>
      </c>
    </row>
    <row r="294" spans="1:5" ht="29.25" customHeight="1" x14ac:dyDescent="0.2">
      <c r="A294" s="588"/>
      <c r="B294" s="592" t="s">
        <v>847</v>
      </c>
      <c r="C294" s="651">
        <f t="shared" si="33"/>
        <v>0.19273483520999865</v>
      </c>
      <c r="D294" s="651">
        <f t="shared" si="33"/>
        <v>0.17432420496366316</v>
      </c>
      <c r="E294" s="652">
        <f t="shared" si="34"/>
        <v>-1.8410630246335491E-2</v>
      </c>
    </row>
    <row r="295" spans="1:5" x14ac:dyDescent="0.2">
      <c r="A295" s="588"/>
      <c r="B295" s="592" t="s">
        <v>848</v>
      </c>
      <c r="C295" s="651">
        <f t="shared" si="33"/>
        <v>0.29595388006813761</v>
      </c>
      <c r="D295" s="651">
        <f t="shared" si="33"/>
        <v>0.28026664318839034</v>
      </c>
      <c r="E295" s="652">
        <f t="shared" si="34"/>
        <v>-1.5687236879747268E-2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49065249</v>
      </c>
      <c r="D301" s="590">
        <f>+D48+D47+D50+D51+D52+D59+D58+D61+D62+D63</f>
        <v>48918683</v>
      </c>
      <c r="E301" s="590">
        <f>D301-C301</f>
        <v>-146566</v>
      </c>
    </row>
    <row r="302" spans="1: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49065249</v>
      </c>
      <c r="D303" s="593">
        <f>+D301+D302</f>
        <v>48918683</v>
      </c>
      <c r="E303" s="593">
        <f>D303-C303</f>
        <v>-146566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420328</v>
      </c>
      <c r="D305" s="654">
        <v>235741</v>
      </c>
      <c r="E305" s="655">
        <f>D305-C305</f>
        <v>-184587</v>
      </c>
    </row>
    <row r="306" spans="1:5" x14ac:dyDescent="0.2">
      <c r="A306" s="588">
        <v>4</v>
      </c>
      <c r="B306" s="592" t="s">
        <v>855</v>
      </c>
      <c r="C306" s="593">
        <f>+C303+C305+C194+C190-C191</f>
        <v>51922298</v>
      </c>
      <c r="D306" s="593">
        <f>+D303+D305</f>
        <v>49154424</v>
      </c>
      <c r="E306" s="656">
        <f>D306-C306</f>
        <v>-2767874</v>
      </c>
    </row>
    <row r="307" spans="1:5" x14ac:dyDescent="0.2">
      <c r="A307" s="588"/>
      <c r="B307" s="586"/>
      <c r="C307" s="586"/>
      <c r="D307" s="586"/>
      <c r="E307" s="590"/>
    </row>
    <row r="308" spans="1:5" x14ac:dyDescent="0.2">
      <c r="A308" s="588">
        <v>5</v>
      </c>
      <c r="B308" s="587" t="s">
        <v>856</v>
      </c>
      <c r="C308" s="589">
        <v>49485574</v>
      </c>
      <c r="D308" s="589">
        <v>49154424</v>
      </c>
      <c r="E308" s="590">
        <f>D308-C308</f>
        <v>-331150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2436724</v>
      </c>
      <c r="D310" s="658">
        <f>D306-D308</f>
        <v>0</v>
      </c>
      <c r="E310" s="656">
        <f>D310-C310</f>
        <v>-2436724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143606025</v>
      </c>
      <c r="D314" s="590">
        <f>+D14+D15+D16+D19+D25+D26+D27+D30</f>
        <v>143045834</v>
      </c>
      <c r="E314" s="590">
        <f>D314-C314</f>
        <v>-560191</v>
      </c>
    </row>
    <row r="315" spans="1:5" x14ac:dyDescent="0.2">
      <c r="A315" s="588">
        <v>2</v>
      </c>
      <c r="B315" s="659" t="s">
        <v>860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861</v>
      </c>
      <c r="C316" s="657">
        <f>C314+C315</f>
        <v>143606025</v>
      </c>
      <c r="D316" s="657">
        <f>D314+D315</f>
        <v>143045834</v>
      </c>
      <c r="E316" s="593">
        <f>D316-C316</f>
        <v>-560191</v>
      </c>
    </row>
    <row r="317" spans="1:5" x14ac:dyDescent="0.2">
      <c r="A317" s="588"/>
      <c r="B317" s="586"/>
      <c r="C317" s="589"/>
      <c r="D317" s="589"/>
      <c r="E317" s="590"/>
    </row>
    <row r="318" spans="1:5" x14ac:dyDescent="0.2">
      <c r="A318" s="588">
        <v>3</v>
      </c>
      <c r="B318" s="587" t="s">
        <v>862</v>
      </c>
      <c r="C318" s="589">
        <v>143606025</v>
      </c>
      <c r="D318" s="589">
        <v>143045833</v>
      </c>
      <c r="E318" s="590">
        <f>D318-C318</f>
        <v>-560192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0</v>
      </c>
      <c r="D320" s="657">
        <f>D316-D318</f>
        <v>1</v>
      </c>
      <c r="E320" s="593">
        <f>D320-C320</f>
        <v>1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2672287</v>
      </c>
      <c r="D324" s="589">
        <f>+D193+D194</f>
        <v>3120423</v>
      </c>
      <c r="E324" s="590">
        <f>D324-C324</f>
        <v>448136</v>
      </c>
    </row>
    <row r="325" spans="1:5" x14ac:dyDescent="0.2">
      <c r="A325" s="588">
        <v>2</v>
      </c>
      <c r="B325" s="587" t="s">
        <v>865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866</v>
      </c>
      <c r="C326" s="657">
        <f>C324+C325</f>
        <v>2672287</v>
      </c>
      <c r="D326" s="657">
        <f>D324+D325</f>
        <v>3120423</v>
      </c>
      <c r="E326" s="593">
        <f>D326-C326</f>
        <v>448136</v>
      </c>
    </row>
    <row r="327" spans="1:5" x14ac:dyDescent="0.2">
      <c r="A327" s="588"/>
      <c r="B327" s="586"/>
      <c r="C327" s="589"/>
      <c r="D327" s="589"/>
      <c r="E327" s="590"/>
    </row>
    <row r="328" spans="1:5" x14ac:dyDescent="0.2">
      <c r="A328" s="588">
        <v>3</v>
      </c>
      <c r="B328" s="587" t="s">
        <v>867</v>
      </c>
      <c r="C328" s="589">
        <v>2672287</v>
      </c>
      <c r="D328" s="589">
        <v>3120423</v>
      </c>
      <c r="E328" s="590">
        <f>D328-C328</f>
        <v>448136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75" bottom="0.75" header="0.3" footer="0.3"/>
  <pageSetup scale="62" fitToHeight="0" orientation="portrait" r:id="rId1"/>
  <headerFooter>
    <oddHeader>_x000D_
                &amp;LOFFICE OF HEALTH CARE ACCESS&amp;CTWELVE MONTHS ACTUAL FILING&amp;RESSENT-SHARON HOSPITAL</oddHeader>
    <oddFooter>&amp;LREPORT 550&amp;CPAGE &amp;P of &amp;N&amp;R&amp;D,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10185805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32935207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6800898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3885345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2915553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135837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635979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39871942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50057747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41044675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37824490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13919420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8071723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5847697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199502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2223333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51943412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92988087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51230480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91815354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143045834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4860113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15373908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2538766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1057016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1481750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84437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16179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17997111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22857224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17006465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6838629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2171606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1466344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705262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44759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203614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9054994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26061459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21866578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27052105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48918683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646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1319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432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268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164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13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51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1764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2410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0.89429999999999998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1.2321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0.92259814814814822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0.87560000000000004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0.99939999999999996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0.66910000000000003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0.87180000000000002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1.1521545351473923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1.0830366804979255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51230479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25927321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25303158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0.49390828455849495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1677617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940318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536593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2583830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3120423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661116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49518354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48918683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48918683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235741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49154424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49154424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143045834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143045834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143045833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1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3120423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3120423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3120423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75" bottom="0.75" header="0.3" footer="0.3"/>
  <pageSetup scale="79" fitToHeight="0" orientation="portrait" r:id="rId1"/>
  <headerFooter>
    <oddHeader>&amp;LOFFICE OF HEALTH CARE ACCESS&amp;CTWELVE MONTHS ACTUAL FILING&amp;RESSENT-SHARON HOSPITAL</oddHeader>
    <oddFooter>&amp;LREPORT 600&amp;CPAGE &amp;P of &amp;N&amp;R&amp;D,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882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130</v>
      </c>
      <c r="D12" s="185">
        <v>138</v>
      </c>
      <c r="E12" s="185">
        <f>+D12-C12</f>
        <v>8</v>
      </c>
      <c r="F12" s="77">
        <f>IF(C12=0,0,+E12/C12)</f>
        <v>6.1538461538461542E-2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126</v>
      </c>
      <c r="D13" s="185">
        <v>135</v>
      </c>
      <c r="E13" s="185">
        <f>+D13-C13</f>
        <v>9</v>
      </c>
      <c r="F13" s="77">
        <f>IF(C13=0,0,+E13/C13)</f>
        <v>7.1428571428571425E-2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741722</v>
      </c>
      <c r="D15" s="76">
        <v>536593</v>
      </c>
      <c r="E15" s="76">
        <f>+D15-C15</f>
        <v>-205129</v>
      </c>
      <c r="F15" s="77">
        <f>IF(C15=0,0,+E15/C15)</f>
        <v>-0.27655779389043333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5886.6825396825398</v>
      </c>
      <c r="D16" s="79">
        <f>IF(D13=0,0,+D15/+D13)</f>
        <v>3974.7629629629628</v>
      </c>
      <c r="E16" s="79">
        <f>+D16-C16</f>
        <v>-1911.919576719577</v>
      </c>
      <c r="F16" s="80">
        <f>IF(C16=0,0,+E16/C16)</f>
        <v>-0.32478727429773785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0.32978600000000002</v>
      </c>
      <c r="D18" s="704">
        <v>0.34665299999999999</v>
      </c>
      <c r="E18" s="704">
        <f>+D18-C18</f>
        <v>1.6866999999999965E-2</v>
      </c>
      <c r="F18" s="77">
        <f>IF(C18=0,0,+E18/C18)</f>
        <v>5.1145288156562024E-2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244609.53149200001</v>
      </c>
      <c r="D19" s="79">
        <f>+D15*D18</f>
        <v>186011.573229</v>
      </c>
      <c r="E19" s="79">
        <f>+D19-C19</f>
        <v>-58597.958263000008</v>
      </c>
      <c r="F19" s="80">
        <f>IF(C19=0,0,+E19/C19)</f>
        <v>-0.23955713379434057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1941.3454880317461</v>
      </c>
      <c r="D20" s="79">
        <f>IF(D13=0,0,+D19/D13)</f>
        <v>1377.8635054000001</v>
      </c>
      <c r="E20" s="79">
        <f>+D20-C20</f>
        <v>-563.48198263174595</v>
      </c>
      <c r="F20" s="80">
        <f>IF(C20=0,0,+E20/C20)</f>
        <v>-0.29025332487471778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263589</v>
      </c>
      <c r="D22" s="76">
        <v>223962</v>
      </c>
      <c r="E22" s="76">
        <f>+D22-C22</f>
        <v>-39627</v>
      </c>
      <c r="F22" s="77">
        <f>IF(C22=0,0,+E22/C22)</f>
        <v>-0.15033631904214514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214674</v>
      </c>
      <c r="D23" s="185">
        <v>156980</v>
      </c>
      <c r="E23" s="185">
        <f>+D23-C23</f>
        <v>-57694</v>
      </c>
      <c r="F23" s="77">
        <f>IF(C23=0,0,+E23/C23)</f>
        <v>-0.26875168860691095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263459</v>
      </c>
      <c r="D24" s="185">
        <v>155651</v>
      </c>
      <c r="E24" s="185">
        <f>+D24-C24</f>
        <v>-107808</v>
      </c>
      <c r="F24" s="77">
        <f>IF(C24=0,0,+E24/C24)</f>
        <v>-0.40920219085322573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741722</v>
      </c>
      <c r="D25" s="79">
        <f>+D22+D23+D24</f>
        <v>536593</v>
      </c>
      <c r="E25" s="79">
        <f>+E22+E23+E24</f>
        <v>-205129</v>
      </c>
      <c r="F25" s="80">
        <f>IF(C25=0,0,+E25/C25)</f>
        <v>-0.27655779389043333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260</v>
      </c>
      <c r="D27" s="185">
        <v>150</v>
      </c>
      <c r="E27" s="185">
        <f>+D27-C27</f>
        <v>-110</v>
      </c>
      <c r="F27" s="77">
        <f>IF(C27=0,0,+E27/C27)</f>
        <v>-0.42307692307692307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63</v>
      </c>
      <c r="D28" s="185">
        <v>50</v>
      </c>
      <c r="E28" s="185">
        <f>+D28-C28</f>
        <v>-13</v>
      </c>
      <c r="F28" s="77">
        <f>IF(C28=0,0,+E28/C28)</f>
        <v>-0.20634920634920634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408</v>
      </c>
      <c r="D29" s="185">
        <v>201</v>
      </c>
      <c r="E29" s="185">
        <f>+D29-C29</f>
        <v>-207</v>
      </c>
      <c r="F29" s="77">
        <f>IF(C29=0,0,+E29/C29)</f>
        <v>-0.50735294117647056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277</v>
      </c>
      <c r="D30" s="185">
        <v>251</v>
      </c>
      <c r="E30" s="185">
        <f>+D30-C30</f>
        <v>-26</v>
      </c>
      <c r="F30" s="77">
        <f>IF(C30=0,0,+E30/C30)</f>
        <v>-9.3862815884476536E-2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128821</v>
      </c>
      <c r="D33" s="76">
        <v>450205</v>
      </c>
      <c r="E33" s="76">
        <f>+D33-C33</f>
        <v>321384</v>
      </c>
      <c r="F33" s="77">
        <f>IF(C33=0,0,+E33/C33)</f>
        <v>2.4948106287018419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672903</v>
      </c>
      <c r="D34" s="185">
        <v>726195</v>
      </c>
      <c r="E34" s="185">
        <f>+D34-C34</f>
        <v>53292</v>
      </c>
      <c r="F34" s="77">
        <f>IF(C34=0,0,+E34/C34)</f>
        <v>7.9197150257912352E-2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1128841</v>
      </c>
      <c r="D35" s="185">
        <v>1407430</v>
      </c>
      <c r="E35" s="185">
        <f>+D35-C35</f>
        <v>278589</v>
      </c>
      <c r="F35" s="77">
        <f>IF(C35=0,0,+E35/C35)</f>
        <v>0.24679206371845105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1930565</v>
      </c>
      <c r="D36" s="79">
        <f>+D33+D34+D35</f>
        <v>2583830</v>
      </c>
      <c r="E36" s="79">
        <f>+E33+E34+E35</f>
        <v>653265</v>
      </c>
      <c r="F36" s="80">
        <f>IF(C36=0,0,+E36/C36)</f>
        <v>0.33838021511837207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741722</v>
      </c>
      <c r="D39" s="76">
        <f>+D25</f>
        <v>536593</v>
      </c>
      <c r="E39" s="76">
        <f>+D39-C39</f>
        <v>-205129</v>
      </c>
      <c r="F39" s="77">
        <f>IF(C39=0,0,+E39/C39)</f>
        <v>-0.27655779389043333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1930565</v>
      </c>
      <c r="D40" s="185">
        <f>+D36</f>
        <v>2583830</v>
      </c>
      <c r="E40" s="185">
        <f>+D40-C40</f>
        <v>653265</v>
      </c>
      <c r="F40" s="77">
        <f>IF(C40=0,0,+E40/C40)</f>
        <v>0.33838021511837207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2672287</v>
      </c>
      <c r="D41" s="79">
        <f>+D39+D40</f>
        <v>3120423</v>
      </c>
      <c r="E41" s="79">
        <f>+E39+E40</f>
        <v>448136</v>
      </c>
      <c r="F41" s="80">
        <f>IF(C41=0,0,+E41/C41)</f>
        <v>0.16769755643761317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392410</v>
      </c>
      <c r="D43" s="76">
        <f t="shared" si="0"/>
        <v>674167</v>
      </c>
      <c r="E43" s="76">
        <f>+D43-C43</f>
        <v>281757</v>
      </c>
      <c r="F43" s="77">
        <f>IF(C43=0,0,+E43/C43)</f>
        <v>0.71801687011034376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887577</v>
      </c>
      <c r="D44" s="185">
        <f t="shared" si="0"/>
        <v>883175</v>
      </c>
      <c r="E44" s="185">
        <f>+D44-C44</f>
        <v>-4402</v>
      </c>
      <c r="F44" s="77">
        <f>IF(C44=0,0,+E44/C44)</f>
        <v>-4.9595697049382758E-3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1392300</v>
      </c>
      <c r="D45" s="185">
        <f t="shared" si="0"/>
        <v>1563081</v>
      </c>
      <c r="E45" s="185">
        <f>+D45-C45</f>
        <v>170781</v>
      </c>
      <c r="F45" s="77">
        <f>IF(C45=0,0,+E45/C45)</f>
        <v>0.12266106442577031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2672287</v>
      </c>
      <c r="D46" s="79">
        <f>+D43+D44+D45</f>
        <v>3120423</v>
      </c>
      <c r="E46" s="79">
        <f>+E43+E44+E45</f>
        <v>448136</v>
      </c>
      <c r="F46" s="80">
        <f>IF(C46=0,0,+E46/C46)</f>
        <v>0.16769755643761317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911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75" bottom="0.75" header="0.3" footer="0.3"/>
  <pageSetup scale="75" fitToHeight="0" orientation="portrait" r:id="rId1"/>
  <headerFooter>
    <oddHeader>_x000D_
                  &amp;LOFFICE OF HEALTH CARE ACCESS&amp;CTWELVE MONTHS ACTUAL FILING&amp;RESSENT-SHARON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912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913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51092254</v>
      </c>
      <c r="D15" s="76">
        <v>51230479</v>
      </c>
      <c r="E15" s="76">
        <f>+D15-C15</f>
        <v>138225</v>
      </c>
      <c r="F15" s="77">
        <f>IF(C15=0,0,E15/C15)</f>
        <v>2.7054003137148737E-3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25256860</v>
      </c>
      <c r="D17" s="76">
        <v>25303158</v>
      </c>
      <c r="E17" s="76">
        <f>+D17-C17</f>
        <v>46298</v>
      </c>
      <c r="F17" s="77">
        <f>IF(C17=0,0,E17/C17)</f>
        <v>1.8330861397655924E-3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25835394</v>
      </c>
      <c r="D19" s="79">
        <f>+D15-D17</f>
        <v>25927321</v>
      </c>
      <c r="E19" s="79">
        <f>+D19-C19</f>
        <v>91927</v>
      </c>
      <c r="F19" s="80">
        <f>IF(C19=0,0,E19/C19)</f>
        <v>3.558180688090145E-3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0.49433833942812544</v>
      </c>
      <c r="D21" s="720">
        <f>IF(D15=0,0,D17/D15)</f>
        <v>0.49390828455849495</v>
      </c>
      <c r="E21" s="720">
        <f>+D21-C21</f>
        <v>-4.3005486963049178E-4</v>
      </c>
      <c r="F21" s="80">
        <f>IF(C21=0,0,E21/C21)</f>
        <v>-8.6996058231696149E-4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75" bottom="0.75" header="0.3" footer="0.3"/>
  <pageSetup scale="89" fitToHeight="0" orientation="landscape" r:id="rId1"/>
  <headerFooter>
    <oddHeader>&amp;L&amp;12OFFICE OF HEALTH CARE ACCESS&amp;C&amp;12TWELVE MONTHS ACTUAL FILING&amp;R&amp;12ESSENT-SHARON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57855847</v>
      </c>
      <c r="D10" s="744">
        <v>53524192</v>
      </c>
      <c r="E10" s="744">
        <v>50057747</v>
      </c>
    </row>
    <row r="11" spans="1:6" ht="26.1" customHeight="1" x14ac:dyDescent="0.25">
      <c r="A11" s="742">
        <v>2</v>
      </c>
      <c r="B11" s="743" t="s">
        <v>932</v>
      </c>
      <c r="C11" s="744">
        <v>87316500</v>
      </c>
      <c r="D11" s="744">
        <v>90081833</v>
      </c>
      <c r="E11" s="744">
        <v>92988087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145172347</v>
      </c>
      <c r="D12" s="744">
        <f>+D11+D10</f>
        <v>143606025</v>
      </c>
      <c r="E12" s="744">
        <f>+E11+E10</f>
        <v>143045834</v>
      </c>
    </row>
    <row r="13" spans="1:6" ht="26.1" customHeight="1" x14ac:dyDescent="0.25">
      <c r="A13" s="742">
        <v>4</v>
      </c>
      <c r="B13" s="743" t="s">
        <v>507</v>
      </c>
      <c r="C13" s="744">
        <v>50085913</v>
      </c>
      <c r="D13" s="744">
        <v>49485574</v>
      </c>
      <c r="E13" s="744">
        <v>49154424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48236048</v>
      </c>
      <c r="D16" s="744">
        <v>50076702</v>
      </c>
      <c r="E16" s="744">
        <v>49518354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11690</v>
      </c>
      <c r="D19" s="747">
        <v>11029</v>
      </c>
      <c r="E19" s="747">
        <v>9789</v>
      </c>
    </row>
    <row r="20" spans="1:5" ht="26.1" customHeight="1" x14ac:dyDescent="0.25">
      <c r="A20" s="742">
        <v>2</v>
      </c>
      <c r="B20" s="743" t="s">
        <v>381</v>
      </c>
      <c r="C20" s="748">
        <v>2616</v>
      </c>
      <c r="D20" s="748">
        <v>2466</v>
      </c>
      <c r="E20" s="748">
        <v>2410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4.4686544342507641</v>
      </c>
      <c r="D21" s="749">
        <f>IF(D20=0,0,+D19/D20)</f>
        <v>4.4724249797242495</v>
      </c>
      <c r="E21" s="749">
        <f>IF(E20=0,0,+E19/E20)</f>
        <v>4.0618257261410786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29332.640077501586</v>
      </c>
      <c r="D22" s="748">
        <f>IF(D10=0,0,D19*(D12/D10))</f>
        <v>29590.934314804788</v>
      </c>
      <c r="E22" s="748">
        <f>IF(E10=0,0,E19*(E12/E10))</f>
        <v>27973.206005975459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6564.0878051962491</v>
      </c>
      <c r="D23" s="748">
        <f>IF(D10=0,0,D20*(D12/D10))</f>
        <v>6616.3064666160672</v>
      </c>
      <c r="E23" s="748">
        <f>IF(E10=0,0,E20*(E12/E10))</f>
        <v>6886.8552941465787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1.0726553134556576</v>
      </c>
      <c r="D26" s="750">
        <v>1.060227615571776</v>
      </c>
      <c r="E26" s="750">
        <v>1.0830366804979255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12539.340614296638</v>
      </c>
      <c r="D27" s="748">
        <f>D19*D26</f>
        <v>11693.250372141118</v>
      </c>
      <c r="E27" s="748">
        <f>E19*E26</f>
        <v>10601.846065394193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2806.0663000000004</v>
      </c>
      <c r="D28" s="748">
        <f>D20*D26</f>
        <v>2614.5212999999999</v>
      </c>
      <c r="E28" s="748">
        <f>E20*E26</f>
        <v>2610.1184000000003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31463.812236814447</v>
      </c>
      <c r="D29" s="748">
        <f>D22*D26</f>
        <v>31373.125731126525</v>
      </c>
      <c r="E29" s="748">
        <f>E22*E26</f>
        <v>30296.008175596293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7041.0036622332418</v>
      </c>
      <c r="D30" s="748">
        <f>D23*D26</f>
        <v>7014.7908289924753</v>
      </c>
      <c r="E30" s="748">
        <f>E23*E26</f>
        <v>7458.7168968420747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12418.507014542343</v>
      </c>
      <c r="D33" s="744">
        <f>IF(D19=0,0,D12/D19)</f>
        <v>13020.765708586454</v>
      </c>
      <c r="E33" s="744">
        <f>IF(E19=0,0,E12/E19)</f>
        <v>14612.915926039432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55494.01643730887</v>
      </c>
      <c r="D34" s="744">
        <f>IF(D20=0,0,D12/D20)</f>
        <v>58234.397810218979</v>
      </c>
      <c r="E34" s="744">
        <f>IF(E20=0,0,E12/E20)</f>
        <v>59355.117842323649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4949.1742514970065</v>
      </c>
      <c r="D35" s="744">
        <f>IF(D22=0,0,D12/D22)</f>
        <v>4853.0412548735158</v>
      </c>
      <c r="E35" s="744">
        <f>IF(E22=0,0,E12/E22)</f>
        <v>5113.6732046174275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22116.149464831804</v>
      </c>
      <c r="D36" s="744">
        <f>IF(D23=0,0,D12/D23)</f>
        <v>21704.862935928631</v>
      </c>
      <c r="E36" s="744">
        <f>IF(E23=0,0,E12/E23)</f>
        <v>20770.84937759336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4613.9465207633075</v>
      </c>
      <c r="D37" s="744">
        <f>IF(D29=0,0,D12/D29)</f>
        <v>4577.357902770993</v>
      </c>
      <c r="E37" s="744">
        <f>IF(E29=0,0,E12/E29)</f>
        <v>4721.606660880977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20618.132579404843</v>
      </c>
      <c r="D38" s="744">
        <f>IF(D30=0,0,D12/D30)</f>
        <v>20471.889825491195</v>
      </c>
      <c r="E38" s="744">
        <f>IF(E30=0,0,E12/E30)</f>
        <v>19178.343403885428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1972.4050357259177</v>
      </c>
      <c r="D39" s="744">
        <f>IF(D22=0,0,D10/D22)</f>
        <v>1808.8037177393564</v>
      </c>
      <c r="E39" s="744">
        <f>IF(E22=0,0,E10/E22)</f>
        <v>1789.4890914293835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8813.9965090351598</v>
      </c>
      <c r="D40" s="744">
        <f>IF(D23=0,0,D10/D23)</f>
        <v>8089.7389306355899</v>
      </c>
      <c r="E40" s="744">
        <f>IF(E23=0,0,E10/E23)</f>
        <v>7268.5928282166951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4284.509238665526</v>
      </c>
      <c r="D43" s="744">
        <f>IF(D19=0,0,D13/D19)</f>
        <v>4486.8595520899444</v>
      </c>
      <c r="E43" s="744">
        <f>IF(E19=0,0,E13/E19)</f>
        <v>5021.3938093778734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19145.991207951069</v>
      </c>
      <c r="D44" s="744">
        <f>IF(D20=0,0,D13/D20)</f>
        <v>20067.142741281426</v>
      </c>
      <c r="E44" s="744">
        <f>IF(E20=0,0,E13/E20)</f>
        <v>20396.026556016597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1707.5146617442176</v>
      </c>
      <c r="D45" s="744">
        <f>IF(D22=0,0,D13/D22)</f>
        <v>1672.3221197933458</v>
      </c>
      <c r="E45" s="744">
        <f>IF(E22=0,0,E13/E22)</f>
        <v>1757.1966541661311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7630.292964751492</v>
      </c>
      <c r="D46" s="744">
        <f>IF(D23=0,0,D13/D23)</f>
        <v>7479.3352227091691</v>
      </c>
      <c r="E46" s="744">
        <f>IF(E23=0,0,E13/E23)</f>
        <v>7137.426575781019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1591.8577387579448</v>
      </c>
      <c r="D47" s="744">
        <f>IF(D29=0,0,D13/D29)</f>
        <v>1577.3236758141506</v>
      </c>
      <c r="E47" s="744">
        <f>IF(E29=0,0,E13/E29)</f>
        <v>1622.4719677622193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7113.4621429970848</v>
      </c>
      <c r="D48" s="744">
        <f>IF(D30=0,0,D13/D30)</f>
        <v>7054.4618088216812</v>
      </c>
      <c r="E48" s="744">
        <f>IF(E30=0,0,E13/E30)</f>
        <v>6590.1983785993207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4126.2658682634728</v>
      </c>
      <c r="D51" s="744">
        <f>IF(D19=0,0,D16/D19)</f>
        <v>4540.4571584005807</v>
      </c>
      <c r="E51" s="744">
        <f>IF(E19=0,0,E16/E19)</f>
        <v>5058.571253447747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18438.856269113148</v>
      </c>
      <c r="D52" s="744">
        <f>IF(D20=0,0,D16/D20)</f>
        <v>20306.854014598539</v>
      </c>
      <c r="E52" s="744">
        <f>IF(E20=0,0,E16/E20)</f>
        <v>20547.034854771784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1644.4495917364598</v>
      </c>
      <c r="D53" s="744">
        <f>IF(D22=0,0,D16/D22)</f>
        <v>1692.2987786480901</v>
      </c>
      <c r="E53" s="744">
        <f>IF(E22=0,0,E16/E22)</f>
        <v>1770.20660375583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7348.4769600149903</v>
      </c>
      <c r="D54" s="744">
        <f>IF(D23=0,0,D16/D23)</f>
        <v>7568.6793307825574</v>
      </c>
      <c r="E54" s="744">
        <f>IF(E23=0,0,E16/E23)</f>
        <v>7190.2707237202567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1533.0643228146741</v>
      </c>
      <c r="D55" s="744">
        <f>IF(D29=0,0,D16/D29)</f>
        <v>1596.165534450299</v>
      </c>
      <c r="E55" s="744">
        <f>IF(E29=0,0,E16/E29)</f>
        <v>1634.4844414152053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6850.7346841374392</v>
      </c>
      <c r="D56" s="744">
        <f>IF(D30=0,0,D16/D30)</f>
        <v>7138.730608050425</v>
      </c>
      <c r="E56" s="744">
        <f>IF(E30=0,0,E16/E30)</f>
        <v>6638.9909531176118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7183819</v>
      </c>
      <c r="D59" s="752">
        <v>7190589</v>
      </c>
      <c r="E59" s="752">
        <v>7609297</v>
      </c>
    </row>
    <row r="60" spans="1:6" ht="26.1" customHeight="1" x14ac:dyDescent="0.25">
      <c r="A60" s="742">
        <v>2</v>
      </c>
      <c r="B60" s="743" t="s">
        <v>968</v>
      </c>
      <c r="C60" s="752">
        <v>1803117</v>
      </c>
      <c r="D60" s="752">
        <v>1799542</v>
      </c>
      <c r="E60" s="752">
        <v>1674212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8986936</v>
      </c>
      <c r="D61" s="755">
        <f>D59+D60</f>
        <v>8990131</v>
      </c>
      <c r="E61" s="755">
        <f>E59+E60</f>
        <v>9283509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0</v>
      </c>
      <c r="D64" s="744">
        <v>0</v>
      </c>
      <c r="E64" s="752">
        <v>0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0</v>
      </c>
      <c r="D65" s="752">
        <v>0</v>
      </c>
      <c r="E65" s="752">
        <v>0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0</v>
      </c>
      <c r="D66" s="757">
        <f>D64+D65</f>
        <v>0</v>
      </c>
      <c r="E66" s="757">
        <f>E64+E65</f>
        <v>0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9839922</v>
      </c>
      <c r="D69" s="752">
        <v>10128047</v>
      </c>
      <c r="E69" s="752">
        <v>10306284</v>
      </c>
    </row>
    <row r="70" spans="1:6" ht="26.1" customHeight="1" x14ac:dyDescent="0.25">
      <c r="A70" s="742">
        <v>2</v>
      </c>
      <c r="B70" s="743" t="s">
        <v>976</v>
      </c>
      <c r="C70" s="752">
        <v>2469797</v>
      </c>
      <c r="D70" s="752">
        <v>2338758</v>
      </c>
      <c r="E70" s="752">
        <v>2267609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12309719</v>
      </c>
      <c r="D71" s="755">
        <f>D69+D70</f>
        <v>12466805</v>
      </c>
      <c r="E71" s="755">
        <f>E69+E70</f>
        <v>12573893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17023741</v>
      </c>
      <c r="D75" s="744">
        <f t="shared" si="0"/>
        <v>17318636</v>
      </c>
      <c r="E75" s="744">
        <f t="shared" si="0"/>
        <v>17915581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4272914</v>
      </c>
      <c r="D76" s="744">
        <f t="shared" si="0"/>
        <v>4138300</v>
      </c>
      <c r="E76" s="744">
        <f t="shared" si="0"/>
        <v>3941821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21296655</v>
      </c>
      <c r="D77" s="757">
        <f>D75+D76</f>
        <v>21456936</v>
      </c>
      <c r="E77" s="757">
        <f>E75+E76</f>
        <v>21857402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102.6</v>
      </c>
      <c r="D80" s="749">
        <v>95</v>
      </c>
      <c r="E80" s="749">
        <v>102</v>
      </c>
    </row>
    <row r="81" spans="1:5" ht="26.1" customHeight="1" x14ac:dyDescent="0.25">
      <c r="A81" s="742">
        <v>2</v>
      </c>
      <c r="B81" s="743" t="s">
        <v>617</v>
      </c>
      <c r="C81" s="749">
        <v>0</v>
      </c>
      <c r="D81" s="749">
        <v>0</v>
      </c>
      <c r="E81" s="749">
        <v>0</v>
      </c>
    </row>
    <row r="82" spans="1:5" ht="26.1" customHeight="1" x14ac:dyDescent="0.25">
      <c r="A82" s="742">
        <v>3</v>
      </c>
      <c r="B82" s="743" t="s">
        <v>982</v>
      </c>
      <c r="C82" s="749">
        <v>157</v>
      </c>
      <c r="D82" s="749">
        <v>158.9</v>
      </c>
      <c r="E82" s="749">
        <v>162.19999999999999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259.60000000000002</v>
      </c>
      <c r="D83" s="759">
        <f>D80+D81+D82</f>
        <v>253.9</v>
      </c>
      <c r="E83" s="759">
        <f>E80+E81+E82</f>
        <v>264.2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70017.729044834312</v>
      </c>
      <c r="D86" s="752">
        <f>IF(D80=0,0,D59/D80)</f>
        <v>75690.410526315783</v>
      </c>
      <c r="E86" s="752">
        <f>IF(E80=0,0,E59/E80)</f>
        <v>74600.950980392154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17574.239766081871</v>
      </c>
      <c r="D87" s="752">
        <f>IF(D80=0,0,D60/D80)</f>
        <v>18942.547368421052</v>
      </c>
      <c r="E87" s="752">
        <f>IF(E80=0,0,E60/E80)</f>
        <v>16413.843137254902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87591.96881091618</v>
      </c>
      <c r="D88" s="755">
        <f>+D86+D87</f>
        <v>94632.957894736843</v>
      </c>
      <c r="E88" s="755">
        <f>+E86+E87</f>
        <v>91014.794117647049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0</v>
      </c>
      <c r="D91" s="744">
        <f>IF(D81=0,0,D64/D81)</f>
        <v>0</v>
      </c>
      <c r="E91" s="744">
        <f>IF(E81=0,0,E64/E81)</f>
        <v>0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0</v>
      </c>
      <c r="D92" s="744">
        <f>IF(D81=0,0,D65/D81)</f>
        <v>0</v>
      </c>
      <c r="E92" s="744">
        <f>IF(E81=0,0,E65/E81)</f>
        <v>0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0</v>
      </c>
      <c r="D93" s="757">
        <f>+D91+D92</f>
        <v>0</v>
      </c>
      <c r="E93" s="757">
        <f>+E91+E92</f>
        <v>0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62674.662420382163</v>
      </c>
      <c r="D96" s="752">
        <f>IF(D82=0,0,D69/D82)</f>
        <v>63738.495909376965</v>
      </c>
      <c r="E96" s="752">
        <f>IF(E82=0,0,E69/E82)</f>
        <v>63540.591861898894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15731.191082802548</v>
      </c>
      <c r="D97" s="752">
        <f>IF(D82=0,0,D70/D82)</f>
        <v>14718.42668344871</v>
      </c>
      <c r="E97" s="752">
        <f>IF(E82=0,0,E70/E82)</f>
        <v>13980.326757090013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78405.853503184713</v>
      </c>
      <c r="D98" s="757">
        <f>+D96+D97</f>
        <v>78456.922592825678</v>
      </c>
      <c r="E98" s="757">
        <f>+E96+E97</f>
        <v>77520.918618988915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65576.814329738059</v>
      </c>
      <c r="D101" s="744">
        <f>IF(D83=0,0,D75/D83)</f>
        <v>68210.460811343044</v>
      </c>
      <c r="E101" s="744">
        <f>IF(E83=0,0,E75/E83)</f>
        <v>67810.677517032556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16459.607087827426</v>
      </c>
      <c r="D102" s="761">
        <f>IF(D83=0,0,D76/D83)</f>
        <v>16298.93658920835</v>
      </c>
      <c r="E102" s="761">
        <f>IF(E83=0,0,E76/E83)</f>
        <v>14919.837244511735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82036.421417565492</v>
      </c>
      <c r="D103" s="757">
        <f>+D101+D102</f>
        <v>84509.397400551388</v>
      </c>
      <c r="E103" s="757">
        <f>+E101+E102</f>
        <v>82730.514761544298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1821.7840034217279</v>
      </c>
      <c r="D108" s="744">
        <f>IF(D19=0,0,D77/D19)</f>
        <v>1945.5014960558528</v>
      </c>
      <c r="E108" s="744">
        <f>IF(E19=0,0,E77/E19)</f>
        <v>2232.8534068852796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8140.9231651376149</v>
      </c>
      <c r="D109" s="744">
        <f>IF(D20=0,0,D77/D20)</f>
        <v>8701.109489051094</v>
      </c>
      <c r="E109" s="744">
        <f>IF(E20=0,0,E77/E20)</f>
        <v>9069.4614107883826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726.03948856055194</v>
      </c>
      <c r="D110" s="744">
        <f>IF(D22=0,0,D77/D22)</f>
        <v>725.11857083420216</v>
      </c>
      <c r="E110" s="744">
        <f>IF(E22=0,0,E77/E22)</f>
        <v>781.36921435930367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3244.4195799972676</v>
      </c>
      <c r="D111" s="744">
        <f>IF(D23=0,0,D77/D23)</f>
        <v>3243.0384094608339</v>
      </c>
      <c r="E111" s="744">
        <f>IF(E23=0,0,E77/E23)</f>
        <v>3173.7855764992628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676.86187673983466</v>
      </c>
      <c r="D112" s="744">
        <f>IF(D29=0,0,D77/D29)</f>
        <v>683.92726258422249</v>
      </c>
      <c r="E112" s="744">
        <f>IF(E29=0,0,E77/E29)</f>
        <v>721.4614504100357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3024.6618268687562</v>
      </c>
      <c r="D113" s="744">
        <f>IF(D30=0,0,D77/D30)</f>
        <v>3058.8133734961034</v>
      </c>
      <c r="E113" s="744">
        <f>IF(E30=0,0,E77/E30)</f>
        <v>2930.4506796945388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75" bottom="0.75" header="0.3" footer="0.3"/>
  <pageSetup scale="68" fitToHeight="0" orientation="portrait" r:id="rId1"/>
  <headerFooter>
    <oddHeader>&amp;L&amp;"Arial,Bold"&amp;12OFFICE OF HEALTH CARE ACCESS&amp;C&amp;"Arial,Bold"&amp;12TWELVE MONTHS ACTUAL FILING&amp;R&amp;"Arial,Bold"&amp;12ESSENT-SHARON HOSPITAL</oddHeader>
    <oddFooter>&amp;L&amp;"Arial,Bold"&amp;12REPORT 700&amp;C&amp;"Arial,Bold"&amp;12PAGE &amp;P of &amp;N&amp;R&amp;"Arial,Bold"&amp;12&amp;D,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143606025</v>
      </c>
      <c r="D12" s="76">
        <v>143045832</v>
      </c>
      <c r="E12" s="76">
        <f t="shared" ref="E12:E21" si="0">D12-C12</f>
        <v>-560193</v>
      </c>
      <c r="F12" s="77">
        <f t="shared" ref="F12:F21" si="1">IF(C12=0,0,E12/C12)</f>
        <v>-3.9009017901581776E-3</v>
      </c>
    </row>
    <row r="13" spans="1:8" ht="23.1" customHeight="1" x14ac:dyDescent="0.2">
      <c r="A13" s="74">
        <v>2</v>
      </c>
      <c r="B13" s="75" t="s">
        <v>72</v>
      </c>
      <c r="C13" s="76">
        <v>90594383</v>
      </c>
      <c r="D13" s="76">
        <v>89938791</v>
      </c>
      <c r="E13" s="76">
        <f t="shared" si="0"/>
        <v>-655592</v>
      </c>
      <c r="F13" s="77">
        <f t="shared" si="1"/>
        <v>-7.2365634412455788E-3</v>
      </c>
    </row>
    <row r="14" spans="1:8" ht="23.1" customHeight="1" x14ac:dyDescent="0.2">
      <c r="A14" s="74">
        <v>3</v>
      </c>
      <c r="B14" s="75" t="s">
        <v>73</v>
      </c>
      <c r="C14" s="76">
        <v>741722</v>
      </c>
      <c r="D14" s="76">
        <v>536593</v>
      </c>
      <c r="E14" s="76">
        <f t="shared" si="0"/>
        <v>-205129</v>
      </c>
      <c r="F14" s="77">
        <f t="shared" si="1"/>
        <v>-0.27655779389043333</v>
      </c>
    </row>
    <row r="15" spans="1:8" ht="23.1" customHeight="1" x14ac:dyDescent="0.2">
      <c r="A15" s="74">
        <v>4</v>
      </c>
      <c r="B15" s="75" t="s">
        <v>74</v>
      </c>
      <c r="C15" s="76">
        <v>853781</v>
      </c>
      <c r="D15" s="76">
        <v>832193</v>
      </c>
      <c r="E15" s="76">
        <f t="shared" si="0"/>
        <v>-21588</v>
      </c>
      <c r="F15" s="77">
        <f t="shared" si="1"/>
        <v>-2.528517266137335E-2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51416139</v>
      </c>
      <c r="D16" s="79">
        <f>D12-D13-D14-D15</f>
        <v>51738255</v>
      </c>
      <c r="E16" s="79">
        <f t="shared" si="0"/>
        <v>322116</v>
      </c>
      <c r="F16" s="80">
        <f t="shared" si="1"/>
        <v>6.26488114947721E-3</v>
      </c>
    </row>
    <row r="17" spans="1:7" ht="23.1" customHeight="1" x14ac:dyDescent="0.2">
      <c r="A17" s="74">
        <v>5</v>
      </c>
      <c r="B17" s="75" t="s">
        <v>76</v>
      </c>
      <c r="C17" s="76">
        <v>1930565</v>
      </c>
      <c r="D17" s="76">
        <v>2583831</v>
      </c>
      <c r="E17" s="76">
        <f t="shared" si="0"/>
        <v>653266</v>
      </c>
      <c r="F17" s="77">
        <f t="shared" si="1"/>
        <v>0.33838073310144956</v>
      </c>
      <c r="G17" s="65"/>
    </row>
    <row r="18" spans="1:7" ht="31.5" customHeight="1" x14ac:dyDescent="0.25">
      <c r="A18" s="71"/>
      <c r="B18" s="81" t="s">
        <v>77</v>
      </c>
      <c r="C18" s="79">
        <f>C16-C17</f>
        <v>49485574</v>
      </c>
      <c r="D18" s="79">
        <f>D16-D17</f>
        <v>49154424</v>
      </c>
      <c r="E18" s="79">
        <f t="shared" si="0"/>
        <v>-331150</v>
      </c>
      <c r="F18" s="80">
        <f t="shared" si="1"/>
        <v>-6.6918492245841184E-3</v>
      </c>
    </row>
    <row r="19" spans="1:7" ht="23.1" customHeight="1" x14ac:dyDescent="0.2">
      <c r="A19" s="74">
        <v>6</v>
      </c>
      <c r="B19" s="75" t="s">
        <v>78</v>
      </c>
      <c r="C19" s="76">
        <v>851556</v>
      </c>
      <c r="D19" s="76">
        <v>661116</v>
      </c>
      <c r="E19" s="76">
        <f t="shared" si="0"/>
        <v>-190440</v>
      </c>
      <c r="F19" s="77">
        <f t="shared" si="1"/>
        <v>-0.22363767033524512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50337130</v>
      </c>
      <c r="D21" s="79">
        <f>SUM(D18:D20)</f>
        <v>49815540</v>
      </c>
      <c r="E21" s="79">
        <f t="shared" si="0"/>
        <v>-521590</v>
      </c>
      <c r="F21" s="80">
        <f t="shared" si="1"/>
        <v>-1.03619336263311E-2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17318636</v>
      </c>
      <c r="D24" s="76">
        <v>17915581</v>
      </c>
      <c r="E24" s="76">
        <f t="shared" ref="E24:E33" si="2">D24-C24</f>
        <v>596945</v>
      </c>
      <c r="F24" s="77">
        <f t="shared" ref="F24:F33" si="3">IF(C24=0,0,E24/C24)</f>
        <v>3.4468361134214032E-2</v>
      </c>
    </row>
    <row r="25" spans="1:7" ht="23.1" customHeight="1" x14ac:dyDescent="0.2">
      <c r="A25" s="74">
        <v>2</v>
      </c>
      <c r="B25" s="75" t="s">
        <v>83</v>
      </c>
      <c r="C25" s="76">
        <v>4138300</v>
      </c>
      <c r="D25" s="76">
        <v>3941821</v>
      </c>
      <c r="E25" s="76">
        <f t="shared" si="2"/>
        <v>-196479</v>
      </c>
      <c r="F25" s="77">
        <f t="shared" si="3"/>
        <v>-4.7478191527922091E-2</v>
      </c>
    </row>
    <row r="26" spans="1:7" ht="23.1" customHeight="1" x14ac:dyDescent="0.2">
      <c r="A26" s="74">
        <v>3</v>
      </c>
      <c r="B26" s="75" t="s">
        <v>84</v>
      </c>
      <c r="C26" s="76">
        <v>1806481</v>
      </c>
      <c r="D26" s="76">
        <v>2872407</v>
      </c>
      <c r="E26" s="76">
        <f t="shared" si="2"/>
        <v>1065926</v>
      </c>
      <c r="F26" s="77">
        <f t="shared" si="3"/>
        <v>0.59005657961528524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5438800</v>
      </c>
      <c r="D27" s="76">
        <v>5694862</v>
      </c>
      <c r="E27" s="76">
        <f t="shared" si="2"/>
        <v>256062</v>
      </c>
      <c r="F27" s="77">
        <f t="shared" si="3"/>
        <v>4.708060601603295E-2</v>
      </c>
    </row>
    <row r="28" spans="1:7" ht="23.1" customHeight="1" x14ac:dyDescent="0.2">
      <c r="A28" s="74">
        <v>5</v>
      </c>
      <c r="B28" s="75" t="s">
        <v>86</v>
      </c>
      <c r="C28" s="76">
        <v>2548585</v>
      </c>
      <c r="D28" s="76">
        <v>1312339</v>
      </c>
      <c r="E28" s="76">
        <f t="shared" si="2"/>
        <v>-1236246</v>
      </c>
      <c r="F28" s="77">
        <f t="shared" si="3"/>
        <v>-0.48507152007878884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18377</v>
      </c>
      <c r="D30" s="76">
        <v>30588</v>
      </c>
      <c r="E30" s="76">
        <f t="shared" si="2"/>
        <v>12211</v>
      </c>
      <c r="F30" s="77">
        <f t="shared" si="3"/>
        <v>0.6644718942155956</v>
      </c>
    </row>
    <row r="31" spans="1:7" ht="23.1" customHeight="1" x14ac:dyDescent="0.2">
      <c r="A31" s="74">
        <v>8</v>
      </c>
      <c r="B31" s="75" t="s">
        <v>89</v>
      </c>
      <c r="C31" s="76">
        <v>1288699</v>
      </c>
      <c r="D31" s="76">
        <v>823151</v>
      </c>
      <c r="E31" s="76">
        <f t="shared" si="2"/>
        <v>-465548</v>
      </c>
      <c r="F31" s="77">
        <f t="shared" si="3"/>
        <v>-0.36125425720047893</v>
      </c>
    </row>
    <row r="32" spans="1:7" ht="23.1" customHeight="1" x14ac:dyDescent="0.2">
      <c r="A32" s="74">
        <v>9</v>
      </c>
      <c r="B32" s="75" t="s">
        <v>90</v>
      </c>
      <c r="C32" s="76">
        <v>17518824</v>
      </c>
      <c r="D32" s="76">
        <v>16927605</v>
      </c>
      <c r="E32" s="76">
        <f t="shared" si="2"/>
        <v>-591219</v>
      </c>
      <c r="F32" s="77">
        <f t="shared" si="3"/>
        <v>-3.374764196500861E-2</v>
      </c>
    </row>
    <row r="33" spans="1:6" ht="23.1" customHeight="1" x14ac:dyDescent="0.25">
      <c r="A33" s="71"/>
      <c r="B33" s="78" t="s">
        <v>91</v>
      </c>
      <c r="C33" s="79">
        <f>SUM(C24:C32)</f>
        <v>50076702</v>
      </c>
      <c r="D33" s="79">
        <f>SUM(D24:D32)</f>
        <v>49518354</v>
      </c>
      <c r="E33" s="79">
        <f t="shared" si="2"/>
        <v>-558348</v>
      </c>
      <c r="F33" s="80">
        <f t="shared" si="3"/>
        <v>-1.114985567539971E-2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260428</v>
      </c>
      <c r="D35" s="79">
        <f>+D21-D33</f>
        <v>297186</v>
      </c>
      <c r="E35" s="79">
        <f>D35-C35</f>
        <v>36758</v>
      </c>
      <c r="F35" s="80">
        <f>IF(C35=0,0,E35/C35)</f>
        <v>0.14114457738799208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0</v>
      </c>
      <c r="E40" s="76">
        <f>D40-C40</f>
        <v>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0</v>
      </c>
      <c r="D41" s="79">
        <f>SUM(D38:D40)</f>
        <v>0</v>
      </c>
      <c r="E41" s="79">
        <f>D41-C41</f>
        <v>0</v>
      </c>
      <c r="F41" s="80">
        <f>IF(C41=0,0,E41/C41)</f>
        <v>0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260428</v>
      </c>
      <c r="D43" s="79">
        <f>D35+D41</f>
        <v>297186</v>
      </c>
      <c r="E43" s="79">
        <f>D43-C43</f>
        <v>36758</v>
      </c>
      <c r="F43" s="80">
        <f>IF(C43=0,0,E43/C43)</f>
        <v>0.14114457738799208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-18460790</v>
      </c>
      <c r="D47" s="76">
        <v>-14005819</v>
      </c>
      <c r="E47" s="76">
        <f>D47-C47</f>
        <v>4454971</v>
      </c>
      <c r="F47" s="77">
        <f>IF(C47=0,0,E47/C47)</f>
        <v>-0.24132071271056113</v>
      </c>
    </row>
    <row r="48" spans="1:6" ht="23.1" customHeight="1" x14ac:dyDescent="0.25">
      <c r="A48" s="83"/>
      <c r="B48" s="78" t="s">
        <v>102</v>
      </c>
      <c r="C48" s="79">
        <f>SUM(C46:C47)</f>
        <v>-18460790</v>
      </c>
      <c r="D48" s="79">
        <f>SUM(D46:D47)</f>
        <v>-14005819</v>
      </c>
      <c r="E48" s="79">
        <f>D48-C48</f>
        <v>4454971</v>
      </c>
      <c r="F48" s="80">
        <f>IF(C48=0,0,E48/C48)</f>
        <v>-0.24132071271056113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-18200362</v>
      </c>
      <c r="D50" s="79">
        <f>D43+D48</f>
        <v>-13708633</v>
      </c>
      <c r="E50" s="79">
        <f>D50-C50</f>
        <v>4491729</v>
      </c>
      <c r="F50" s="80">
        <f>IF(C50=0,0,E50/C50)</f>
        <v>-0.24679338795569011</v>
      </c>
    </row>
    <row r="51" spans="1:6" ht="23.1" customHeight="1" x14ac:dyDescent="0.2">
      <c r="A51" s="85"/>
      <c r="B51" s="75" t="s">
        <v>104</v>
      </c>
      <c r="C51" s="76">
        <v>1</v>
      </c>
      <c r="D51" s="76">
        <v>1</v>
      </c>
      <c r="E51" s="76">
        <f>D51-C51</f>
        <v>0</v>
      </c>
      <c r="F51" s="77">
        <f>IF(C51=0,0,E51/C51)</f>
        <v>0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62" orientation="portrait" r:id="rId1"/>
  <headerFooter>
    <oddHeader>&amp;LOFFICE OF HEALTH CARE ACCESS&amp;CTWELVE MONTHS ACTUAL FILING&amp;RESSENT-SHARON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topLeftCell="A64"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32871393</v>
      </c>
      <c r="D14" s="113">
        <v>29650070</v>
      </c>
      <c r="E14" s="113">
        <f t="shared" ref="E14:E25" si="0">D14-C14</f>
        <v>-3221323</v>
      </c>
      <c r="F14" s="114">
        <f t="shared" ref="F14:F25" si="1">IF(C14=0,0,E14/C14)</f>
        <v>-9.7997763587323483E-2</v>
      </c>
    </row>
    <row r="15" spans="1:6" x14ac:dyDescent="0.2">
      <c r="A15" s="115">
        <v>2</v>
      </c>
      <c r="B15" s="116" t="s">
        <v>114</v>
      </c>
      <c r="C15" s="113">
        <v>3558785</v>
      </c>
      <c r="D15" s="113">
        <v>3285137</v>
      </c>
      <c r="E15" s="113">
        <f t="shared" si="0"/>
        <v>-273648</v>
      </c>
      <c r="F15" s="114">
        <f t="shared" si="1"/>
        <v>-7.6893658931348766E-2</v>
      </c>
    </row>
    <row r="16" spans="1:6" x14ac:dyDescent="0.2">
      <c r="A16" s="115">
        <v>3</v>
      </c>
      <c r="B16" s="116" t="s">
        <v>115</v>
      </c>
      <c r="C16" s="113">
        <v>3561353</v>
      </c>
      <c r="D16" s="113">
        <v>3885345</v>
      </c>
      <c r="E16" s="113">
        <f t="shared" si="0"/>
        <v>323992</v>
      </c>
      <c r="F16" s="114">
        <f t="shared" si="1"/>
        <v>9.0974413376039953E-2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68340</v>
      </c>
      <c r="D18" s="113">
        <v>135837</v>
      </c>
      <c r="E18" s="113">
        <f t="shared" si="0"/>
        <v>67497</v>
      </c>
      <c r="F18" s="114">
        <f t="shared" si="1"/>
        <v>0.98766461808604034</v>
      </c>
    </row>
    <row r="19" spans="1:6" x14ac:dyDescent="0.2">
      <c r="A19" s="115">
        <v>6</v>
      </c>
      <c r="B19" s="116" t="s">
        <v>118</v>
      </c>
      <c r="C19" s="113">
        <v>731155</v>
      </c>
      <c r="D19" s="113">
        <v>1070982</v>
      </c>
      <c r="E19" s="113">
        <f t="shared" si="0"/>
        <v>339827</v>
      </c>
      <c r="F19" s="114">
        <f t="shared" si="1"/>
        <v>0.46478106557433102</v>
      </c>
    </row>
    <row r="20" spans="1:6" x14ac:dyDescent="0.2">
      <c r="A20" s="115">
        <v>7</v>
      </c>
      <c r="B20" s="116" t="s">
        <v>119</v>
      </c>
      <c r="C20" s="113">
        <v>8106070</v>
      </c>
      <c r="D20" s="113">
        <v>8275921</v>
      </c>
      <c r="E20" s="113">
        <f t="shared" si="0"/>
        <v>169851</v>
      </c>
      <c r="F20" s="114">
        <f t="shared" si="1"/>
        <v>2.0953557025784383E-2</v>
      </c>
    </row>
    <row r="21" spans="1:6" x14ac:dyDescent="0.2">
      <c r="A21" s="115">
        <v>8</v>
      </c>
      <c r="B21" s="116" t="s">
        <v>120</v>
      </c>
      <c r="C21" s="113">
        <v>668509</v>
      </c>
      <c r="D21" s="113">
        <v>202923</v>
      </c>
      <c r="E21" s="113">
        <f t="shared" si="0"/>
        <v>-465586</v>
      </c>
      <c r="F21" s="114">
        <f t="shared" si="1"/>
        <v>-0.696454348408174</v>
      </c>
    </row>
    <row r="22" spans="1:6" x14ac:dyDescent="0.2">
      <c r="A22" s="115">
        <v>9</v>
      </c>
      <c r="B22" s="116" t="s">
        <v>121</v>
      </c>
      <c r="C22" s="113">
        <v>365024</v>
      </c>
      <c r="D22" s="113">
        <v>635979</v>
      </c>
      <c r="E22" s="113">
        <f t="shared" si="0"/>
        <v>270955</v>
      </c>
      <c r="F22" s="114">
        <f t="shared" si="1"/>
        <v>0.74229365740334885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3593563</v>
      </c>
      <c r="D24" s="113">
        <v>2915553</v>
      </c>
      <c r="E24" s="113">
        <f t="shared" si="0"/>
        <v>-678010</v>
      </c>
      <c r="F24" s="114">
        <f t="shared" si="1"/>
        <v>-0.18867346975689586</v>
      </c>
    </row>
    <row r="25" spans="1:6" ht="15.75" x14ac:dyDescent="0.25">
      <c r="A25" s="117"/>
      <c r="B25" s="118" t="s">
        <v>124</v>
      </c>
      <c r="C25" s="119">
        <f>SUM(C14:C24)</f>
        <v>53524192</v>
      </c>
      <c r="D25" s="119">
        <f>SUM(D14:D24)</f>
        <v>50057747</v>
      </c>
      <c r="E25" s="119">
        <f t="shared" si="0"/>
        <v>-3466445</v>
      </c>
      <c r="F25" s="120">
        <f t="shared" si="1"/>
        <v>-6.4764079016830373E-2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31887829</v>
      </c>
      <c r="D27" s="113">
        <v>34241965</v>
      </c>
      <c r="E27" s="113">
        <f t="shared" ref="E27:E38" si="2">D27-C27</f>
        <v>2354136</v>
      </c>
      <c r="F27" s="114">
        <f t="shared" ref="F27:F38" si="3">IF(C27=0,0,E27/C27)</f>
        <v>7.3825533873754776E-2</v>
      </c>
    </row>
    <row r="28" spans="1:6" x14ac:dyDescent="0.2">
      <c r="A28" s="115">
        <v>2</v>
      </c>
      <c r="B28" s="116" t="s">
        <v>114</v>
      </c>
      <c r="C28" s="113">
        <v>3052407</v>
      </c>
      <c r="D28" s="113">
        <v>3582525</v>
      </c>
      <c r="E28" s="113">
        <f t="shared" si="2"/>
        <v>530118</v>
      </c>
      <c r="F28" s="114">
        <f t="shared" si="3"/>
        <v>0.17367212170591931</v>
      </c>
    </row>
    <row r="29" spans="1:6" x14ac:dyDescent="0.2">
      <c r="A29" s="115">
        <v>3</v>
      </c>
      <c r="B29" s="116" t="s">
        <v>115</v>
      </c>
      <c r="C29" s="113">
        <v>8023925</v>
      </c>
      <c r="D29" s="113">
        <v>8071723</v>
      </c>
      <c r="E29" s="113">
        <f t="shared" si="2"/>
        <v>47798</v>
      </c>
      <c r="F29" s="114">
        <f t="shared" si="3"/>
        <v>5.9569350411425833E-3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177520</v>
      </c>
      <c r="D31" s="113">
        <v>199502</v>
      </c>
      <c r="E31" s="113">
        <f t="shared" si="2"/>
        <v>21982</v>
      </c>
      <c r="F31" s="114">
        <f t="shared" si="3"/>
        <v>0.12382830103650293</v>
      </c>
    </row>
    <row r="32" spans="1:6" x14ac:dyDescent="0.2">
      <c r="A32" s="115">
        <v>6</v>
      </c>
      <c r="B32" s="116" t="s">
        <v>118</v>
      </c>
      <c r="C32" s="113">
        <v>3649258</v>
      </c>
      <c r="D32" s="113">
        <v>6193042</v>
      </c>
      <c r="E32" s="113">
        <f t="shared" si="2"/>
        <v>2543784</v>
      </c>
      <c r="F32" s="114">
        <f t="shared" si="3"/>
        <v>0.69706882878656429</v>
      </c>
    </row>
    <row r="33" spans="1:6" x14ac:dyDescent="0.2">
      <c r="A33" s="115">
        <v>7</v>
      </c>
      <c r="B33" s="116" t="s">
        <v>119</v>
      </c>
      <c r="C33" s="113">
        <v>33641212</v>
      </c>
      <c r="D33" s="113">
        <v>30860954</v>
      </c>
      <c r="E33" s="113">
        <f t="shared" si="2"/>
        <v>-2780258</v>
      </c>
      <c r="F33" s="114">
        <f t="shared" si="3"/>
        <v>-8.2644406509491994E-2</v>
      </c>
    </row>
    <row r="34" spans="1:6" x14ac:dyDescent="0.2">
      <c r="A34" s="115">
        <v>8</v>
      </c>
      <c r="B34" s="116" t="s">
        <v>120</v>
      </c>
      <c r="C34" s="113">
        <v>1879527</v>
      </c>
      <c r="D34" s="113">
        <v>1767346</v>
      </c>
      <c r="E34" s="113">
        <f t="shared" si="2"/>
        <v>-112181</v>
      </c>
      <c r="F34" s="114">
        <f t="shared" si="3"/>
        <v>-5.9685761364428394E-2</v>
      </c>
    </row>
    <row r="35" spans="1:6" x14ac:dyDescent="0.2">
      <c r="A35" s="115">
        <v>9</v>
      </c>
      <c r="B35" s="116" t="s">
        <v>121</v>
      </c>
      <c r="C35" s="113">
        <v>2051499</v>
      </c>
      <c r="D35" s="113">
        <v>2223333</v>
      </c>
      <c r="E35" s="113">
        <f t="shared" si="2"/>
        <v>171834</v>
      </c>
      <c r="F35" s="114">
        <f t="shared" si="3"/>
        <v>8.3760216310122496E-2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5718656</v>
      </c>
      <c r="D37" s="113">
        <v>5847697</v>
      </c>
      <c r="E37" s="113">
        <f t="shared" si="2"/>
        <v>129041</v>
      </c>
      <c r="F37" s="114">
        <f t="shared" si="3"/>
        <v>2.2564917351209794E-2</v>
      </c>
    </row>
    <row r="38" spans="1:6" ht="15.75" x14ac:dyDescent="0.25">
      <c r="A38" s="117"/>
      <c r="B38" s="118" t="s">
        <v>126</v>
      </c>
      <c r="C38" s="119">
        <f>SUM(C27:C37)</f>
        <v>90081833</v>
      </c>
      <c r="D38" s="119">
        <f>SUM(D27:D37)</f>
        <v>92988087</v>
      </c>
      <c r="E38" s="119">
        <f t="shared" si="2"/>
        <v>2906254</v>
      </c>
      <c r="F38" s="120">
        <f t="shared" si="3"/>
        <v>3.2262376366164754E-2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64759222</v>
      </c>
      <c r="D41" s="119">
        <f t="shared" si="4"/>
        <v>63892035</v>
      </c>
      <c r="E41" s="123">
        <f t="shared" ref="E41:E52" si="5">D41-C41</f>
        <v>-867187</v>
      </c>
      <c r="F41" s="124">
        <f t="shared" ref="F41:F52" si="6">IF(C41=0,0,E41/C41)</f>
        <v>-1.3390942219781455E-2</v>
      </c>
    </row>
    <row r="42" spans="1:6" ht="15.75" x14ac:dyDescent="0.25">
      <c r="A42" s="121">
        <v>2</v>
      </c>
      <c r="B42" s="122" t="s">
        <v>114</v>
      </c>
      <c r="C42" s="119">
        <f t="shared" si="4"/>
        <v>6611192</v>
      </c>
      <c r="D42" s="119">
        <f t="shared" si="4"/>
        <v>6867662</v>
      </c>
      <c r="E42" s="123">
        <f t="shared" si="5"/>
        <v>256470</v>
      </c>
      <c r="F42" s="124">
        <f t="shared" si="6"/>
        <v>3.8793306865085753E-2</v>
      </c>
    </row>
    <row r="43" spans="1:6" ht="15.75" x14ac:dyDescent="0.25">
      <c r="A43" s="121">
        <v>3</v>
      </c>
      <c r="B43" s="122" t="s">
        <v>115</v>
      </c>
      <c r="C43" s="119">
        <f t="shared" si="4"/>
        <v>11585278</v>
      </c>
      <c r="D43" s="119">
        <f t="shared" si="4"/>
        <v>11957068</v>
      </c>
      <c r="E43" s="123">
        <f t="shared" si="5"/>
        <v>371790</v>
      </c>
      <c r="F43" s="124">
        <f t="shared" si="6"/>
        <v>3.2091590724020604E-2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245860</v>
      </c>
      <c r="D45" s="119">
        <f t="shared" si="4"/>
        <v>335339</v>
      </c>
      <c r="E45" s="123">
        <f t="shared" si="5"/>
        <v>89479</v>
      </c>
      <c r="F45" s="124">
        <f t="shared" si="6"/>
        <v>0.36394289433010657</v>
      </c>
    </row>
    <row r="46" spans="1:6" ht="15.75" x14ac:dyDescent="0.25">
      <c r="A46" s="121">
        <v>6</v>
      </c>
      <c r="B46" s="122" t="s">
        <v>118</v>
      </c>
      <c r="C46" s="119">
        <f t="shared" si="4"/>
        <v>4380413</v>
      </c>
      <c r="D46" s="119">
        <f t="shared" si="4"/>
        <v>7264024</v>
      </c>
      <c r="E46" s="123">
        <f t="shared" si="5"/>
        <v>2883611</v>
      </c>
      <c r="F46" s="124">
        <f t="shared" si="6"/>
        <v>0.65829660353943797</v>
      </c>
    </row>
    <row r="47" spans="1:6" ht="15.75" x14ac:dyDescent="0.25">
      <c r="A47" s="121">
        <v>7</v>
      </c>
      <c r="B47" s="122" t="s">
        <v>119</v>
      </c>
      <c r="C47" s="119">
        <f t="shared" si="4"/>
        <v>41747282</v>
      </c>
      <c r="D47" s="119">
        <f t="shared" si="4"/>
        <v>39136875</v>
      </c>
      <c r="E47" s="123">
        <f t="shared" si="5"/>
        <v>-2610407</v>
      </c>
      <c r="F47" s="124">
        <f t="shared" si="6"/>
        <v>-6.252878929938481E-2</v>
      </c>
    </row>
    <row r="48" spans="1:6" ht="15.75" x14ac:dyDescent="0.25">
      <c r="A48" s="121">
        <v>8</v>
      </c>
      <c r="B48" s="122" t="s">
        <v>120</v>
      </c>
      <c r="C48" s="119">
        <f t="shared" si="4"/>
        <v>2548036</v>
      </c>
      <c r="D48" s="119">
        <f t="shared" si="4"/>
        <v>1970269</v>
      </c>
      <c r="E48" s="123">
        <f t="shared" si="5"/>
        <v>-577767</v>
      </c>
      <c r="F48" s="124">
        <f t="shared" si="6"/>
        <v>-0.22674993602916127</v>
      </c>
    </row>
    <row r="49" spans="1:6" ht="15.75" x14ac:dyDescent="0.25">
      <c r="A49" s="121">
        <v>9</v>
      </c>
      <c r="B49" s="122" t="s">
        <v>121</v>
      </c>
      <c r="C49" s="119">
        <f t="shared" si="4"/>
        <v>2416523</v>
      </c>
      <c r="D49" s="119">
        <f t="shared" si="4"/>
        <v>2859312</v>
      </c>
      <c r="E49" s="123">
        <f t="shared" si="5"/>
        <v>442789</v>
      </c>
      <c r="F49" s="124">
        <f t="shared" si="6"/>
        <v>0.18323392742382341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9312219</v>
      </c>
      <c r="D51" s="119">
        <f t="shared" si="4"/>
        <v>8763250</v>
      </c>
      <c r="E51" s="123">
        <f t="shared" si="5"/>
        <v>-548969</v>
      </c>
      <c r="F51" s="124">
        <f t="shared" si="6"/>
        <v>-5.8951470106104679E-2</v>
      </c>
    </row>
    <row r="52" spans="1:6" ht="18.75" customHeight="1" thickBot="1" x14ac:dyDescent="0.3">
      <c r="A52" s="125"/>
      <c r="B52" s="126" t="s">
        <v>128</v>
      </c>
      <c r="C52" s="127">
        <f>SUM(C41:C51)</f>
        <v>143606025</v>
      </c>
      <c r="D52" s="128">
        <f>SUM(D41:D51)</f>
        <v>143045834</v>
      </c>
      <c r="E52" s="127">
        <f t="shared" si="5"/>
        <v>-560191</v>
      </c>
      <c r="F52" s="129">
        <f t="shared" si="6"/>
        <v>-3.9008878631659081E-3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14051318</v>
      </c>
      <c r="D57" s="113">
        <v>14098572</v>
      </c>
      <c r="E57" s="113">
        <f t="shared" ref="E57:E68" si="7">D57-C57</f>
        <v>47254</v>
      </c>
      <c r="F57" s="114">
        <f t="shared" ref="F57:F68" si="8">IF(C57=0,0,E57/C57)</f>
        <v>3.3629585495111563E-3</v>
      </c>
    </row>
    <row r="58" spans="1:6" x14ac:dyDescent="0.2">
      <c r="A58" s="115">
        <v>2</v>
      </c>
      <c r="B58" s="116" t="s">
        <v>114</v>
      </c>
      <c r="C58" s="113">
        <v>1276830</v>
      </c>
      <c r="D58" s="113">
        <v>1275336</v>
      </c>
      <c r="E58" s="113">
        <f t="shared" si="7"/>
        <v>-1494</v>
      </c>
      <c r="F58" s="114">
        <f t="shared" si="8"/>
        <v>-1.1700852893494044E-3</v>
      </c>
    </row>
    <row r="59" spans="1:6" x14ac:dyDescent="0.2">
      <c r="A59" s="115">
        <v>3</v>
      </c>
      <c r="B59" s="116" t="s">
        <v>115</v>
      </c>
      <c r="C59" s="113">
        <v>1001592</v>
      </c>
      <c r="D59" s="113">
        <v>1057016</v>
      </c>
      <c r="E59" s="113">
        <f t="shared" si="7"/>
        <v>55424</v>
      </c>
      <c r="F59" s="114">
        <f t="shared" si="8"/>
        <v>5.5335905238859735E-2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50049</v>
      </c>
      <c r="D61" s="113">
        <v>84437</v>
      </c>
      <c r="E61" s="113">
        <f t="shared" si="7"/>
        <v>34388</v>
      </c>
      <c r="F61" s="114">
        <f t="shared" si="8"/>
        <v>0.68708665507802358</v>
      </c>
    </row>
    <row r="62" spans="1:6" x14ac:dyDescent="0.2">
      <c r="A62" s="115">
        <v>6</v>
      </c>
      <c r="B62" s="116" t="s">
        <v>118</v>
      </c>
      <c r="C62" s="113">
        <v>331751</v>
      </c>
      <c r="D62" s="113">
        <v>454802</v>
      </c>
      <c r="E62" s="113">
        <f t="shared" si="7"/>
        <v>123051</v>
      </c>
      <c r="F62" s="114">
        <f t="shared" si="8"/>
        <v>0.37091372746427292</v>
      </c>
    </row>
    <row r="63" spans="1:6" x14ac:dyDescent="0.2">
      <c r="A63" s="115">
        <v>7</v>
      </c>
      <c r="B63" s="116" t="s">
        <v>119</v>
      </c>
      <c r="C63" s="113">
        <v>3975393</v>
      </c>
      <c r="D63" s="113">
        <v>4321100</v>
      </c>
      <c r="E63" s="113">
        <f t="shared" si="7"/>
        <v>345707</v>
      </c>
      <c r="F63" s="114">
        <f t="shared" si="8"/>
        <v>8.6961716740961204E-2</v>
      </c>
    </row>
    <row r="64" spans="1:6" x14ac:dyDescent="0.2">
      <c r="A64" s="115">
        <v>8</v>
      </c>
      <c r="B64" s="116" t="s">
        <v>120</v>
      </c>
      <c r="C64" s="113">
        <v>374998</v>
      </c>
      <c r="D64" s="113">
        <v>68032</v>
      </c>
      <c r="E64" s="113">
        <f t="shared" si="7"/>
        <v>-306966</v>
      </c>
      <c r="F64" s="114">
        <f t="shared" si="8"/>
        <v>-0.8185803657619507</v>
      </c>
    </row>
    <row r="65" spans="1:6" x14ac:dyDescent="0.2">
      <c r="A65" s="115">
        <v>9</v>
      </c>
      <c r="B65" s="116" t="s">
        <v>121</v>
      </c>
      <c r="C65" s="113">
        <v>5900</v>
      </c>
      <c r="D65" s="113">
        <v>16179</v>
      </c>
      <c r="E65" s="113">
        <f t="shared" si="7"/>
        <v>10279</v>
      </c>
      <c r="F65" s="114">
        <f t="shared" si="8"/>
        <v>1.7422033898305085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1337350</v>
      </c>
      <c r="D67" s="113">
        <v>1481750</v>
      </c>
      <c r="E67" s="113">
        <f t="shared" si="7"/>
        <v>144400</v>
      </c>
      <c r="F67" s="114">
        <f t="shared" si="8"/>
        <v>0.10797472613751075</v>
      </c>
    </row>
    <row r="68" spans="1:6" ht="15.75" x14ac:dyDescent="0.25">
      <c r="A68" s="117"/>
      <c r="B68" s="118" t="s">
        <v>131</v>
      </c>
      <c r="C68" s="119">
        <f>SUM(C57:C67)</f>
        <v>22405181</v>
      </c>
      <c r="D68" s="119">
        <f>SUM(D57:D67)</f>
        <v>22857224</v>
      </c>
      <c r="E68" s="119">
        <f t="shared" si="7"/>
        <v>452043</v>
      </c>
      <c r="F68" s="120">
        <f t="shared" si="8"/>
        <v>2.017582451130388E-2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6484359</v>
      </c>
      <c r="D70" s="113">
        <v>6301862</v>
      </c>
      <c r="E70" s="113">
        <f t="shared" ref="E70:E81" si="9">D70-C70</f>
        <v>-182497</v>
      </c>
      <c r="F70" s="114">
        <f t="shared" ref="F70:F81" si="10">IF(C70=0,0,E70/C70)</f>
        <v>-2.8144185107579638E-2</v>
      </c>
    </row>
    <row r="71" spans="1:6" x14ac:dyDescent="0.2">
      <c r="A71" s="115">
        <v>2</v>
      </c>
      <c r="B71" s="116" t="s">
        <v>114</v>
      </c>
      <c r="C71" s="113">
        <v>605470</v>
      </c>
      <c r="D71" s="113">
        <v>536767</v>
      </c>
      <c r="E71" s="113">
        <f t="shared" si="9"/>
        <v>-68703</v>
      </c>
      <c r="F71" s="114">
        <f t="shared" si="10"/>
        <v>-0.11347052702858935</v>
      </c>
    </row>
    <row r="72" spans="1:6" x14ac:dyDescent="0.2">
      <c r="A72" s="115">
        <v>3</v>
      </c>
      <c r="B72" s="116" t="s">
        <v>115</v>
      </c>
      <c r="C72" s="113">
        <v>1560189</v>
      </c>
      <c r="D72" s="113">
        <v>1466344</v>
      </c>
      <c r="E72" s="113">
        <f t="shared" si="9"/>
        <v>-93845</v>
      </c>
      <c r="F72" s="114">
        <f t="shared" si="10"/>
        <v>-6.0149763906808727E-2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35754</v>
      </c>
      <c r="D74" s="113">
        <v>44759</v>
      </c>
      <c r="E74" s="113">
        <f t="shared" si="9"/>
        <v>9005</v>
      </c>
      <c r="F74" s="114">
        <f t="shared" si="10"/>
        <v>0.25185993175588745</v>
      </c>
    </row>
    <row r="75" spans="1:6" x14ac:dyDescent="0.2">
      <c r="A75" s="115">
        <v>6</v>
      </c>
      <c r="B75" s="116" t="s">
        <v>118</v>
      </c>
      <c r="C75" s="113">
        <v>1631459</v>
      </c>
      <c r="D75" s="113">
        <v>2584065</v>
      </c>
      <c r="E75" s="113">
        <f t="shared" si="9"/>
        <v>952606</v>
      </c>
      <c r="F75" s="114">
        <f t="shared" si="10"/>
        <v>0.58389821625918881</v>
      </c>
    </row>
    <row r="76" spans="1:6" x14ac:dyDescent="0.2">
      <c r="A76" s="115">
        <v>7</v>
      </c>
      <c r="B76" s="116" t="s">
        <v>119</v>
      </c>
      <c r="C76" s="113">
        <v>14836140</v>
      </c>
      <c r="D76" s="113">
        <v>13786581</v>
      </c>
      <c r="E76" s="113">
        <f t="shared" si="9"/>
        <v>-1049559</v>
      </c>
      <c r="F76" s="114">
        <f t="shared" si="10"/>
        <v>-7.0743400911557855E-2</v>
      </c>
    </row>
    <row r="77" spans="1:6" x14ac:dyDescent="0.2">
      <c r="A77" s="115">
        <v>8</v>
      </c>
      <c r="B77" s="116" t="s">
        <v>120</v>
      </c>
      <c r="C77" s="113">
        <v>550489</v>
      </c>
      <c r="D77" s="113">
        <v>432205</v>
      </c>
      <c r="E77" s="113">
        <f t="shared" si="9"/>
        <v>-118284</v>
      </c>
      <c r="F77" s="114">
        <f t="shared" si="10"/>
        <v>-0.21487077852600142</v>
      </c>
    </row>
    <row r="78" spans="1:6" x14ac:dyDescent="0.2">
      <c r="A78" s="115">
        <v>9</v>
      </c>
      <c r="B78" s="116" t="s">
        <v>121</v>
      </c>
      <c r="C78" s="113">
        <v>224891</v>
      </c>
      <c r="D78" s="113">
        <v>203614</v>
      </c>
      <c r="E78" s="113">
        <f t="shared" si="9"/>
        <v>-21277</v>
      </c>
      <c r="F78" s="114">
        <f t="shared" si="10"/>
        <v>-9.4610277867944917E-2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731317</v>
      </c>
      <c r="D80" s="113">
        <v>705262</v>
      </c>
      <c r="E80" s="113">
        <f t="shared" si="9"/>
        <v>-26055</v>
      </c>
      <c r="F80" s="114">
        <f t="shared" si="10"/>
        <v>-3.5627504898696462E-2</v>
      </c>
    </row>
    <row r="81" spans="1:6" ht="15.75" x14ac:dyDescent="0.25">
      <c r="A81" s="117"/>
      <c r="B81" s="118" t="s">
        <v>133</v>
      </c>
      <c r="C81" s="119">
        <f>SUM(C70:C80)</f>
        <v>26660068</v>
      </c>
      <c r="D81" s="119">
        <f>SUM(D70:D80)</f>
        <v>26061459</v>
      </c>
      <c r="E81" s="119">
        <f t="shared" si="9"/>
        <v>-598609</v>
      </c>
      <c r="F81" s="120">
        <f t="shared" si="10"/>
        <v>-2.2453393592244401E-2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20535677</v>
      </c>
      <c r="D84" s="119">
        <f t="shared" si="11"/>
        <v>20400434</v>
      </c>
      <c r="E84" s="119">
        <f t="shared" ref="E84:E95" si="12">D84-C84</f>
        <v>-135243</v>
      </c>
      <c r="F84" s="120">
        <f t="shared" ref="F84:F95" si="13">IF(C84=0,0,E84/C84)</f>
        <v>-6.585758044402432E-3</v>
      </c>
    </row>
    <row r="85" spans="1:6" ht="15.75" x14ac:dyDescent="0.25">
      <c r="A85" s="130">
        <v>2</v>
      </c>
      <c r="B85" s="122" t="s">
        <v>114</v>
      </c>
      <c r="C85" s="119">
        <f t="shared" si="11"/>
        <v>1882300</v>
      </c>
      <c r="D85" s="119">
        <f t="shared" si="11"/>
        <v>1812103</v>
      </c>
      <c r="E85" s="119">
        <f t="shared" si="12"/>
        <v>-70197</v>
      </c>
      <c r="F85" s="120">
        <f t="shared" si="13"/>
        <v>-3.7293205121394037E-2</v>
      </c>
    </row>
    <row r="86" spans="1:6" ht="15.75" x14ac:dyDescent="0.25">
      <c r="A86" s="130">
        <v>3</v>
      </c>
      <c r="B86" s="122" t="s">
        <v>115</v>
      </c>
      <c r="C86" s="119">
        <f t="shared" si="11"/>
        <v>2561781</v>
      </c>
      <c r="D86" s="119">
        <f t="shared" si="11"/>
        <v>2523360</v>
      </c>
      <c r="E86" s="119">
        <f t="shared" si="12"/>
        <v>-38421</v>
      </c>
      <c r="F86" s="120">
        <f t="shared" si="13"/>
        <v>-1.4997769130148128E-2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85803</v>
      </c>
      <c r="D88" s="119">
        <f t="shared" si="11"/>
        <v>129196</v>
      </c>
      <c r="E88" s="119">
        <f t="shared" si="12"/>
        <v>43393</v>
      </c>
      <c r="F88" s="120">
        <f t="shared" si="13"/>
        <v>0.50572823794039834</v>
      </c>
    </row>
    <row r="89" spans="1:6" ht="15.75" x14ac:dyDescent="0.25">
      <c r="A89" s="130">
        <v>6</v>
      </c>
      <c r="B89" s="122" t="s">
        <v>118</v>
      </c>
      <c r="C89" s="119">
        <f t="shared" si="11"/>
        <v>1963210</v>
      </c>
      <c r="D89" s="119">
        <f t="shared" si="11"/>
        <v>3038867</v>
      </c>
      <c r="E89" s="119">
        <f t="shared" si="12"/>
        <v>1075657</v>
      </c>
      <c r="F89" s="120">
        <f t="shared" si="13"/>
        <v>0.54790725393615558</v>
      </c>
    </row>
    <row r="90" spans="1:6" ht="15.75" x14ac:dyDescent="0.25">
      <c r="A90" s="130">
        <v>7</v>
      </c>
      <c r="B90" s="122" t="s">
        <v>119</v>
      </c>
      <c r="C90" s="119">
        <f t="shared" si="11"/>
        <v>18811533</v>
      </c>
      <c r="D90" s="119">
        <f t="shared" si="11"/>
        <v>18107681</v>
      </c>
      <c r="E90" s="119">
        <f t="shared" si="12"/>
        <v>-703852</v>
      </c>
      <c r="F90" s="120">
        <f t="shared" si="13"/>
        <v>-3.7415983056776923E-2</v>
      </c>
    </row>
    <row r="91" spans="1:6" ht="15.75" x14ac:dyDescent="0.25">
      <c r="A91" s="130">
        <v>8</v>
      </c>
      <c r="B91" s="122" t="s">
        <v>120</v>
      </c>
      <c r="C91" s="119">
        <f t="shared" si="11"/>
        <v>925487</v>
      </c>
      <c r="D91" s="119">
        <f t="shared" si="11"/>
        <v>500237</v>
      </c>
      <c r="E91" s="119">
        <f t="shared" si="12"/>
        <v>-425250</v>
      </c>
      <c r="F91" s="120">
        <f t="shared" si="13"/>
        <v>-0.45948781560410895</v>
      </c>
    </row>
    <row r="92" spans="1:6" ht="15.75" x14ac:dyDescent="0.25">
      <c r="A92" s="130">
        <v>9</v>
      </c>
      <c r="B92" s="122" t="s">
        <v>121</v>
      </c>
      <c r="C92" s="119">
        <f t="shared" si="11"/>
        <v>230791</v>
      </c>
      <c r="D92" s="119">
        <f t="shared" si="11"/>
        <v>219793</v>
      </c>
      <c r="E92" s="119">
        <f t="shared" si="12"/>
        <v>-10998</v>
      </c>
      <c r="F92" s="120">
        <f t="shared" si="13"/>
        <v>-4.7653504686057946E-2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2068667</v>
      </c>
      <c r="D94" s="119">
        <f t="shared" si="11"/>
        <v>2187012</v>
      </c>
      <c r="E94" s="119">
        <f t="shared" si="12"/>
        <v>118345</v>
      </c>
      <c r="F94" s="120">
        <f t="shared" si="13"/>
        <v>5.7208337542968495E-2</v>
      </c>
    </row>
    <row r="95" spans="1:6" ht="18.75" customHeight="1" thickBot="1" x14ac:dyDescent="0.3">
      <c r="A95" s="131"/>
      <c r="B95" s="132" t="s">
        <v>134</v>
      </c>
      <c r="C95" s="128">
        <f>SUM(C84:C94)</f>
        <v>49065249</v>
      </c>
      <c r="D95" s="128">
        <f>SUM(D84:D94)</f>
        <v>48918683</v>
      </c>
      <c r="E95" s="128">
        <f t="shared" si="12"/>
        <v>-146566</v>
      </c>
      <c r="F95" s="129">
        <f t="shared" si="13"/>
        <v>-2.9871651115028481E-3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1279</v>
      </c>
      <c r="D100" s="133">
        <v>1188</v>
      </c>
      <c r="E100" s="133">
        <f t="shared" ref="E100:E111" si="14">D100-C100</f>
        <v>-91</v>
      </c>
      <c r="F100" s="114">
        <f t="shared" ref="F100:F111" si="15">IF(C100=0,0,E100/C100)</f>
        <v>-7.1149335418295545E-2</v>
      </c>
    </row>
    <row r="101" spans="1:6" x14ac:dyDescent="0.2">
      <c r="A101" s="115">
        <v>2</v>
      </c>
      <c r="B101" s="116" t="s">
        <v>114</v>
      </c>
      <c r="C101" s="133">
        <v>131</v>
      </c>
      <c r="D101" s="133">
        <v>131</v>
      </c>
      <c r="E101" s="133">
        <f t="shared" si="14"/>
        <v>0</v>
      </c>
      <c r="F101" s="114">
        <f t="shared" si="15"/>
        <v>0</v>
      </c>
    </row>
    <row r="102" spans="1:6" x14ac:dyDescent="0.2">
      <c r="A102" s="115">
        <v>3</v>
      </c>
      <c r="B102" s="116" t="s">
        <v>115</v>
      </c>
      <c r="C102" s="133">
        <v>219</v>
      </c>
      <c r="D102" s="133">
        <v>268</v>
      </c>
      <c r="E102" s="133">
        <f t="shared" si="14"/>
        <v>49</v>
      </c>
      <c r="F102" s="114">
        <f t="shared" si="15"/>
        <v>0.22374429223744291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11</v>
      </c>
      <c r="D104" s="133">
        <v>13</v>
      </c>
      <c r="E104" s="133">
        <f t="shared" si="14"/>
        <v>2</v>
      </c>
      <c r="F104" s="114">
        <f t="shared" si="15"/>
        <v>0.18181818181818182</v>
      </c>
    </row>
    <row r="105" spans="1:6" x14ac:dyDescent="0.2">
      <c r="A105" s="115">
        <v>6</v>
      </c>
      <c r="B105" s="116" t="s">
        <v>118</v>
      </c>
      <c r="C105" s="133">
        <v>49</v>
      </c>
      <c r="D105" s="133">
        <v>70</v>
      </c>
      <c r="E105" s="133">
        <f t="shared" si="14"/>
        <v>21</v>
      </c>
      <c r="F105" s="114">
        <f t="shared" si="15"/>
        <v>0.42857142857142855</v>
      </c>
    </row>
    <row r="106" spans="1:6" x14ac:dyDescent="0.2">
      <c r="A106" s="115">
        <v>7</v>
      </c>
      <c r="B106" s="116" t="s">
        <v>119</v>
      </c>
      <c r="C106" s="133">
        <v>538</v>
      </c>
      <c r="D106" s="133">
        <v>519</v>
      </c>
      <c r="E106" s="133">
        <f t="shared" si="14"/>
        <v>-19</v>
      </c>
      <c r="F106" s="114">
        <f t="shared" si="15"/>
        <v>-3.5315985130111527E-2</v>
      </c>
    </row>
    <row r="107" spans="1:6" x14ac:dyDescent="0.2">
      <c r="A107" s="115">
        <v>8</v>
      </c>
      <c r="B107" s="116" t="s">
        <v>120</v>
      </c>
      <c r="C107" s="133">
        <v>15</v>
      </c>
      <c r="D107" s="133">
        <v>6</v>
      </c>
      <c r="E107" s="133">
        <f t="shared" si="14"/>
        <v>-9</v>
      </c>
      <c r="F107" s="114">
        <f t="shared" si="15"/>
        <v>-0.6</v>
      </c>
    </row>
    <row r="108" spans="1:6" x14ac:dyDescent="0.2">
      <c r="A108" s="115">
        <v>9</v>
      </c>
      <c r="B108" s="116" t="s">
        <v>121</v>
      </c>
      <c r="C108" s="133">
        <v>45</v>
      </c>
      <c r="D108" s="133">
        <v>51</v>
      </c>
      <c r="E108" s="133">
        <f t="shared" si="14"/>
        <v>6</v>
      </c>
      <c r="F108" s="114">
        <f t="shared" si="15"/>
        <v>0.13333333333333333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179</v>
      </c>
      <c r="D110" s="133">
        <v>164</v>
      </c>
      <c r="E110" s="133">
        <f t="shared" si="14"/>
        <v>-15</v>
      </c>
      <c r="F110" s="114">
        <f t="shared" si="15"/>
        <v>-8.3798882681564241E-2</v>
      </c>
    </row>
    <row r="111" spans="1:6" ht="15.75" x14ac:dyDescent="0.25">
      <c r="A111" s="117"/>
      <c r="B111" s="118" t="s">
        <v>138</v>
      </c>
      <c r="C111" s="134">
        <f>SUM(C100:C110)</f>
        <v>2466</v>
      </c>
      <c r="D111" s="134">
        <f>SUM(D100:D110)</f>
        <v>2410</v>
      </c>
      <c r="E111" s="134">
        <f t="shared" si="14"/>
        <v>-56</v>
      </c>
      <c r="F111" s="120">
        <f t="shared" si="15"/>
        <v>-2.2708840227088401E-2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6858</v>
      </c>
      <c r="D113" s="133">
        <v>5836</v>
      </c>
      <c r="E113" s="133">
        <f t="shared" ref="E113:E124" si="16">D113-C113</f>
        <v>-1022</v>
      </c>
      <c r="F113" s="114">
        <f t="shared" ref="F113:F124" si="17">IF(C113=0,0,E113/C113)</f>
        <v>-0.1490230387868183</v>
      </c>
    </row>
    <row r="114" spans="1:6" x14ac:dyDescent="0.2">
      <c r="A114" s="115">
        <v>2</v>
      </c>
      <c r="B114" s="116" t="s">
        <v>114</v>
      </c>
      <c r="C114" s="133">
        <v>829</v>
      </c>
      <c r="D114" s="133">
        <v>722</v>
      </c>
      <c r="E114" s="133">
        <f t="shared" si="16"/>
        <v>-107</v>
      </c>
      <c r="F114" s="114">
        <f t="shared" si="17"/>
        <v>-0.12907117008443908</v>
      </c>
    </row>
    <row r="115" spans="1:6" x14ac:dyDescent="0.2">
      <c r="A115" s="115">
        <v>3</v>
      </c>
      <c r="B115" s="116" t="s">
        <v>115</v>
      </c>
      <c r="C115" s="133">
        <v>795</v>
      </c>
      <c r="D115" s="133">
        <v>822</v>
      </c>
      <c r="E115" s="133">
        <f t="shared" si="16"/>
        <v>27</v>
      </c>
      <c r="F115" s="114">
        <f t="shared" si="17"/>
        <v>3.3962264150943396E-2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22</v>
      </c>
      <c r="D117" s="133">
        <v>28</v>
      </c>
      <c r="E117" s="133">
        <f t="shared" si="16"/>
        <v>6</v>
      </c>
      <c r="F117" s="114">
        <f t="shared" si="17"/>
        <v>0.27272727272727271</v>
      </c>
    </row>
    <row r="118" spans="1:6" x14ac:dyDescent="0.2">
      <c r="A118" s="115">
        <v>6</v>
      </c>
      <c r="B118" s="116" t="s">
        <v>118</v>
      </c>
      <c r="C118" s="133">
        <v>134</v>
      </c>
      <c r="D118" s="133">
        <v>183</v>
      </c>
      <c r="E118" s="133">
        <f t="shared" si="16"/>
        <v>49</v>
      </c>
      <c r="F118" s="114">
        <f t="shared" si="17"/>
        <v>0.36567164179104478</v>
      </c>
    </row>
    <row r="119" spans="1:6" x14ac:dyDescent="0.2">
      <c r="A119" s="115">
        <v>7</v>
      </c>
      <c r="B119" s="116" t="s">
        <v>119</v>
      </c>
      <c r="C119" s="133">
        <v>1562</v>
      </c>
      <c r="D119" s="133">
        <v>1525</v>
      </c>
      <c r="E119" s="133">
        <f t="shared" si="16"/>
        <v>-37</v>
      </c>
      <c r="F119" s="114">
        <f t="shared" si="17"/>
        <v>-2.3687580025608196E-2</v>
      </c>
    </row>
    <row r="120" spans="1:6" x14ac:dyDescent="0.2">
      <c r="A120" s="115">
        <v>8</v>
      </c>
      <c r="B120" s="116" t="s">
        <v>120</v>
      </c>
      <c r="C120" s="133">
        <v>48</v>
      </c>
      <c r="D120" s="133">
        <v>20</v>
      </c>
      <c r="E120" s="133">
        <f t="shared" si="16"/>
        <v>-28</v>
      </c>
      <c r="F120" s="114">
        <f t="shared" si="17"/>
        <v>-0.58333333333333337</v>
      </c>
    </row>
    <row r="121" spans="1:6" x14ac:dyDescent="0.2">
      <c r="A121" s="115">
        <v>9</v>
      </c>
      <c r="B121" s="116" t="s">
        <v>121</v>
      </c>
      <c r="C121" s="133">
        <v>124</v>
      </c>
      <c r="D121" s="133">
        <v>108</v>
      </c>
      <c r="E121" s="133">
        <f t="shared" si="16"/>
        <v>-16</v>
      </c>
      <c r="F121" s="114">
        <f t="shared" si="17"/>
        <v>-0.12903225806451613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657</v>
      </c>
      <c r="D123" s="133">
        <v>545</v>
      </c>
      <c r="E123" s="133">
        <f t="shared" si="16"/>
        <v>-112</v>
      </c>
      <c r="F123" s="114">
        <f t="shared" si="17"/>
        <v>-0.17047184170471841</v>
      </c>
    </row>
    <row r="124" spans="1:6" ht="15.75" x14ac:dyDescent="0.25">
      <c r="A124" s="117"/>
      <c r="B124" s="118" t="s">
        <v>140</v>
      </c>
      <c r="C124" s="134">
        <f>SUM(C113:C123)</f>
        <v>11029</v>
      </c>
      <c r="D124" s="134">
        <f>SUM(D113:D123)</f>
        <v>9789</v>
      </c>
      <c r="E124" s="134">
        <f t="shared" si="16"/>
        <v>-1240</v>
      </c>
      <c r="F124" s="120">
        <f t="shared" si="17"/>
        <v>-0.11243086408559252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34601</v>
      </c>
      <c r="D126" s="133">
        <v>30934</v>
      </c>
      <c r="E126" s="133">
        <f t="shared" ref="E126:E137" si="18">D126-C126</f>
        <v>-3667</v>
      </c>
      <c r="F126" s="114">
        <f t="shared" ref="F126:F137" si="19">IF(C126=0,0,E126/C126)</f>
        <v>-0.10597959596543452</v>
      </c>
    </row>
    <row r="127" spans="1:6" x14ac:dyDescent="0.2">
      <c r="A127" s="115">
        <v>2</v>
      </c>
      <c r="B127" s="116" t="s">
        <v>114</v>
      </c>
      <c r="C127" s="133">
        <v>2823</v>
      </c>
      <c r="D127" s="133">
        <v>3276</v>
      </c>
      <c r="E127" s="133">
        <f t="shared" si="18"/>
        <v>453</v>
      </c>
      <c r="F127" s="114">
        <f t="shared" si="19"/>
        <v>0.16046758767268862</v>
      </c>
    </row>
    <row r="128" spans="1:6" x14ac:dyDescent="0.2">
      <c r="A128" s="115">
        <v>3</v>
      </c>
      <c r="B128" s="116" t="s">
        <v>115</v>
      </c>
      <c r="C128" s="133">
        <v>7078</v>
      </c>
      <c r="D128" s="133">
        <v>7097</v>
      </c>
      <c r="E128" s="133">
        <f t="shared" si="18"/>
        <v>19</v>
      </c>
      <c r="F128" s="114">
        <f t="shared" si="19"/>
        <v>2.6843741169821985E-3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190</v>
      </c>
      <c r="D130" s="133">
        <v>126</v>
      </c>
      <c r="E130" s="133">
        <f t="shared" si="18"/>
        <v>-64</v>
      </c>
      <c r="F130" s="114">
        <f t="shared" si="19"/>
        <v>-0.33684210526315789</v>
      </c>
    </row>
    <row r="131" spans="1:6" x14ac:dyDescent="0.2">
      <c r="A131" s="115">
        <v>6</v>
      </c>
      <c r="B131" s="116" t="s">
        <v>118</v>
      </c>
      <c r="C131" s="133">
        <v>5589</v>
      </c>
      <c r="D131" s="133">
        <v>6203</v>
      </c>
      <c r="E131" s="133">
        <f t="shared" si="18"/>
        <v>614</v>
      </c>
      <c r="F131" s="114">
        <f t="shared" si="19"/>
        <v>0.10985865092145286</v>
      </c>
    </row>
    <row r="132" spans="1:6" x14ac:dyDescent="0.2">
      <c r="A132" s="115">
        <v>7</v>
      </c>
      <c r="B132" s="116" t="s">
        <v>119</v>
      </c>
      <c r="C132" s="133">
        <v>31731</v>
      </c>
      <c r="D132" s="133">
        <v>24767</v>
      </c>
      <c r="E132" s="133">
        <f t="shared" si="18"/>
        <v>-6964</v>
      </c>
      <c r="F132" s="114">
        <f t="shared" si="19"/>
        <v>-0.21946991900664964</v>
      </c>
    </row>
    <row r="133" spans="1:6" x14ac:dyDescent="0.2">
      <c r="A133" s="115">
        <v>8</v>
      </c>
      <c r="B133" s="116" t="s">
        <v>120</v>
      </c>
      <c r="C133" s="133">
        <v>1042</v>
      </c>
      <c r="D133" s="133">
        <v>521</v>
      </c>
      <c r="E133" s="133">
        <f t="shared" si="18"/>
        <v>-521</v>
      </c>
      <c r="F133" s="114">
        <f t="shared" si="19"/>
        <v>-0.5</v>
      </c>
    </row>
    <row r="134" spans="1:6" x14ac:dyDescent="0.2">
      <c r="A134" s="115">
        <v>9</v>
      </c>
      <c r="B134" s="116" t="s">
        <v>121</v>
      </c>
      <c r="C134" s="133">
        <v>2545</v>
      </c>
      <c r="D134" s="133">
        <v>1939</v>
      </c>
      <c r="E134" s="133">
        <f t="shared" si="18"/>
        <v>-606</v>
      </c>
      <c r="F134" s="114">
        <f t="shared" si="19"/>
        <v>-0.2381139489194499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4993</v>
      </c>
      <c r="D136" s="133">
        <v>165</v>
      </c>
      <c r="E136" s="133">
        <f t="shared" si="18"/>
        <v>-4828</v>
      </c>
      <c r="F136" s="114">
        <f t="shared" si="19"/>
        <v>-0.96695373522932104</v>
      </c>
    </row>
    <row r="137" spans="1:6" ht="15.75" x14ac:dyDescent="0.25">
      <c r="A137" s="117"/>
      <c r="B137" s="118" t="s">
        <v>142</v>
      </c>
      <c r="C137" s="134">
        <f>SUM(C126:C136)</f>
        <v>90592</v>
      </c>
      <c r="D137" s="134">
        <f>SUM(D126:D136)</f>
        <v>75028</v>
      </c>
      <c r="E137" s="134">
        <f t="shared" si="18"/>
        <v>-15564</v>
      </c>
      <c r="F137" s="120">
        <f t="shared" si="19"/>
        <v>-0.17180324973507594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5973726</v>
      </c>
      <c r="D142" s="113">
        <v>6189606</v>
      </c>
      <c r="E142" s="113">
        <f t="shared" ref="E142:E153" si="20">D142-C142</f>
        <v>215880</v>
      </c>
      <c r="F142" s="114">
        <f t="shared" ref="F142:F153" si="21">IF(C142=0,0,E142/C142)</f>
        <v>3.6138249394096753E-2</v>
      </c>
    </row>
    <row r="143" spans="1:6" x14ac:dyDescent="0.2">
      <c r="A143" s="115">
        <v>2</v>
      </c>
      <c r="B143" s="116" t="s">
        <v>114</v>
      </c>
      <c r="C143" s="113">
        <v>565533</v>
      </c>
      <c r="D143" s="113">
        <v>750138</v>
      </c>
      <c r="E143" s="113">
        <f t="shared" si="20"/>
        <v>184605</v>
      </c>
      <c r="F143" s="114">
        <f t="shared" si="21"/>
        <v>0.32642657457654989</v>
      </c>
    </row>
    <row r="144" spans="1:6" x14ac:dyDescent="0.2">
      <c r="A144" s="115">
        <v>3</v>
      </c>
      <c r="B144" s="116" t="s">
        <v>115</v>
      </c>
      <c r="C144" s="113">
        <v>2793875</v>
      </c>
      <c r="D144" s="113">
        <v>2241188</v>
      </c>
      <c r="E144" s="113">
        <f t="shared" si="20"/>
        <v>-552687</v>
      </c>
      <c r="F144" s="114">
        <f t="shared" si="21"/>
        <v>-0.19782094760860811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81681</v>
      </c>
      <c r="D146" s="113">
        <v>76206</v>
      </c>
      <c r="E146" s="113">
        <f t="shared" si="20"/>
        <v>-5475</v>
      </c>
      <c r="F146" s="114">
        <f t="shared" si="21"/>
        <v>-6.7029052043926979E-2</v>
      </c>
    </row>
    <row r="147" spans="1:6" x14ac:dyDescent="0.2">
      <c r="A147" s="115">
        <v>6</v>
      </c>
      <c r="B147" s="116" t="s">
        <v>118</v>
      </c>
      <c r="C147" s="113">
        <v>689682</v>
      </c>
      <c r="D147" s="113">
        <v>1746444</v>
      </c>
      <c r="E147" s="113">
        <f t="shared" si="20"/>
        <v>1056762</v>
      </c>
      <c r="F147" s="114">
        <f t="shared" si="21"/>
        <v>1.5322452956579988</v>
      </c>
    </row>
    <row r="148" spans="1:6" x14ac:dyDescent="0.2">
      <c r="A148" s="115">
        <v>7</v>
      </c>
      <c r="B148" s="116" t="s">
        <v>119</v>
      </c>
      <c r="C148" s="113">
        <v>8467476</v>
      </c>
      <c r="D148" s="113">
        <v>7752285</v>
      </c>
      <c r="E148" s="113">
        <f t="shared" si="20"/>
        <v>-715191</v>
      </c>
      <c r="F148" s="114">
        <f t="shared" si="21"/>
        <v>-8.4463304058966335E-2</v>
      </c>
    </row>
    <row r="149" spans="1:6" x14ac:dyDescent="0.2">
      <c r="A149" s="115">
        <v>8</v>
      </c>
      <c r="B149" s="116" t="s">
        <v>120</v>
      </c>
      <c r="C149" s="113">
        <v>480953</v>
      </c>
      <c r="D149" s="113">
        <v>422641</v>
      </c>
      <c r="E149" s="113">
        <f t="shared" si="20"/>
        <v>-58312</v>
      </c>
      <c r="F149" s="114">
        <f t="shared" si="21"/>
        <v>-0.12124261622237516</v>
      </c>
    </row>
    <row r="150" spans="1:6" x14ac:dyDescent="0.2">
      <c r="A150" s="115">
        <v>9</v>
      </c>
      <c r="B150" s="116" t="s">
        <v>121</v>
      </c>
      <c r="C150" s="113">
        <v>1487307</v>
      </c>
      <c r="D150" s="113">
        <v>0</v>
      </c>
      <c r="E150" s="113">
        <f t="shared" si="20"/>
        <v>-1487307</v>
      </c>
      <c r="F150" s="114">
        <f t="shared" si="21"/>
        <v>-1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3024514</v>
      </c>
      <c r="D152" s="113">
        <v>392677</v>
      </c>
      <c r="E152" s="113">
        <f t="shared" si="20"/>
        <v>-2631837</v>
      </c>
      <c r="F152" s="114">
        <f t="shared" si="21"/>
        <v>-0.87016856261865538</v>
      </c>
    </row>
    <row r="153" spans="1:6" ht="33.75" customHeight="1" x14ac:dyDescent="0.25">
      <c r="A153" s="117"/>
      <c r="B153" s="118" t="s">
        <v>146</v>
      </c>
      <c r="C153" s="119">
        <f>SUM(C142:C152)</f>
        <v>23564747</v>
      </c>
      <c r="D153" s="119">
        <f>SUM(D142:D152)</f>
        <v>19571185</v>
      </c>
      <c r="E153" s="119">
        <f t="shared" si="20"/>
        <v>-3993562</v>
      </c>
      <c r="F153" s="120">
        <f t="shared" si="21"/>
        <v>-0.16947188102634839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1058961</v>
      </c>
      <c r="D155" s="113">
        <v>855858</v>
      </c>
      <c r="E155" s="113">
        <f t="shared" ref="E155:E166" si="22">D155-C155</f>
        <v>-203103</v>
      </c>
      <c r="F155" s="114">
        <f t="shared" ref="F155:F166" si="23">IF(C155=0,0,E155/C155)</f>
        <v>-0.1917945986679396</v>
      </c>
    </row>
    <row r="156" spans="1:6" x14ac:dyDescent="0.2">
      <c r="A156" s="115">
        <v>2</v>
      </c>
      <c r="B156" s="116" t="s">
        <v>114</v>
      </c>
      <c r="C156" s="113">
        <v>96169</v>
      </c>
      <c r="D156" s="113">
        <v>81964</v>
      </c>
      <c r="E156" s="113">
        <f t="shared" si="22"/>
        <v>-14205</v>
      </c>
      <c r="F156" s="114">
        <f t="shared" si="23"/>
        <v>-0.14770872110555378</v>
      </c>
    </row>
    <row r="157" spans="1:6" x14ac:dyDescent="0.2">
      <c r="A157" s="115">
        <v>3</v>
      </c>
      <c r="B157" s="116" t="s">
        <v>115</v>
      </c>
      <c r="C157" s="113">
        <v>395189</v>
      </c>
      <c r="D157" s="113">
        <v>338212</v>
      </c>
      <c r="E157" s="113">
        <f t="shared" si="22"/>
        <v>-56977</v>
      </c>
      <c r="F157" s="114">
        <f t="shared" si="23"/>
        <v>-0.14417658386240509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10586</v>
      </c>
      <c r="D159" s="113">
        <v>10164</v>
      </c>
      <c r="E159" s="113">
        <f t="shared" si="22"/>
        <v>-422</v>
      </c>
      <c r="F159" s="114">
        <f t="shared" si="23"/>
        <v>-3.9863971282826371E-2</v>
      </c>
    </row>
    <row r="160" spans="1:6" x14ac:dyDescent="0.2">
      <c r="A160" s="115">
        <v>6</v>
      </c>
      <c r="B160" s="116" t="s">
        <v>118</v>
      </c>
      <c r="C160" s="113">
        <v>131924</v>
      </c>
      <c r="D160" s="113">
        <v>252461</v>
      </c>
      <c r="E160" s="113">
        <f t="shared" si="22"/>
        <v>120537</v>
      </c>
      <c r="F160" s="114">
        <f t="shared" si="23"/>
        <v>0.9136851520572451</v>
      </c>
    </row>
    <row r="161" spans="1:6" x14ac:dyDescent="0.2">
      <c r="A161" s="115">
        <v>7</v>
      </c>
      <c r="B161" s="116" t="s">
        <v>119</v>
      </c>
      <c r="C161" s="113">
        <v>2024026</v>
      </c>
      <c r="D161" s="113">
        <v>1820146</v>
      </c>
      <c r="E161" s="113">
        <f t="shared" si="22"/>
        <v>-203880</v>
      </c>
      <c r="F161" s="114">
        <f t="shared" si="23"/>
        <v>-0.10072993133487415</v>
      </c>
    </row>
    <row r="162" spans="1:6" x14ac:dyDescent="0.2">
      <c r="A162" s="115">
        <v>8</v>
      </c>
      <c r="B162" s="116" t="s">
        <v>120</v>
      </c>
      <c r="C162" s="113">
        <v>21047</v>
      </c>
      <c r="D162" s="113">
        <v>7219</v>
      </c>
      <c r="E162" s="113">
        <f t="shared" si="22"/>
        <v>-13828</v>
      </c>
      <c r="F162" s="114">
        <f t="shared" si="23"/>
        <v>-0.65700574903786768</v>
      </c>
    </row>
    <row r="163" spans="1:6" x14ac:dyDescent="0.2">
      <c r="A163" s="115">
        <v>9</v>
      </c>
      <c r="B163" s="116" t="s">
        <v>121</v>
      </c>
      <c r="C163" s="113">
        <v>48704</v>
      </c>
      <c r="D163" s="113">
        <v>0</v>
      </c>
      <c r="E163" s="113">
        <f t="shared" si="22"/>
        <v>-48704</v>
      </c>
      <c r="F163" s="114">
        <f t="shared" si="23"/>
        <v>-1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337187</v>
      </c>
      <c r="D165" s="113">
        <v>20751</v>
      </c>
      <c r="E165" s="113">
        <f t="shared" si="22"/>
        <v>-316436</v>
      </c>
      <c r="F165" s="114">
        <f t="shared" si="23"/>
        <v>-0.93845848149543132</v>
      </c>
    </row>
    <row r="166" spans="1:6" ht="33.75" customHeight="1" x14ac:dyDescent="0.25">
      <c r="A166" s="117"/>
      <c r="B166" s="118" t="s">
        <v>148</v>
      </c>
      <c r="C166" s="119">
        <f>SUM(C155:C165)</f>
        <v>4123793</v>
      </c>
      <c r="D166" s="119">
        <f>SUM(D155:D165)</f>
        <v>3386775</v>
      </c>
      <c r="E166" s="119">
        <f t="shared" si="22"/>
        <v>-737018</v>
      </c>
      <c r="F166" s="120">
        <f t="shared" si="23"/>
        <v>-0.17872332583134024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3182</v>
      </c>
      <c r="D168" s="133">
        <v>2959</v>
      </c>
      <c r="E168" s="133">
        <f t="shared" ref="E168:E179" si="24">D168-C168</f>
        <v>-223</v>
      </c>
      <c r="F168" s="114">
        <f t="shared" ref="F168:F179" si="25">IF(C168=0,0,E168/C168)</f>
        <v>-7.0081709616593338E-2</v>
      </c>
    </row>
    <row r="169" spans="1:6" x14ac:dyDescent="0.2">
      <c r="A169" s="115">
        <v>2</v>
      </c>
      <c r="B169" s="116" t="s">
        <v>114</v>
      </c>
      <c r="C169" s="133">
        <v>267</v>
      </c>
      <c r="D169" s="133">
        <v>348</v>
      </c>
      <c r="E169" s="133">
        <f t="shared" si="24"/>
        <v>81</v>
      </c>
      <c r="F169" s="114">
        <f t="shared" si="25"/>
        <v>0.30337078651685395</v>
      </c>
    </row>
    <row r="170" spans="1:6" x14ac:dyDescent="0.2">
      <c r="A170" s="115">
        <v>3</v>
      </c>
      <c r="B170" s="116" t="s">
        <v>115</v>
      </c>
      <c r="C170" s="133">
        <v>1671</v>
      </c>
      <c r="D170" s="133">
        <v>1365</v>
      </c>
      <c r="E170" s="133">
        <f t="shared" si="24"/>
        <v>-306</v>
      </c>
      <c r="F170" s="114">
        <f t="shared" si="25"/>
        <v>-0.18312387791741472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64</v>
      </c>
      <c r="D172" s="133">
        <v>63</v>
      </c>
      <c r="E172" s="133">
        <f t="shared" si="24"/>
        <v>-1</v>
      </c>
      <c r="F172" s="114">
        <f t="shared" si="25"/>
        <v>-1.5625E-2</v>
      </c>
    </row>
    <row r="173" spans="1:6" x14ac:dyDescent="0.2">
      <c r="A173" s="115">
        <v>6</v>
      </c>
      <c r="B173" s="116" t="s">
        <v>118</v>
      </c>
      <c r="C173" s="133">
        <v>466</v>
      </c>
      <c r="D173" s="133">
        <v>902</v>
      </c>
      <c r="E173" s="133">
        <f t="shared" si="24"/>
        <v>436</v>
      </c>
      <c r="F173" s="114">
        <f t="shared" si="25"/>
        <v>0.93562231759656656</v>
      </c>
    </row>
    <row r="174" spans="1:6" x14ac:dyDescent="0.2">
      <c r="A174" s="115">
        <v>7</v>
      </c>
      <c r="B174" s="116" t="s">
        <v>119</v>
      </c>
      <c r="C174" s="133">
        <v>5563</v>
      </c>
      <c r="D174" s="133">
        <v>4963</v>
      </c>
      <c r="E174" s="133">
        <f t="shared" si="24"/>
        <v>-600</v>
      </c>
      <c r="F174" s="114">
        <f t="shared" si="25"/>
        <v>-0.10785547366528851</v>
      </c>
    </row>
    <row r="175" spans="1:6" x14ac:dyDescent="0.2">
      <c r="A175" s="115">
        <v>8</v>
      </c>
      <c r="B175" s="116" t="s">
        <v>120</v>
      </c>
      <c r="C175" s="133">
        <v>505</v>
      </c>
      <c r="D175" s="133">
        <v>406</v>
      </c>
      <c r="E175" s="133">
        <f t="shared" si="24"/>
        <v>-99</v>
      </c>
      <c r="F175" s="114">
        <f t="shared" si="25"/>
        <v>-0.19603960396039605</v>
      </c>
    </row>
    <row r="176" spans="1:6" x14ac:dyDescent="0.2">
      <c r="A176" s="115">
        <v>9</v>
      </c>
      <c r="B176" s="116" t="s">
        <v>121</v>
      </c>
      <c r="C176" s="133">
        <v>1050</v>
      </c>
      <c r="D176" s="133">
        <v>1020</v>
      </c>
      <c r="E176" s="133">
        <f t="shared" si="24"/>
        <v>-30</v>
      </c>
      <c r="F176" s="114">
        <f t="shared" si="25"/>
        <v>-2.8571428571428571E-2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2051</v>
      </c>
      <c r="D178" s="133">
        <v>2129</v>
      </c>
      <c r="E178" s="133">
        <f t="shared" si="24"/>
        <v>78</v>
      </c>
      <c r="F178" s="114">
        <f t="shared" si="25"/>
        <v>3.803022915650902E-2</v>
      </c>
    </row>
    <row r="179" spans="1:6" ht="33.75" customHeight="1" x14ac:dyDescent="0.25">
      <c r="A179" s="117"/>
      <c r="B179" s="118" t="s">
        <v>150</v>
      </c>
      <c r="C179" s="134">
        <f>SUM(C168:C178)</f>
        <v>14819</v>
      </c>
      <c r="D179" s="134">
        <f>SUM(D168:D178)</f>
        <v>14155</v>
      </c>
      <c r="E179" s="134">
        <f t="shared" si="24"/>
        <v>-664</v>
      </c>
      <c r="F179" s="120">
        <f t="shared" si="25"/>
        <v>-4.4807341925905929E-2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ageMargins left="0.25" right="0.25" top="0.75" bottom="0.75" header="0.3" footer="0.3"/>
  <pageSetup scale="75" fitToHeight="0" orientation="portrait" r:id="rId1"/>
  <headerFooter>
    <oddHeader>&amp;LOFFICE OF HEALTH CARE ACCESS&amp;CTWELVE MONTHS ACTUAL FILING&amp;RESSENT-SHARON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7190589</v>
      </c>
      <c r="D15" s="157">
        <v>7609297</v>
      </c>
      <c r="E15" s="157">
        <f>+D15-C15</f>
        <v>418708</v>
      </c>
      <c r="F15" s="161">
        <f>IF(C15=0,0,E15/C15)</f>
        <v>5.8230000351848783E-2</v>
      </c>
    </row>
    <row r="16" spans="1:6" ht="15" customHeight="1" x14ac:dyDescent="0.2">
      <c r="A16" s="147">
        <v>2</v>
      </c>
      <c r="B16" s="160" t="s">
        <v>157</v>
      </c>
      <c r="C16" s="157">
        <v>0</v>
      </c>
      <c r="D16" s="157">
        <v>0</v>
      </c>
      <c r="E16" s="157">
        <f>+D16-C16</f>
        <v>0</v>
      </c>
      <c r="F16" s="161">
        <f>IF(C16=0,0,E16/C16)</f>
        <v>0</v>
      </c>
    </row>
    <row r="17" spans="1:6" ht="15" customHeight="1" x14ac:dyDescent="0.2">
      <c r="A17" s="147">
        <v>3</v>
      </c>
      <c r="B17" s="160" t="s">
        <v>158</v>
      </c>
      <c r="C17" s="157">
        <v>10128047</v>
      </c>
      <c r="D17" s="157">
        <v>10306284</v>
      </c>
      <c r="E17" s="157">
        <f>+D17-C17</f>
        <v>178237</v>
      </c>
      <c r="F17" s="161">
        <f>IF(C17=0,0,E17/C17)</f>
        <v>1.7598358301457329E-2</v>
      </c>
    </row>
    <row r="18" spans="1:6" ht="15.75" customHeight="1" x14ac:dyDescent="0.25">
      <c r="A18" s="147"/>
      <c r="B18" s="162" t="s">
        <v>159</v>
      </c>
      <c r="C18" s="158">
        <f>SUM(C15:C17)</f>
        <v>17318636</v>
      </c>
      <c r="D18" s="158">
        <f>SUM(D15:D17)</f>
        <v>17915581</v>
      </c>
      <c r="E18" s="158">
        <f>+D18-C18</f>
        <v>596945</v>
      </c>
      <c r="F18" s="159">
        <f>IF(C18=0,0,E18/C18)</f>
        <v>3.4468361134214032E-2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1799542</v>
      </c>
      <c r="D21" s="157">
        <v>1674212</v>
      </c>
      <c r="E21" s="157">
        <f>+D21-C21</f>
        <v>-125330</v>
      </c>
      <c r="F21" s="161">
        <f>IF(C21=0,0,E21/C21)</f>
        <v>-6.9645498687999505E-2</v>
      </c>
    </row>
    <row r="22" spans="1:6" ht="15" customHeight="1" x14ac:dyDescent="0.2">
      <c r="A22" s="147">
        <v>2</v>
      </c>
      <c r="B22" s="160" t="s">
        <v>162</v>
      </c>
      <c r="C22" s="157">
        <v>0</v>
      </c>
      <c r="D22" s="157">
        <v>0</v>
      </c>
      <c r="E22" s="157">
        <f>+D22-C22</f>
        <v>0</v>
      </c>
      <c r="F22" s="161">
        <f>IF(C22=0,0,E22/C22)</f>
        <v>0</v>
      </c>
    </row>
    <row r="23" spans="1:6" ht="15" customHeight="1" x14ac:dyDescent="0.2">
      <c r="A23" s="147">
        <v>3</v>
      </c>
      <c r="B23" s="160" t="s">
        <v>163</v>
      </c>
      <c r="C23" s="157">
        <v>2338758</v>
      </c>
      <c r="D23" s="157">
        <v>2267609</v>
      </c>
      <c r="E23" s="157">
        <f>+D23-C23</f>
        <v>-71149</v>
      </c>
      <c r="F23" s="161">
        <f>IF(C23=0,0,E23/C23)</f>
        <v>-3.04217024591685E-2</v>
      </c>
    </row>
    <row r="24" spans="1:6" ht="15.75" customHeight="1" x14ac:dyDescent="0.25">
      <c r="A24" s="147"/>
      <c r="B24" s="162" t="s">
        <v>164</v>
      </c>
      <c r="C24" s="158">
        <f>SUM(C21:C23)</f>
        <v>4138300</v>
      </c>
      <c r="D24" s="158">
        <f>SUM(D21:D23)</f>
        <v>3941821</v>
      </c>
      <c r="E24" s="158">
        <f>+D24-C24</f>
        <v>-196479</v>
      </c>
      <c r="F24" s="159">
        <f>IF(C24=0,0,E24/C24)</f>
        <v>-4.7478191527922091E-2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583774</v>
      </c>
      <c r="D27" s="157">
        <v>319035</v>
      </c>
      <c r="E27" s="157">
        <f>+D27-C27</f>
        <v>-264739</v>
      </c>
      <c r="F27" s="161">
        <f>IF(C27=0,0,E27/C27)</f>
        <v>-0.45349570210389639</v>
      </c>
    </row>
    <row r="28" spans="1:6" ht="15" customHeight="1" x14ac:dyDescent="0.2">
      <c r="A28" s="147">
        <v>2</v>
      </c>
      <c r="B28" s="160" t="s">
        <v>167</v>
      </c>
      <c r="C28" s="157">
        <v>1806481</v>
      </c>
      <c r="D28" s="157">
        <v>2872407</v>
      </c>
      <c r="E28" s="157">
        <f>+D28-C28</f>
        <v>1065926</v>
      </c>
      <c r="F28" s="161">
        <f>IF(C28=0,0,E28/C28)</f>
        <v>0.59005657961528524</v>
      </c>
    </row>
    <row r="29" spans="1:6" ht="15" customHeight="1" x14ac:dyDescent="0.2">
      <c r="A29" s="147">
        <v>3</v>
      </c>
      <c r="B29" s="160" t="s">
        <v>168</v>
      </c>
      <c r="C29" s="157">
        <v>199487</v>
      </c>
      <c r="D29" s="157">
        <v>0</v>
      </c>
      <c r="E29" s="157">
        <f>+D29-C29</f>
        <v>-199487</v>
      </c>
      <c r="F29" s="161">
        <f>IF(C29=0,0,E29/C29)</f>
        <v>-1</v>
      </c>
    </row>
    <row r="30" spans="1:6" ht="15.75" customHeight="1" x14ac:dyDescent="0.25">
      <c r="A30" s="147"/>
      <c r="B30" s="162" t="s">
        <v>169</v>
      </c>
      <c r="C30" s="158">
        <f>SUM(C27:C29)</f>
        <v>2589742</v>
      </c>
      <c r="D30" s="158">
        <f>SUM(D27:D29)</f>
        <v>3191442</v>
      </c>
      <c r="E30" s="158">
        <f>+D30-C30</f>
        <v>601700</v>
      </c>
      <c r="F30" s="159">
        <f>IF(C30=0,0,E30/C30)</f>
        <v>0.23233974658479492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4008775</v>
      </c>
      <c r="D33" s="157">
        <v>4066188</v>
      </c>
      <c r="E33" s="157">
        <f>+D33-C33</f>
        <v>57413</v>
      </c>
      <c r="F33" s="161">
        <f>IF(C33=0,0,E33/C33)</f>
        <v>1.4321831482185955E-2</v>
      </c>
    </row>
    <row r="34" spans="1:6" ht="15" customHeight="1" x14ac:dyDescent="0.2">
      <c r="A34" s="147">
        <v>2</v>
      </c>
      <c r="B34" s="160" t="s">
        <v>173</v>
      </c>
      <c r="C34" s="157">
        <v>1430025</v>
      </c>
      <c r="D34" s="157">
        <v>1628674</v>
      </c>
      <c r="E34" s="157">
        <f>+D34-C34</f>
        <v>198649</v>
      </c>
      <c r="F34" s="161">
        <f>IF(C34=0,0,E34/C34)</f>
        <v>0.13891295606720161</v>
      </c>
    </row>
    <row r="35" spans="1:6" ht="15.75" customHeight="1" x14ac:dyDescent="0.25">
      <c r="A35" s="147"/>
      <c r="B35" s="162" t="s">
        <v>174</v>
      </c>
      <c r="C35" s="158">
        <f>SUM(C33:C34)</f>
        <v>5438800</v>
      </c>
      <c r="D35" s="158">
        <f>SUM(D33:D34)</f>
        <v>5694862</v>
      </c>
      <c r="E35" s="158">
        <f>+D35-C35</f>
        <v>256062</v>
      </c>
      <c r="F35" s="159">
        <f>IF(C35=0,0,E35/C35)</f>
        <v>4.708060601603295E-2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1478895</v>
      </c>
      <c r="D38" s="157">
        <v>771104</v>
      </c>
      <c r="E38" s="157">
        <f>+D38-C38</f>
        <v>-707791</v>
      </c>
      <c r="F38" s="161">
        <f>IF(C38=0,0,E38/C38)</f>
        <v>-0.47859449115724917</v>
      </c>
    </row>
    <row r="39" spans="1:6" ht="15" customHeight="1" x14ac:dyDescent="0.2">
      <c r="A39" s="147">
        <v>2</v>
      </c>
      <c r="B39" s="160" t="s">
        <v>178</v>
      </c>
      <c r="C39" s="157">
        <v>1069690</v>
      </c>
      <c r="D39" s="157">
        <v>541235</v>
      </c>
      <c r="E39" s="157">
        <f>+D39-C39</f>
        <v>-528455</v>
      </c>
      <c r="F39" s="161">
        <f>IF(C39=0,0,E39/C39)</f>
        <v>-0.49402630668698411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2548585</v>
      </c>
      <c r="D41" s="158">
        <f>SUM(D38:D40)</f>
        <v>1312339</v>
      </c>
      <c r="E41" s="158">
        <f>+D41-C41</f>
        <v>-1236246</v>
      </c>
      <c r="F41" s="159">
        <f>IF(C41=0,0,E41/C41)</f>
        <v>-0.48507152007878884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18377</v>
      </c>
      <c r="D47" s="157">
        <v>30588</v>
      </c>
      <c r="E47" s="157">
        <f>+D47-C47</f>
        <v>12211</v>
      </c>
      <c r="F47" s="161">
        <f>IF(C47=0,0,E47/C47)</f>
        <v>0.6644718942155956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1288699</v>
      </c>
      <c r="D50" s="157">
        <v>823151</v>
      </c>
      <c r="E50" s="157">
        <f>+D50-C50</f>
        <v>-465548</v>
      </c>
      <c r="F50" s="161">
        <f>IF(C50=0,0,E50/C50)</f>
        <v>-0.36125425720047893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70608</v>
      </c>
      <c r="D53" s="157">
        <v>107269</v>
      </c>
      <c r="E53" s="157">
        <f t="shared" ref="E53:E59" si="0">+D53-C53</f>
        <v>36661</v>
      </c>
      <c r="F53" s="161">
        <f t="shared" ref="F53:F59" si="1">IF(C53=0,0,E53/C53)</f>
        <v>0.51921878540675281</v>
      </c>
    </row>
    <row r="54" spans="1:6" ht="15" customHeight="1" x14ac:dyDescent="0.2">
      <c r="A54" s="147">
        <v>2</v>
      </c>
      <c r="B54" s="160" t="s">
        <v>189</v>
      </c>
      <c r="C54" s="157">
        <v>13546</v>
      </c>
      <c r="D54" s="157">
        <v>11610</v>
      </c>
      <c r="E54" s="157">
        <f t="shared" si="0"/>
        <v>-1936</v>
      </c>
      <c r="F54" s="161">
        <f t="shared" si="1"/>
        <v>-0.14292041931197402</v>
      </c>
    </row>
    <row r="55" spans="1:6" ht="15" customHeight="1" x14ac:dyDescent="0.2">
      <c r="A55" s="147">
        <v>3</v>
      </c>
      <c r="B55" s="160" t="s">
        <v>190</v>
      </c>
      <c r="C55" s="157">
        <v>602902</v>
      </c>
      <c r="D55" s="157">
        <v>521106</v>
      </c>
      <c r="E55" s="157">
        <f t="shared" si="0"/>
        <v>-81796</v>
      </c>
      <c r="F55" s="161">
        <f t="shared" si="1"/>
        <v>-0.13567047380834696</v>
      </c>
    </row>
    <row r="56" spans="1:6" ht="15" customHeight="1" x14ac:dyDescent="0.2">
      <c r="A56" s="147">
        <v>4</v>
      </c>
      <c r="B56" s="160" t="s">
        <v>191</v>
      </c>
      <c r="C56" s="157">
        <v>659490</v>
      </c>
      <c r="D56" s="157">
        <v>726849</v>
      </c>
      <c r="E56" s="157">
        <f t="shared" si="0"/>
        <v>67359</v>
      </c>
      <c r="F56" s="161">
        <f t="shared" si="1"/>
        <v>0.10213801573943501</v>
      </c>
    </row>
    <row r="57" spans="1:6" ht="15" customHeight="1" x14ac:dyDescent="0.2">
      <c r="A57" s="147">
        <v>5</v>
      </c>
      <c r="B57" s="160" t="s">
        <v>192</v>
      </c>
      <c r="C57" s="157">
        <v>134957</v>
      </c>
      <c r="D57" s="157">
        <v>119729</v>
      </c>
      <c r="E57" s="157">
        <f t="shared" si="0"/>
        <v>-15228</v>
      </c>
      <c r="F57" s="161">
        <f t="shared" si="1"/>
        <v>-0.11283594033655164</v>
      </c>
    </row>
    <row r="58" spans="1:6" ht="15" customHeight="1" x14ac:dyDescent="0.2">
      <c r="A58" s="147">
        <v>6</v>
      </c>
      <c r="B58" s="160" t="s">
        <v>193</v>
      </c>
      <c r="C58" s="157">
        <v>55952</v>
      </c>
      <c r="D58" s="157">
        <v>56345</v>
      </c>
      <c r="E58" s="157">
        <f t="shared" si="0"/>
        <v>393</v>
      </c>
      <c r="F58" s="161">
        <f t="shared" si="1"/>
        <v>7.0238776093794683E-3</v>
      </c>
    </row>
    <row r="59" spans="1:6" ht="15.75" customHeight="1" x14ac:dyDescent="0.25">
      <c r="A59" s="147"/>
      <c r="B59" s="162" t="s">
        <v>194</v>
      </c>
      <c r="C59" s="158">
        <f>SUM(C53:C58)</f>
        <v>1537455</v>
      </c>
      <c r="D59" s="158">
        <f>SUM(D53:D58)</f>
        <v>1542908</v>
      </c>
      <c r="E59" s="158">
        <f t="shared" si="0"/>
        <v>5453</v>
      </c>
      <c r="F59" s="159">
        <f t="shared" si="1"/>
        <v>3.546770474582996E-3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52154</v>
      </c>
      <c r="D62" s="157">
        <v>62965</v>
      </c>
      <c r="E62" s="157">
        <f t="shared" ref="E62:E90" si="2">+D62-C62</f>
        <v>10811</v>
      </c>
      <c r="F62" s="161">
        <f t="shared" ref="F62:F90" si="3">IF(C62=0,0,E62/C62)</f>
        <v>0.2072899489972006</v>
      </c>
    </row>
    <row r="63" spans="1:6" ht="15" customHeight="1" x14ac:dyDescent="0.2">
      <c r="A63" s="147">
        <v>2</v>
      </c>
      <c r="B63" s="160" t="s">
        <v>198</v>
      </c>
      <c r="C63" s="157">
        <v>198908</v>
      </c>
      <c r="D63" s="157">
        <v>96261</v>
      </c>
      <c r="E63" s="157">
        <f t="shared" si="2"/>
        <v>-102647</v>
      </c>
      <c r="F63" s="161">
        <f t="shared" si="3"/>
        <v>-0.51605264745510482</v>
      </c>
    </row>
    <row r="64" spans="1:6" ht="15" customHeight="1" x14ac:dyDescent="0.2">
      <c r="A64" s="147">
        <v>3</v>
      </c>
      <c r="B64" s="160" t="s">
        <v>199</v>
      </c>
      <c r="C64" s="157">
        <v>234940</v>
      </c>
      <c r="D64" s="157">
        <v>332358</v>
      </c>
      <c r="E64" s="157">
        <f t="shared" si="2"/>
        <v>97418</v>
      </c>
      <c r="F64" s="161">
        <f t="shared" si="3"/>
        <v>0.4146505490763599</v>
      </c>
    </row>
    <row r="65" spans="1:6" ht="15" customHeight="1" x14ac:dyDescent="0.2">
      <c r="A65" s="147">
        <v>4</v>
      </c>
      <c r="B65" s="160" t="s">
        <v>200</v>
      </c>
      <c r="C65" s="157">
        <v>0</v>
      </c>
      <c r="D65" s="157">
        <v>0</v>
      </c>
      <c r="E65" s="157">
        <f t="shared" si="2"/>
        <v>0</v>
      </c>
      <c r="F65" s="161">
        <f t="shared" si="3"/>
        <v>0</v>
      </c>
    </row>
    <row r="66" spans="1:6" ht="15" customHeight="1" x14ac:dyDescent="0.2">
      <c r="A66" s="147">
        <v>5</v>
      </c>
      <c r="B66" s="160" t="s">
        <v>201</v>
      </c>
      <c r="C66" s="157">
        <v>145784</v>
      </c>
      <c r="D66" s="157">
        <v>100809</v>
      </c>
      <c r="E66" s="157">
        <f t="shared" si="2"/>
        <v>-44975</v>
      </c>
      <c r="F66" s="161">
        <f t="shared" si="3"/>
        <v>-0.3085043626186687</v>
      </c>
    </row>
    <row r="67" spans="1:6" ht="15" customHeight="1" x14ac:dyDescent="0.2">
      <c r="A67" s="147">
        <v>6</v>
      </c>
      <c r="B67" s="160" t="s">
        <v>202</v>
      </c>
      <c r="C67" s="157">
        <v>100994</v>
      </c>
      <c r="D67" s="157">
        <v>100790</v>
      </c>
      <c r="E67" s="157">
        <f t="shared" si="2"/>
        <v>-204</v>
      </c>
      <c r="F67" s="161">
        <f t="shared" si="3"/>
        <v>-2.0199219755629048E-3</v>
      </c>
    </row>
    <row r="68" spans="1:6" ht="15" customHeight="1" x14ac:dyDescent="0.2">
      <c r="A68" s="147">
        <v>7</v>
      </c>
      <c r="B68" s="160" t="s">
        <v>203</v>
      </c>
      <c r="C68" s="157">
        <v>1720781</v>
      </c>
      <c r="D68" s="157">
        <v>1910869</v>
      </c>
      <c r="E68" s="157">
        <f t="shared" si="2"/>
        <v>190088</v>
      </c>
      <c r="F68" s="161">
        <f t="shared" si="3"/>
        <v>0.11046611974446487</v>
      </c>
    </row>
    <row r="69" spans="1:6" ht="15" customHeight="1" x14ac:dyDescent="0.2">
      <c r="A69" s="147">
        <v>8</v>
      </c>
      <c r="B69" s="160" t="s">
        <v>204</v>
      </c>
      <c r="C69" s="157">
        <v>96422</v>
      </c>
      <c r="D69" s="157">
        <v>73425</v>
      </c>
      <c r="E69" s="157">
        <f t="shared" si="2"/>
        <v>-22997</v>
      </c>
      <c r="F69" s="161">
        <f t="shared" si="3"/>
        <v>-0.23850366099023043</v>
      </c>
    </row>
    <row r="70" spans="1:6" ht="15" customHeight="1" x14ac:dyDescent="0.2">
      <c r="A70" s="147">
        <v>9</v>
      </c>
      <c r="B70" s="160" t="s">
        <v>205</v>
      </c>
      <c r="C70" s="157">
        <v>34930</v>
      </c>
      <c r="D70" s="157">
        <v>39777</v>
      </c>
      <c r="E70" s="157">
        <f t="shared" si="2"/>
        <v>4847</v>
      </c>
      <c r="F70" s="161">
        <f t="shared" si="3"/>
        <v>0.13876324076724877</v>
      </c>
    </row>
    <row r="71" spans="1:6" ht="15" customHeight="1" x14ac:dyDescent="0.2">
      <c r="A71" s="147">
        <v>10</v>
      </c>
      <c r="B71" s="160" t="s">
        <v>206</v>
      </c>
      <c r="C71" s="157">
        <v>0</v>
      </c>
      <c r="D71" s="157">
        <v>0</v>
      </c>
      <c r="E71" s="157">
        <f t="shared" si="2"/>
        <v>0</v>
      </c>
      <c r="F71" s="161">
        <f t="shared" si="3"/>
        <v>0</v>
      </c>
    </row>
    <row r="72" spans="1:6" ht="15" customHeight="1" x14ac:dyDescent="0.2">
      <c r="A72" s="147">
        <v>11</v>
      </c>
      <c r="B72" s="160" t="s">
        <v>207</v>
      </c>
      <c r="C72" s="157">
        <v>314659</v>
      </c>
      <c r="D72" s="157">
        <v>305402</v>
      </c>
      <c r="E72" s="157">
        <f t="shared" si="2"/>
        <v>-9257</v>
      </c>
      <c r="F72" s="161">
        <f t="shared" si="3"/>
        <v>-2.9419148983502775E-2</v>
      </c>
    </row>
    <row r="73" spans="1:6" ht="15" customHeight="1" x14ac:dyDescent="0.2">
      <c r="A73" s="147">
        <v>12</v>
      </c>
      <c r="B73" s="160" t="s">
        <v>208</v>
      </c>
      <c r="C73" s="157">
        <v>239718</v>
      </c>
      <c r="D73" s="157">
        <v>271344</v>
      </c>
      <c r="E73" s="157">
        <f t="shared" si="2"/>
        <v>31626</v>
      </c>
      <c r="F73" s="161">
        <f t="shared" si="3"/>
        <v>0.13193001777088079</v>
      </c>
    </row>
    <row r="74" spans="1:6" ht="15" customHeight="1" x14ac:dyDescent="0.2">
      <c r="A74" s="147">
        <v>13</v>
      </c>
      <c r="B74" s="160" t="s">
        <v>209</v>
      </c>
      <c r="C74" s="157">
        <v>47353</v>
      </c>
      <c r="D74" s="157">
        <v>29432</v>
      </c>
      <c r="E74" s="157">
        <f t="shared" si="2"/>
        <v>-17921</v>
      </c>
      <c r="F74" s="161">
        <f t="shared" si="3"/>
        <v>-0.37845543049014846</v>
      </c>
    </row>
    <row r="75" spans="1:6" ht="15" customHeight="1" x14ac:dyDescent="0.2">
      <c r="A75" s="147">
        <v>14</v>
      </c>
      <c r="B75" s="160" t="s">
        <v>210</v>
      </c>
      <c r="C75" s="157">
        <v>68401</v>
      </c>
      <c r="D75" s="157">
        <v>66052</v>
      </c>
      <c r="E75" s="157">
        <f t="shared" si="2"/>
        <v>-2349</v>
      </c>
      <c r="F75" s="161">
        <f t="shared" si="3"/>
        <v>-3.4341603192935777E-2</v>
      </c>
    </row>
    <row r="76" spans="1:6" ht="15" customHeight="1" x14ac:dyDescent="0.2">
      <c r="A76" s="147">
        <v>15</v>
      </c>
      <c r="B76" s="160" t="s">
        <v>211</v>
      </c>
      <c r="C76" s="157">
        <v>533347</v>
      </c>
      <c r="D76" s="157">
        <v>576441</v>
      </c>
      <c r="E76" s="157">
        <f t="shared" si="2"/>
        <v>43094</v>
      </c>
      <c r="F76" s="161">
        <f t="shared" si="3"/>
        <v>8.0799179521024778E-2</v>
      </c>
    </row>
    <row r="77" spans="1:6" ht="15" customHeight="1" x14ac:dyDescent="0.2">
      <c r="A77" s="147">
        <v>16</v>
      </c>
      <c r="B77" s="160" t="s">
        <v>212</v>
      </c>
      <c r="C77" s="157">
        <v>1697387</v>
      </c>
      <c r="D77" s="157">
        <v>1634998</v>
      </c>
      <c r="E77" s="157">
        <f t="shared" si="2"/>
        <v>-62389</v>
      </c>
      <c r="F77" s="161">
        <f t="shared" si="3"/>
        <v>-3.6755907757040678E-2</v>
      </c>
    </row>
    <row r="78" spans="1:6" ht="15" customHeight="1" x14ac:dyDescent="0.2">
      <c r="A78" s="147">
        <v>17</v>
      </c>
      <c r="B78" s="160" t="s">
        <v>213</v>
      </c>
      <c r="C78" s="157">
        <v>193903</v>
      </c>
      <c r="D78" s="157">
        <v>267413</v>
      </c>
      <c r="E78" s="157">
        <f t="shared" si="2"/>
        <v>73510</v>
      </c>
      <c r="F78" s="161">
        <f t="shared" si="3"/>
        <v>0.37910707931285231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293045</v>
      </c>
      <c r="D80" s="157">
        <v>294931</v>
      </c>
      <c r="E80" s="157">
        <f t="shared" si="2"/>
        <v>1886</v>
      </c>
      <c r="F80" s="161">
        <f t="shared" si="3"/>
        <v>6.4358716238120429E-3</v>
      </c>
    </row>
    <row r="81" spans="1:6" ht="15" customHeight="1" x14ac:dyDescent="0.2">
      <c r="A81" s="147">
        <v>20</v>
      </c>
      <c r="B81" s="160" t="s">
        <v>216</v>
      </c>
      <c r="C81" s="157">
        <v>0</v>
      </c>
      <c r="D81" s="157">
        <v>0</v>
      </c>
      <c r="E81" s="157">
        <f t="shared" si="2"/>
        <v>0</v>
      </c>
      <c r="F81" s="161">
        <f t="shared" si="3"/>
        <v>0</v>
      </c>
    </row>
    <row r="82" spans="1:6" ht="15" customHeight="1" x14ac:dyDescent="0.2">
      <c r="A82" s="147">
        <v>21</v>
      </c>
      <c r="B82" s="160" t="s">
        <v>217</v>
      </c>
      <c r="C82" s="157">
        <v>395597</v>
      </c>
      <c r="D82" s="157">
        <v>353952</v>
      </c>
      <c r="E82" s="157">
        <f t="shared" si="2"/>
        <v>-41645</v>
      </c>
      <c r="F82" s="161">
        <f t="shared" si="3"/>
        <v>-0.10527127354353041</v>
      </c>
    </row>
    <row r="83" spans="1:6" ht="15" customHeight="1" x14ac:dyDescent="0.2">
      <c r="A83" s="147">
        <v>22</v>
      </c>
      <c r="B83" s="160" t="s">
        <v>218</v>
      </c>
      <c r="C83" s="157">
        <v>39875</v>
      </c>
      <c r="D83" s="157">
        <v>41557</v>
      </c>
      <c r="E83" s="157">
        <f t="shared" si="2"/>
        <v>1682</v>
      </c>
      <c r="F83" s="161">
        <f t="shared" si="3"/>
        <v>4.2181818181818181E-2</v>
      </c>
    </row>
    <row r="84" spans="1:6" ht="15" customHeight="1" x14ac:dyDescent="0.2">
      <c r="A84" s="147">
        <v>23</v>
      </c>
      <c r="B84" s="160" t="s">
        <v>219</v>
      </c>
      <c r="C84" s="157">
        <v>188790</v>
      </c>
      <c r="D84" s="157">
        <v>226497</v>
      </c>
      <c r="E84" s="157">
        <f t="shared" si="2"/>
        <v>37707</v>
      </c>
      <c r="F84" s="161">
        <f t="shared" si="3"/>
        <v>0.19972985857301764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65402</v>
      </c>
      <c r="D86" s="157">
        <v>82557</v>
      </c>
      <c r="E86" s="157">
        <f t="shared" si="2"/>
        <v>17155</v>
      </c>
      <c r="F86" s="161">
        <f t="shared" si="3"/>
        <v>0.262300847068897</v>
      </c>
    </row>
    <row r="87" spans="1:6" ht="15" customHeight="1" x14ac:dyDescent="0.2">
      <c r="A87" s="147">
        <v>26</v>
      </c>
      <c r="B87" s="160" t="s">
        <v>222</v>
      </c>
      <c r="C87" s="157">
        <v>3763415</v>
      </c>
      <c r="D87" s="157">
        <v>4430632</v>
      </c>
      <c r="E87" s="157">
        <f t="shared" si="2"/>
        <v>667217</v>
      </c>
      <c r="F87" s="161">
        <f t="shared" si="3"/>
        <v>0.17729030680910821</v>
      </c>
    </row>
    <row r="88" spans="1:6" ht="15" customHeight="1" x14ac:dyDescent="0.2">
      <c r="A88" s="147">
        <v>27</v>
      </c>
      <c r="B88" s="160" t="s">
        <v>223</v>
      </c>
      <c r="C88" s="157">
        <v>1262760</v>
      </c>
      <c r="D88" s="157">
        <v>1299439</v>
      </c>
      <c r="E88" s="157">
        <f t="shared" si="2"/>
        <v>36679</v>
      </c>
      <c r="F88" s="161">
        <f t="shared" si="3"/>
        <v>2.9046691374449617E-2</v>
      </c>
    </row>
    <row r="89" spans="1:6" ht="15" customHeight="1" x14ac:dyDescent="0.2">
      <c r="A89" s="147">
        <v>28</v>
      </c>
      <c r="B89" s="160" t="s">
        <v>224</v>
      </c>
      <c r="C89" s="157">
        <v>2218471</v>
      </c>
      <c r="D89" s="157">
        <v>1137957</v>
      </c>
      <c r="E89" s="157">
        <f t="shared" si="2"/>
        <v>-1080514</v>
      </c>
      <c r="F89" s="161">
        <f t="shared" si="3"/>
        <v>-0.48705347061106502</v>
      </c>
    </row>
    <row r="90" spans="1:6" ht="15.75" customHeight="1" x14ac:dyDescent="0.25">
      <c r="A90" s="147"/>
      <c r="B90" s="162" t="s">
        <v>225</v>
      </c>
      <c r="C90" s="158">
        <f>SUM(C62:C89)</f>
        <v>13907036</v>
      </c>
      <c r="D90" s="158">
        <f>SUM(D62:D89)</f>
        <v>13735858</v>
      </c>
      <c r="E90" s="158">
        <f t="shared" si="2"/>
        <v>-171178</v>
      </c>
      <c r="F90" s="159">
        <f t="shared" si="3"/>
        <v>-1.2308733507269271E-2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1291072</v>
      </c>
      <c r="D93" s="157">
        <v>1329804</v>
      </c>
      <c r="E93" s="157">
        <f>+D93-C93</f>
        <v>38732</v>
      </c>
      <c r="F93" s="161">
        <f>IF(C93=0,0,E93/C93)</f>
        <v>2.9999876071977395E-2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50076702</v>
      </c>
      <c r="D95" s="158">
        <f>+D93+D90+D59+D50+D47+D44+D41+D35+D30+D24+D18</f>
        <v>49518354</v>
      </c>
      <c r="E95" s="158">
        <f>+D95-C95</f>
        <v>-558348</v>
      </c>
      <c r="F95" s="159">
        <f>IF(C95=0,0,E95/C95)</f>
        <v>-1.114985567539971E-2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10626673</v>
      </c>
      <c r="D103" s="157">
        <v>8134293</v>
      </c>
      <c r="E103" s="157">
        <f t="shared" ref="E103:E121" si="4">D103-C103</f>
        <v>-2492380</v>
      </c>
      <c r="F103" s="161">
        <f t="shared" ref="F103:F121" si="5">IF(C103=0,0,E103/C103)</f>
        <v>-0.23454001078230224</v>
      </c>
    </row>
    <row r="104" spans="1:6" ht="15" customHeight="1" x14ac:dyDescent="0.2">
      <c r="A104" s="147">
        <v>2</v>
      </c>
      <c r="B104" s="169" t="s">
        <v>234</v>
      </c>
      <c r="C104" s="157">
        <v>0</v>
      </c>
      <c r="D104" s="157">
        <v>0</v>
      </c>
      <c r="E104" s="157">
        <f t="shared" si="4"/>
        <v>0</v>
      </c>
      <c r="F104" s="161">
        <f t="shared" si="5"/>
        <v>0</v>
      </c>
    </row>
    <row r="105" spans="1:6" ht="15" customHeight="1" x14ac:dyDescent="0.2">
      <c r="A105" s="147">
        <v>3</v>
      </c>
      <c r="B105" s="169" t="s">
        <v>235</v>
      </c>
      <c r="C105" s="157">
        <v>0</v>
      </c>
      <c r="D105" s="157">
        <v>0</v>
      </c>
      <c r="E105" s="157">
        <f t="shared" si="4"/>
        <v>0</v>
      </c>
      <c r="F105" s="161">
        <f t="shared" si="5"/>
        <v>0</v>
      </c>
    </row>
    <row r="106" spans="1:6" ht="15" customHeight="1" x14ac:dyDescent="0.2">
      <c r="A106" s="147">
        <v>4</v>
      </c>
      <c r="B106" s="169" t="s">
        <v>236</v>
      </c>
      <c r="C106" s="157">
        <v>0</v>
      </c>
      <c r="D106" s="157">
        <v>0</v>
      </c>
      <c r="E106" s="157">
        <f t="shared" si="4"/>
        <v>0</v>
      </c>
      <c r="F106" s="161">
        <f t="shared" si="5"/>
        <v>0</v>
      </c>
    </row>
    <row r="107" spans="1:6" ht="15" customHeight="1" x14ac:dyDescent="0.2">
      <c r="A107" s="147">
        <v>5</v>
      </c>
      <c r="B107" s="169" t="s">
        <v>237</v>
      </c>
      <c r="C107" s="157">
        <v>0</v>
      </c>
      <c r="D107" s="157">
        <v>0</v>
      </c>
      <c r="E107" s="157">
        <f t="shared" si="4"/>
        <v>0</v>
      </c>
      <c r="F107" s="161">
        <f t="shared" si="5"/>
        <v>0</v>
      </c>
    </row>
    <row r="108" spans="1:6" ht="15" customHeight="1" x14ac:dyDescent="0.2">
      <c r="A108" s="147">
        <v>6</v>
      </c>
      <c r="B108" s="169" t="s">
        <v>238</v>
      </c>
      <c r="C108" s="157">
        <v>0</v>
      </c>
      <c r="D108" s="157">
        <v>0</v>
      </c>
      <c r="E108" s="157">
        <f t="shared" si="4"/>
        <v>0</v>
      </c>
      <c r="F108" s="161">
        <f t="shared" si="5"/>
        <v>0</v>
      </c>
    </row>
    <row r="109" spans="1:6" ht="15" customHeight="1" x14ac:dyDescent="0.2">
      <c r="A109" s="147">
        <v>7</v>
      </c>
      <c r="B109" s="169" t="s">
        <v>239</v>
      </c>
      <c r="C109" s="157">
        <v>0</v>
      </c>
      <c r="D109" s="157">
        <v>0</v>
      </c>
      <c r="E109" s="157">
        <f t="shared" si="4"/>
        <v>0</v>
      </c>
      <c r="F109" s="161">
        <f t="shared" si="5"/>
        <v>0</v>
      </c>
    </row>
    <row r="110" spans="1:6" ht="15" customHeight="1" x14ac:dyDescent="0.2">
      <c r="A110" s="147">
        <v>8</v>
      </c>
      <c r="B110" s="169" t="s">
        <v>240</v>
      </c>
      <c r="C110" s="157">
        <v>736980</v>
      </c>
      <c r="D110" s="157">
        <v>763949</v>
      </c>
      <c r="E110" s="157">
        <f t="shared" si="4"/>
        <v>26969</v>
      </c>
      <c r="F110" s="161">
        <f t="shared" si="5"/>
        <v>3.6593937420282774E-2</v>
      </c>
    </row>
    <row r="111" spans="1:6" ht="15" customHeight="1" x14ac:dyDescent="0.2">
      <c r="A111" s="147">
        <v>9</v>
      </c>
      <c r="B111" s="169" t="s">
        <v>241</v>
      </c>
      <c r="C111" s="157">
        <v>0</v>
      </c>
      <c r="D111" s="157">
        <v>0</v>
      </c>
      <c r="E111" s="157">
        <f t="shared" si="4"/>
        <v>0</v>
      </c>
      <c r="F111" s="161">
        <f t="shared" si="5"/>
        <v>0</v>
      </c>
    </row>
    <row r="112" spans="1:6" ht="15" customHeight="1" x14ac:dyDescent="0.2">
      <c r="A112" s="147">
        <v>10</v>
      </c>
      <c r="B112" s="169" t="s">
        <v>242</v>
      </c>
      <c r="C112" s="157">
        <v>1135859</v>
      </c>
      <c r="D112" s="157">
        <v>1136620</v>
      </c>
      <c r="E112" s="157">
        <f t="shared" si="4"/>
        <v>761</v>
      </c>
      <c r="F112" s="161">
        <f t="shared" si="5"/>
        <v>6.6997752361868854E-4</v>
      </c>
    </row>
    <row r="113" spans="1:6" ht="15" customHeight="1" x14ac:dyDescent="0.2">
      <c r="A113" s="147">
        <v>11</v>
      </c>
      <c r="B113" s="169" t="s">
        <v>243</v>
      </c>
      <c r="C113" s="157">
        <v>604776</v>
      </c>
      <c r="D113" s="157">
        <v>798294</v>
      </c>
      <c r="E113" s="157">
        <f t="shared" si="4"/>
        <v>193518</v>
      </c>
      <c r="F113" s="161">
        <f t="shared" si="5"/>
        <v>0.31998293583078696</v>
      </c>
    </row>
    <row r="114" spans="1:6" ht="15" customHeight="1" x14ac:dyDescent="0.2">
      <c r="A114" s="147">
        <v>12</v>
      </c>
      <c r="B114" s="169" t="s">
        <v>244</v>
      </c>
      <c r="C114" s="157">
        <v>188825</v>
      </c>
      <c r="D114" s="157">
        <v>226497</v>
      </c>
      <c r="E114" s="157">
        <f t="shared" si="4"/>
        <v>37672</v>
      </c>
      <c r="F114" s="161">
        <f t="shared" si="5"/>
        <v>0.1995074804713359</v>
      </c>
    </row>
    <row r="115" spans="1:6" ht="15" customHeight="1" x14ac:dyDescent="0.2">
      <c r="A115" s="147">
        <v>13</v>
      </c>
      <c r="B115" s="169" t="s">
        <v>245</v>
      </c>
      <c r="C115" s="157">
        <v>2453210</v>
      </c>
      <c r="D115" s="157">
        <v>2426670</v>
      </c>
      <c r="E115" s="157">
        <f t="shared" si="4"/>
        <v>-26540</v>
      </c>
      <c r="F115" s="161">
        <f t="shared" si="5"/>
        <v>-1.0818478646344993E-2</v>
      </c>
    </row>
    <row r="116" spans="1:6" ht="15" customHeight="1" x14ac:dyDescent="0.2">
      <c r="A116" s="147">
        <v>14</v>
      </c>
      <c r="B116" s="169" t="s">
        <v>246</v>
      </c>
      <c r="C116" s="157">
        <v>0</v>
      </c>
      <c r="D116" s="157">
        <v>0</v>
      </c>
      <c r="E116" s="157">
        <f t="shared" si="4"/>
        <v>0</v>
      </c>
      <c r="F116" s="161">
        <f t="shared" si="5"/>
        <v>0</v>
      </c>
    </row>
    <row r="117" spans="1:6" ht="15" customHeight="1" x14ac:dyDescent="0.2">
      <c r="A117" s="147">
        <v>15</v>
      </c>
      <c r="B117" s="169" t="s">
        <v>203</v>
      </c>
      <c r="C117" s="157">
        <v>0</v>
      </c>
      <c r="D117" s="157">
        <v>0</v>
      </c>
      <c r="E117" s="157">
        <f t="shared" si="4"/>
        <v>0</v>
      </c>
      <c r="F117" s="161">
        <f t="shared" si="5"/>
        <v>0</v>
      </c>
    </row>
    <row r="118" spans="1:6" ht="15" customHeight="1" x14ac:dyDescent="0.2">
      <c r="A118" s="147">
        <v>16</v>
      </c>
      <c r="B118" s="169" t="s">
        <v>247</v>
      </c>
      <c r="C118" s="157">
        <v>0</v>
      </c>
      <c r="D118" s="157">
        <v>0</v>
      </c>
      <c r="E118" s="157">
        <f t="shared" si="4"/>
        <v>0</v>
      </c>
      <c r="F118" s="161">
        <f t="shared" si="5"/>
        <v>0</v>
      </c>
    </row>
    <row r="119" spans="1:6" ht="15" customHeight="1" x14ac:dyDescent="0.2">
      <c r="A119" s="147">
        <v>17</v>
      </c>
      <c r="B119" s="169" t="s">
        <v>248</v>
      </c>
      <c r="C119" s="157">
        <v>2350887</v>
      </c>
      <c r="D119" s="157">
        <v>2584328</v>
      </c>
      <c r="E119" s="157">
        <f t="shared" si="4"/>
        <v>233441</v>
      </c>
      <c r="F119" s="161">
        <f t="shared" si="5"/>
        <v>9.9299115610405775E-2</v>
      </c>
    </row>
    <row r="120" spans="1:6" ht="15" customHeight="1" x14ac:dyDescent="0.2">
      <c r="A120" s="147">
        <v>18</v>
      </c>
      <c r="B120" s="169" t="s">
        <v>249</v>
      </c>
      <c r="C120" s="157">
        <v>10027132</v>
      </c>
      <c r="D120" s="157">
        <v>9192042</v>
      </c>
      <c r="E120" s="157">
        <f t="shared" si="4"/>
        <v>-835090</v>
      </c>
      <c r="F120" s="161">
        <f t="shared" si="5"/>
        <v>-8.328303646546191E-2</v>
      </c>
    </row>
    <row r="121" spans="1:6" ht="15.75" customHeight="1" x14ac:dyDescent="0.25">
      <c r="A121" s="147"/>
      <c r="B121" s="165" t="s">
        <v>250</v>
      </c>
      <c r="C121" s="158">
        <f>SUM(C103:C120)</f>
        <v>28124342</v>
      </c>
      <c r="D121" s="158">
        <f>SUM(D103:D120)</f>
        <v>25262693</v>
      </c>
      <c r="E121" s="158">
        <f t="shared" si="4"/>
        <v>-2861649</v>
      </c>
      <c r="F121" s="159">
        <f t="shared" si="5"/>
        <v>-0.10174990049544981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345276</v>
      </c>
      <c r="D124" s="157">
        <v>366865</v>
      </c>
      <c r="E124" s="157">
        <f t="shared" ref="E124:E130" si="6">D124-C124</f>
        <v>21589</v>
      </c>
      <c r="F124" s="161">
        <f t="shared" ref="F124:F130" si="7">IF(C124=0,0,E124/C124)</f>
        <v>6.2526790162073242E-2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507146</v>
      </c>
      <c r="D126" s="157">
        <v>449295</v>
      </c>
      <c r="E126" s="157">
        <f t="shared" si="6"/>
        <v>-57851</v>
      </c>
      <c r="F126" s="161">
        <f t="shared" si="7"/>
        <v>-0.11407168744306373</v>
      </c>
    </row>
    <row r="127" spans="1:6" ht="15" customHeight="1" x14ac:dyDescent="0.2">
      <c r="A127" s="147">
        <v>4</v>
      </c>
      <c r="B127" s="169" t="s">
        <v>255</v>
      </c>
      <c r="C127" s="157">
        <v>0</v>
      </c>
      <c r="D127" s="157">
        <v>0</v>
      </c>
      <c r="E127" s="157">
        <f t="shared" si="6"/>
        <v>0</v>
      </c>
      <c r="F127" s="161">
        <f t="shared" si="7"/>
        <v>0</v>
      </c>
    </row>
    <row r="128" spans="1:6" ht="15" customHeight="1" x14ac:dyDescent="0.2">
      <c r="A128" s="147">
        <v>5</v>
      </c>
      <c r="B128" s="169" t="s">
        <v>256</v>
      </c>
      <c r="C128" s="157">
        <v>454349</v>
      </c>
      <c r="D128" s="157">
        <v>373419</v>
      </c>
      <c r="E128" s="157">
        <f t="shared" si="6"/>
        <v>-80930</v>
      </c>
      <c r="F128" s="161">
        <f t="shared" si="7"/>
        <v>-0.17812298475401067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1306771</v>
      </c>
      <c r="D130" s="158">
        <f>SUM(D124:D129)</f>
        <v>1189579</v>
      </c>
      <c r="E130" s="158">
        <f t="shared" si="6"/>
        <v>-117192</v>
      </c>
      <c r="F130" s="159">
        <f t="shared" si="7"/>
        <v>-8.9680594381111922E-2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2474520</v>
      </c>
      <c r="D133" s="157">
        <v>3085374</v>
      </c>
      <c r="E133" s="157">
        <f t="shared" ref="E133:E167" si="8">D133-C133</f>
        <v>610854</v>
      </c>
      <c r="F133" s="161">
        <f t="shared" ref="F133:F167" si="9">IF(C133=0,0,E133/C133)</f>
        <v>0.24685757237767325</v>
      </c>
    </row>
    <row r="134" spans="1:6" ht="15" customHeight="1" x14ac:dyDescent="0.2">
      <c r="A134" s="147">
        <v>2</v>
      </c>
      <c r="B134" s="169" t="s">
        <v>261</v>
      </c>
      <c r="C134" s="157">
        <v>273596</v>
      </c>
      <c r="D134" s="157">
        <v>241139</v>
      </c>
      <c r="E134" s="157">
        <f t="shared" si="8"/>
        <v>-32457</v>
      </c>
      <c r="F134" s="161">
        <f t="shared" si="9"/>
        <v>-0.11863112033801664</v>
      </c>
    </row>
    <row r="135" spans="1:6" ht="15" customHeight="1" x14ac:dyDescent="0.2">
      <c r="A135" s="147">
        <v>3</v>
      </c>
      <c r="B135" s="169" t="s">
        <v>262</v>
      </c>
      <c r="C135" s="157">
        <v>15518</v>
      </c>
      <c r="D135" s="157">
        <v>13289</v>
      </c>
      <c r="E135" s="157">
        <f t="shared" si="8"/>
        <v>-2229</v>
      </c>
      <c r="F135" s="161">
        <f t="shared" si="9"/>
        <v>-0.14363964428405723</v>
      </c>
    </row>
    <row r="136" spans="1:6" ht="15" customHeight="1" x14ac:dyDescent="0.2">
      <c r="A136" s="147">
        <v>4</v>
      </c>
      <c r="B136" s="169" t="s">
        <v>263</v>
      </c>
      <c r="C136" s="157">
        <v>612588</v>
      </c>
      <c r="D136" s="157">
        <v>630966</v>
      </c>
      <c r="E136" s="157">
        <f t="shared" si="8"/>
        <v>18378</v>
      </c>
      <c r="F136" s="161">
        <f t="shared" si="9"/>
        <v>3.0000587670669356E-2</v>
      </c>
    </row>
    <row r="137" spans="1:6" ht="15" customHeight="1" x14ac:dyDescent="0.2">
      <c r="A137" s="147">
        <v>5</v>
      </c>
      <c r="B137" s="169" t="s">
        <v>264</v>
      </c>
      <c r="C137" s="157">
        <v>1311515</v>
      </c>
      <c r="D137" s="157">
        <v>1299814</v>
      </c>
      <c r="E137" s="157">
        <f t="shared" si="8"/>
        <v>-11701</v>
      </c>
      <c r="F137" s="161">
        <f t="shared" si="9"/>
        <v>-8.9217431748779084E-3</v>
      </c>
    </row>
    <row r="138" spans="1:6" ht="15" customHeight="1" x14ac:dyDescent="0.2">
      <c r="A138" s="147">
        <v>6</v>
      </c>
      <c r="B138" s="169" t="s">
        <v>265</v>
      </c>
      <c r="C138" s="157">
        <v>0</v>
      </c>
      <c r="D138" s="157">
        <v>0</v>
      </c>
      <c r="E138" s="157">
        <f t="shared" si="8"/>
        <v>0</v>
      </c>
      <c r="F138" s="161">
        <f t="shared" si="9"/>
        <v>0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222324</v>
      </c>
      <c r="D140" s="157">
        <v>232081</v>
      </c>
      <c r="E140" s="157">
        <f t="shared" si="8"/>
        <v>9757</v>
      </c>
      <c r="F140" s="161">
        <f t="shared" si="9"/>
        <v>4.3886400028786812E-2</v>
      </c>
    </row>
    <row r="141" spans="1:6" ht="15" customHeight="1" x14ac:dyDescent="0.2">
      <c r="A141" s="147">
        <v>9</v>
      </c>
      <c r="B141" s="169" t="s">
        <v>268</v>
      </c>
      <c r="C141" s="157">
        <v>538768</v>
      </c>
      <c r="D141" s="157">
        <v>633156</v>
      </c>
      <c r="E141" s="157">
        <f t="shared" si="8"/>
        <v>94388</v>
      </c>
      <c r="F141" s="161">
        <f t="shared" si="9"/>
        <v>0.17519229055920174</v>
      </c>
    </row>
    <row r="142" spans="1:6" ht="15" customHeight="1" x14ac:dyDescent="0.2">
      <c r="A142" s="147">
        <v>10</v>
      </c>
      <c r="B142" s="169" t="s">
        <v>269</v>
      </c>
      <c r="C142" s="157">
        <v>2753065</v>
      </c>
      <c r="D142" s="157">
        <v>2839495</v>
      </c>
      <c r="E142" s="157">
        <f t="shared" si="8"/>
        <v>86430</v>
      </c>
      <c r="F142" s="161">
        <f t="shared" si="9"/>
        <v>3.1394100756792886E-2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309913</v>
      </c>
      <c r="D145" s="157">
        <v>318767</v>
      </c>
      <c r="E145" s="157">
        <f t="shared" si="8"/>
        <v>8854</v>
      </c>
      <c r="F145" s="161">
        <f t="shared" si="9"/>
        <v>2.8569308160677351E-2</v>
      </c>
    </row>
    <row r="146" spans="1:6" ht="15" customHeight="1" x14ac:dyDescent="0.2">
      <c r="A146" s="147">
        <v>14</v>
      </c>
      <c r="B146" s="169" t="s">
        <v>273</v>
      </c>
      <c r="C146" s="157">
        <v>108293</v>
      </c>
      <c r="D146" s="157">
        <v>122328</v>
      </c>
      <c r="E146" s="157">
        <f t="shared" si="8"/>
        <v>14035</v>
      </c>
      <c r="F146" s="161">
        <f t="shared" si="9"/>
        <v>0.12960209801187519</v>
      </c>
    </row>
    <row r="147" spans="1:6" ht="15" customHeight="1" x14ac:dyDescent="0.2">
      <c r="A147" s="147">
        <v>15</v>
      </c>
      <c r="B147" s="169" t="s">
        <v>274</v>
      </c>
      <c r="C147" s="157">
        <v>97642</v>
      </c>
      <c r="D147" s="157">
        <v>105116</v>
      </c>
      <c r="E147" s="157">
        <f t="shared" si="8"/>
        <v>7474</v>
      </c>
      <c r="F147" s="161">
        <f t="shared" si="9"/>
        <v>7.6544929436103318E-2</v>
      </c>
    </row>
    <row r="148" spans="1:6" ht="15" customHeight="1" x14ac:dyDescent="0.2">
      <c r="A148" s="147">
        <v>16</v>
      </c>
      <c r="B148" s="169" t="s">
        <v>275</v>
      </c>
      <c r="C148" s="157">
        <v>84662</v>
      </c>
      <c r="D148" s="157">
        <v>136943</v>
      </c>
      <c r="E148" s="157">
        <f t="shared" si="8"/>
        <v>52281</v>
      </c>
      <c r="F148" s="161">
        <f t="shared" si="9"/>
        <v>0.61752616285937023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429112</v>
      </c>
      <c r="D150" s="157">
        <v>470410</v>
      </c>
      <c r="E150" s="157">
        <f t="shared" si="8"/>
        <v>41298</v>
      </c>
      <c r="F150" s="161">
        <f t="shared" si="9"/>
        <v>9.6240608512462952E-2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2226119</v>
      </c>
      <c r="D156" s="157">
        <v>2892163</v>
      </c>
      <c r="E156" s="157">
        <f t="shared" si="8"/>
        <v>666044</v>
      </c>
      <c r="F156" s="161">
        <f t="shared" si="9"/>
        <v>0.29919514635111599</v>
      </c>
    </row>
    <row r="157" spans="1:6" ht="15" customHeight="1" x14ac:dyDescent="0.2">
      <c r="A157" s="147">
        <v>25</v>
      </c>
      <c r="B157" s="169" t="s">
        <v>284</v>
      </c>
      <c r="C157" s="157">
        <v>215187</v>
      </c>
      <c r="D157" s="157">
        <v>178968</v>
      </c>
      <c r="E157" s="157">
        <f t="shared" si="8"/>
        <v>-36219</v>
      </c>
      <c r="F157" s="161">
        <f t="shared" si="9"/>
        <v>-0.16831407101730123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0</v>
      </c>
      <c r="D160" s="157">
        <v>0</v>
      </c>
      <c r="E160" s="157">
        <f t="shared" si="8"/>
        <v>0</v>
      </c>
      <c r="F160" s="161">
        <f t="shared" si="9"/>
        <v>0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103026</v>
      </c>
      <c r="D163" s="157">
        <v>275783</v>
      </c>
      <c r="E163" s="157">
        <f t="shared" si="8"/>
        <v>172757</v>
      </c>
      <c r="F163" s="161">
        <f t="shared" si="9"/>
        <v>1.6768291499233203</v>
      </c>
    </row>
    <row r="164" spans="1:6" ht="15" customHeight="1" x14ac:dyDescent="0.2">
      <c r="A164" s="147">
        <v>32</v>
      </c>
      <c r="B164" s="169" t="s">
        <v>291</v>
      </c>
      <c r="C164" s="157">
        <v>579225</v>
      </c>
      <c r="D164" s="157">
        <v>684191</v>
      </c>
      <c r="E164" s="157">
        <f t="shared" si="8"/>
        <v>104966</v>
      </c>
      <c r="F164" s="161">
        <f t="shared" si="9"/>
        <v>0.18121800681945704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2169958</v>
      </c>
      <c r="D166" s="157">
        <v>2178093</v>
      </c>
      <c r="E166" s="157">
        <f t="shared" si="8"/>
        <v>8135</v>
      </c>
      <c r="F166" s="161">
        <f t="shared" si="9"/>
        <v>3.7489204860186236E-3</v>
      </c>
    </row>
    <row r="167" spans="1:6" ht="15.75" customHeight="1" x14ac:dyDescent="0.25">
      <c r="A167" s="147"/>
      <c r="B167" s="165" t="s">
        <v>294</v>
      </c>
      <c r="C167" s="158">
        <f>SUM(C133:C166)</f>
        <v>14525031</v>
      </c>
      <c r="D167" s="158">
        <f>SUM(D133:D166)</f>
        <v>16338076</v>
      </c>
      <c r="E167" s="158">
        <f t="shared" si="8"/>
        <v>1813045</v>
      </c>
      <c r="F167" s="159">
        <f t="shared" si="9"/>
        <v>0.12482210881339943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2288535</v>
      </c>
      <c r="D170" s="157">
        <v>2477245</v>
      </c>
      <c r="E170" s="157">
        <f t="shared" ref="E170:E183" si="10">D170-C170</f>
        <v>188710</v>
      </c>
      <c r="F170" s="161">
        <f t="shared" ref="F170:F183" si="11">IF(C170=0,0,E170/C170)</f>
        <v>8.245886560616289E-2</v>
      </c>
    </row>
    <row r="171" spans="1:6" ht="15" customHeight="1" x14ac:dyDescent="0.2">
      <c r="A171" s="147">
        <v>2</v>
      </c>
      <c r="B171" s="169" t="s">
        <v>297</v>
      </c>
      <c r="C171" s="157">
        <v>1368624</v>
      </c>
      <c r="D171" s="157">
        <v>1443924</v>
      </c>
      <c r="E171" s="157">
        <f t="shared" si="10"/>
        <v>75300</v>
      </c>
      <c r="F171" s="161">
        <f t="shared" si="11"/>
        <v>5.501876337109389E-2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2135253</v>
      </c>
      <c r="D173" s="157">
        <v>2468847</v>
      </c>
      <c r="E173" s="157">
        <f t="shared" si="10"/>
        <v>333594</v>
      </c>
      <c r="F173" s="161">
        <f t="shared" si="11"/>
        <v>0.15623160346806678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0</v>
      </c>
      <c r="D175" s="157">
        <v>0</v>
      </c>
      <c r="E175" s="157">
        <f t="shared" si="10"/>
        <v>0</v>
      </c>
      <c r="F175" s="161">
        <f t="shared" si="11"/>
        <v>0</v>
      </c>
    </row>
    <row r="176" spans="1:6" ht="15" customHeight="1" x14ac:dyDescent="0.2">
      <c r="A176" s="147">
        <v>7</v>
      </c>
      <c r="B176" s="169" t="s">
        <v>302</v>
      </c>
      <c r="C176" s="157">
        <v>328146</v>
      </c>
      <c r="D176" s="157">
        <v>337990</v>
      </c>
      <c r="E176" s="157">
        <f t="shared" si="10"/>
        <v>9844</v>
      </c>
      <c r="F176" s="161">
        <f t="shared" si="11"/>
        <v>2.9998841978875257E-2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0</v>
      </c>
      <c r="D179" s="157">
        <v>0</v>
      </c>
      <c r="E179" s="157">
        <f t="shared" si="10"/>
        <v>0</v>
      </c>
      <c r="F179" s="161">
        <f t="shared" si="11"/>
        <v>0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6120558</v>
      </c>
      <c r="D183" s="158">
        <f>SUM(D170:D182)</f>
        <v>6728006</v>
      </c>
      <c r="E183" s="158">
        <f t="shared" si="10"/>
        <v>607448</v>
      </c>
      <c r="F183" s="159">
        <f t="shared" si="11"/>
        <v>9.9247160144548915E-2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50076702</v>
      </c>
      <c r="D188" s="158">
        <f>+D186+D183+D167+D130+D121</f>
        <v>49518354</v>
      </c>
      <c r="E188" s="158">
        <f>D188-C188</f>
        <v>-558348</v>
      </c>
      <c r="F188" s="159">
        <f>IF(C188=0,0,E188/C188)</f>
        <v>-1.114985567539971E-2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75" bottom="0.75" header="0.3" footer="0.3"/>
  <pageSetup scale="74" fitToHeight="0" orientation="portrait" r:id="rId1"/>
  <headerFooter>
    <oddHeader>&amp;LOFFICE OF HEALTH CARE ACCESS&amp;CTWELVE MONTHS ACTUAL FILING&amp;RESSENT-SHARON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topLeftCell="A83" zoomScale="75" zoomScaleSheetLayoutView="75" workbookViewId="0">
      <selection activeCell="B101" sqref="B101"/>
    </sheetView>
  </sheetViews>
  <sheetFormatPr defaultRowHeight="24" customHeight="1" x14ac:dyDescent="0.2"/>
  <cols>
    <col min="1" max="1" width="8.7109375" style="70" customWidth="1"/>
    <col min="2" max="2" width="73.140625" style="70" bestFit="1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50085913</v>
      </c>
      <c r="D11" s="183">
        <v>49485574</v>
      </c>
      <c r="E11" s="76">
        <v>49154424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1092483</v>
      </c>
      <c r="D12" s="185">
        <v>851556</v>
      </c>
      <c r="E12" s="185">
        <v>661116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51178396</v>
      </c>
      <c r="D13" s="76">
        <f>+D11+D12</f>
        <v>50337130</v>
      </c>
      <c r="E13" s="76">
        <f>+E11+E12</f>
        <v>49815540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48236048</v>
      </c>
      <c r="D14" s="185">
        <v>50076702</v>
      </c>
      <c r="E14" s="185">
        <v>49518354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2942348</v>
      </c>
      <c r="D15" s="76">
        <f>+D13-D14</f>
        <v>260428</v>
      </c>
      <c r="E15" s="76">
        <f>+E13-E14</f>
        <v>297186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0</v>
      </c>
      <c r="D16" s="185">
        <v>-18460790</v>
      </c>
      <c r="E16" s="185">
        <v>-14005819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2942348</v>
      </c>
      <c r="D17" s="76">
        <f>D15+D16</f>
        <v>-18200362</v>
      </c>
      <c r="E17" s="76">
        <f>E15+E16</f>
        <v>-13708633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5.7491993301235937E-2</v>
      </c>
      <c r="D20" s="189">
        <f>IF(+D27=0,0,+D24/+D27)</f>
        <v>8.169946737925371E-3</v>
      </c>
      <c r="E20" s="189">
        <f>IF(+E27=0,0,+E24/+E27)</f>
        <v>8.2990314278069913E-3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0</v>
      </c>
      <c r="D21" s="189">
        <f>IF(D27=0,0,+D26/D27)</f>
        <v>-0.57913769272130988</v>
      </c>
      <c r="E21" s="189">
        <f>IF(E27=0,0,+E26/E27)</f>
        <v>-0.39111779173035166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5.7491993301235937E-2</v>
      </c>
      <c r="D22" s="189">
        <f>IF(D27=0,0,+D28/D27)</f>
        <v>-0.57096774598338451</v>
      </c>
      <c r="E22" s="189">
        <f>IF(E27=0,0,+E28/E27)</f>
        <v>-0.38281876030254464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2942348</v>
      </c>
      <c r="D24" s="76">
        <f>+D15</f>
        <v>260428</v>
      </c>
      <c r="E24" s="76">
        <f>+E15</f>
        <v>297186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51178396</v>
      </c>
      <c r="D25" s="76">
        <f>+D13</f>
        <v>50337130</v>
      </c>
      <c r="E25" s="76">
        <f>+E13</f>
        <v>49815540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0</v>
      </c>
      <c r="D26" s="76">
        <f>+D16</f>
        <v>-18460790</v>
      </c>
      <c r="E26" s="76">
        <f>+E16</f>
        <v>-14005819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51178396</v>
      </c>
      <c r="D27" s="76">
        <f>+D25+D26</f>
        <v>31876340</v>
      </c>
      <c r="E27" s="76">
        <f>+E25+E26</f>
        <v>35809721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2942348</v>
      </c>
      <c r="D28" s="76">
        <f>+D17</f>
        <v>-18200362</v>
      </c>
      <c r="E28" s="76">
        <f>+E17</f>
        <v>-13708633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32809453</v>
      </c>
      <c r="D31" s="76">
        <v>21513301</v>
      </c>
      <c r="E31" s="76">
        <v>7980668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32809453</v>
      </c>
      <c r="D32" s="76">
        <v>21513301</v>
      </c>
      <c r="E32" s="76">
        <v>7980668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2754871</v>
      </c>
      <c r="D33" s="76">
        <f>+D32-C32</f>
        <v>-11296152</v>
      </c>
      <c r="E33" s="76">
        <f>+E32-D32</f>
        <v>-13532633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1.0915999999999999</v>
      </c>
      <c r="D34" s="193">
        <f>IF(C32=0,0,+D33/C32)</f>
        <v>-0.34429565162211023</v>
      </c>
      <c r="E34" s="193">
        <f>IF(D32=0,0,+E33/D32)</f>
        <v>-0.62903563706936472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0.32978569079114917</v>
      </c>
      <c r="D38" s="195">
        <f>IF((D40+D41)=0,0,+D39/(D40+D41))</f>
        <v>0.34665333347925853</v>
      </c>
      <c r="E38" s="195">
        <f>IF((E40+E41)=0,0,+E39/(E40+E41))</f>
        <v>0.34457869991674028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48236048</v>
      </c>
      <c r="D39" s="76">
        <v>50076702</v>
      </c>
      <c r="E39" s="196">
        <v>49518354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145172347</v>
      </c>
      <c r="D40" s="76">
        <v>143606025</v>
      </c>
      <c r="E40" s="196">
        <v>143045834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1092483</v>
      </c>
      <c r="D41" s="76">
        <v>851556</v>
      </c>
      <c r="E41" s="196">
        <v>661116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1.2915977243397487</v>
      </c>
      <c r="D43" s="197">
        <f>IF(D38=0,0,IF((D46-D47)=0,0,((+D44-D45)/(D46-D47)/D38)))</f>
        <v>1.2860459135958278</v>
      </c>
      <c r="E43" s="197">
        <f>IF(E38=0,0,IF((E46-E47)=0,0,((+E44-E45)/(E46-E47)/E38)))</f>
        <v>1.2987285905921866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21315739</v>
      </c>
      <c r="D44" s="76">
        <v>21931021</v>
      </c>
      <c r="E44" s="196">
        <v>21866578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279386</v>
      </c>
      <c r="D45" s="76">
        <v>230791</v>
      </c>
      <c r="E45" s="196">
        <v>219793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52241943</v>
      </c>
      <c r="D46" s="76">
        <v>51092254</v>
      </c>
      <c r="E46" s="196">
        <v>51230480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2855088</v>
      </c>
      <c r="D47" s="76">
        <v>2416523</v>
      </c>
      <c r="E47" s="76">
        <v>2859312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0.97521320379841536</v>
      </c>
      <c r="D49" s="198">
        <f>IF(D38=0,0,IF(D51=0,0,(D50/D51)/D38))</f>
        <v>0.90611396223912</v>
      </c>
      <c r="E49" s="198">
        <f>IF(E38=0,0,IF(E51=0,0,(E50/E51)/E38))</f>
        <v>0.91101131611472008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23646098</v>
      </c>
      <c r="D50" s="199">
        <v>22417977</v>
      </c>
      <c r="E50" s="199">
        <v>22212537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73523827</v>
      </c>
      <c r="D51" s="199">
        <v>71370414</v>
      </c>
      <c r="E51" s="199">
        <v>70759697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0.69164503746983241</v>
      </c>
      <c r="D53" s="198">
        <f>IF(D38=0,0,IF(D55=0,0,(D54/D55)/D38))</f>
        <v>0.63788172486679362</v>
      </c>
      <c r="E53" s="198">
        <f>IF(E38=0,0,IF(E55=0,0,(E54/E55)/E38))</f>
        <v>0.61244358105203722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2447356</v>
      </c>
      <c r="D54" s="199">
        <v>2561781</v>
      </c>
      <c r="E54" s="199">
        <v>2523360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10729564</v>
      </c>
      <c r="D55" s="199">
        <v>11585278</v>
      </c>
      <c r="E55" s="199">
        <v>11957068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1043330.4580997085</v>
      </c>
      <c r="D57" s="88">
        <f>+D60*D38</f>
        <v>926357.19656328729</v>
      </c>
      <c r="E57" s="88">
        <f>+E60*E38</f>
        <v>1075231.3005302944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892961</v>
      </c>
      <c r="D58" s="199">
        <v>741722</v>
      </c>
      <c r="E58" s="199">
        <v>536593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2270701</v>
      </c>
      <c r="D59" s="199">
        <v>1930565</v>
      </c>
      <c r="E59" s="199">
        <v>2583830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3163662</v>
      </c>
      <c r="D60" s="76">
        <v>2672287</v>
      </c>
      <c r="E60" s="201">
        <v>3120423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2.1629683636182395E-2</v>
      </c>
      <c r="D62" s="202">
        <f>IF(D63=0,0,+D57/D63)</f>
        <v>1.849876608414203E-2</v>
      </c>
      <c r="E62" s="202">
        <f>IF(E63=0,0,+E57/E63)</f>
        <v>2.1713793243820147E-2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48236048</v>
      </c>
      <c r="D63" s="199">
        <v>50076702</v>
      </c>
      <c r="E63" s="199">
        <v>49518354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2.0897119097503629</v>
      </c>
      <c r="D67" s="203">
        <f>IF(D69=0,0,D68/D69)</f>
        <v>1.5785547860918323</v>
      </c>
      <c r="E67" s="203">
        <f>IF(E69=0,0,E68/E69)</f>
        <v>1.9287224442178434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10006947</v>
      </c>
      <c r="D68" s="204">
        <v>8299457</v>
      </c>
      <c r="E68" s="204">
        <v>8585301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4788673</v>
      </c>
      <c r="D69" s="204">
        <v>5257630</v>
      </c>
      <c r="E69" s="204">
        <v>4451289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0</v>
      </c>
      <c r="D71" s="203">
        <f>IF((D77/365)=0,0,+D74/(D77/365))</f>
        <v>1.485201065297832</v>
      </c>
      <c r="E71" s="203">
        <f>IF((E77/365)=0,0,+E74/(E77/365))</f>
        <v>0.61212402643114139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0</v>
      </c>
      <c r="D72" s="183">
        <v>193394</v>
      </c>
      <c r="E72" s="183">
        <v>80844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0</v>
      </c>
      <c r="D74" s="204">
        <f>+D72+D73</f>
        <v>193394</v>
      </c>
      <c r="E74" s="204">
        <f>+E72+E73</f>
        <v>80844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48236048</v>
      </c>
      <c r="D75" s="204">
        <f>+D14</f>
        <v>50076702</v>
      </c>
      <c r="E75" s="204">
        <f>+E14</f>
        <v>49518354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2563946</v>
      </c>
      <c r="D76" s="204">
        <v>2548585</v>
      </c>
      <c r="E76" s="204">
        <v>1312339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45672102</v>
      </c>
      <c r="D77" s="204">
        <f>+D75-D76</f>
        <v>47528117</v>
      </c>
      <c r="E77" s="204">
        <f>+E75-E76</f>
        <v>48206015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46.709106211161611</v>
      </c>
      <c r="D79" s="203">
        <f>IF((D84/365)=0,0,+D83/(D84/365))</f>
        <v>44.640711856752439</v>
      </c>
      <c r="E79" s="203">
        <f>IF((E84/365)=0,0,+E83/(E84/365))</f>
        <v>44.462154515329075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6272473</v>
      </c>
      <c r="D80" s="212">
        <v>6149131</v>
      </c>
      <c r="E80" s="212">
        <v>6051797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137029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0</v>
      </c>
      <c r="D82" s="212">
        <v>96881</v>
      </c>
      <c r="E82" s="212">
        <v>64094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6409502</v>
      </c>
      <c r="D83" s="212">
        <f>+D80+D81-D82</f>
        <v>6052250</v>
      </c>
      <c r="E83" s="212">
        <f>+E80+E81-E82</f>
        <v>5987703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50085913</v>
      </c>
      <c r="D84" s="204">
        <f>+D11</f>
        <v>49485574</v>
      </c>
      <c r="E84" s="204">
        <f>+E11</f>
        <v>49154424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38.269875229302997</v>
      </c>
      <c r="D86" s="203">
        <f>IF((D90/365)=0,0,+D87/(D90/365))</f>
        <v>40.376835253119751</v>
      </c>
      <c r="E86" s="203">
        <f>IF((E90/365)=0,0,+E87/(E90/365))</f>
        <v>33.703687911145529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4788673</v>
      </c>
      <c r="D87" s="76">
        <f>+D69</f>
        <v>5257630</v>
      </c>
      <c r="E87" s="76">
        <f>+E69</f>
        <v>4451289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48236048</v>
      </c>
      <c r="D88" s="76">
        <f t="shared" si="0"/>
        <v>50076702</v>
      </c>
      <c r="E88" s="76">
        <f t="shared" si="0"/>
        <v>49518354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2563946</v>
      </c>
      <c r="D89" s="201">
        <f t="shared" si="0"/>
        <v>2548585</v>
      </c>
      <c r="E89" s="201">
        <f t="shared" si="0"/>
        <v>1312339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45672102</v>
      </c>
      <c r="D90" s="76">
        <f>+D88-D89</f>
        <v>47528117</v>
      </c>
      <c r="E90" s="76">
        <f>+E88-E89</f>
        <v>48206015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74.871035856567332</v>
      </c>
      <c r="D94" s="214">
        <f>IF(D96=0,0,(D95/D96)*100)</f>
        <v>75.714354393264557</v>
      </c>
      <c r="E94" s="214">
        <f>IF(E96=0,0,(E95/E96)*100)</f>
        <v>57.806087673919826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32809453</v>
      </c>
      <c r="D95" s="76">
        <f>+D32</f>
        <v>21513301</v>
      </c>
      <c r="E95" s="76">
        <f>+E32</f>
        <v>7980668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43821289</v>
      </c>
      <c r="D96" s="76">
        <v>28413768</v>
      </c>
      <c r="E96" s="76">
        <v>13805930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60.822784726232548</v>
      </c>
      <c r="D98" s="214">
        <f>IF(D104=0,0,(D101/D104)*100)</f>
        <v>-297.69643356417242</v>
      </c>
      <c r="E98" s="214">
        <f>IF(E104=0,0,(E101/E104)*100)</f>
        <v>-278.48773692294526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2942348</v>
      </c>
      <c r="D99" s="76">
        <f>+D28</f>
        <v>-18200362</v>
      </c>
      <c r="E99" s="76">
        <f>+E28</f>
        <v>-13708633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2563946</v>
      </c>
      <c r="D100" s="201">
        <f>+D76</f>
        <v>2548585</v>
      </c>
      <c r="E100" s="201">
        <f>+E76</f>
        <v>1312339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5506294</v>
      </c>
      <c r="D101" s="76">
        <f>+D99+D100</f>
        <v>-15651777</v>
      </c>
      <c r="E101" s="76">
        <f>+E99+E100</f>
        <v>-12396294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4788673</v>
      </c>
      <c r="D102" s="204">
        <f>+D69</f>
        <v>5257630</v>
      </c>
      <c r="E102" s="204">
        <f>+E69</f>
        <v>4451289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4264339</v>
      </c>
      <c r="D103" s="216">
        <v>0</v>
      </c>
      <c r="E103" s="216">
        <v>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9053012</v>
      </c>
      <c r="D104" s="204">
        <f>+D102+D103</f>
        <v>5257630</v>
      </c>
      <c r="E104" s="204">
        <f>+E102+E103</f>
        <v>4451289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11.502300600920456</v>
      </c>
      <c r="D106" s="214">
        <f>IF(D109=0,0,(D107/D109)*100)</f>
        <v>0</v>
      </c>
      <c r="E106" s="214">
        <f>IF(E109=0,0,(E107/E109)*100)</f>
        <v>0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4264339</v>
      </c>
      <c r="D107" s="204">
        <f>+D103</f>
        <v>0</v>
      </c>
      <c r="E107" s="204">
        <f>+E103</f>
        <v>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32809453</v>
      </c>
      <c r="D108" s="204">
        <f>+D32</f>
        <v>21513301</v>
      </c>
      <c r="E108" s="204">
        <f>+E32</f>
        <v>7980668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37073792</v>
      </c>
      <c r="D109" s="204">
        <f>+D107+D108</f>
        <v>21513301</v>
      </c>
      <c r="E109" s="204">
        <f>+E107+E108</f>
        <v>7980668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489.83993252840907</v>
      </c>
      <c r="D111" s="214">
        <f>IF((+D113+D115)=0,0,((+D112+D113+D114)/(+D113+D115)))</f>
        <v>-850.65839590815108</v>
      </c>
      <c r="E111" s="214">
        <f>IF((+E113+E115)=0,0,((+E112+E113+E114)/(+E113+E115)))</f>
        <v>-404.25335905063912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2942348</v>
      </c>
      <c r="D112" s="76">
        <f>+D17</f>
        <v>-18200362</v>
      </c>
      <c r="E112" s="76">
        <f>+E17</f>
        <v>-13708633</v>
      </c>
    </row>
    <row r="113" spans="1:8" ht="24" customHeight="1" x14ac:dyDescent="0.2">
      <c r="A113" s="85">
        <v>17</v>
      </c>
      <c r="B113" s="75" t="s">
        <v>88</v>
      </c>
      <c r="C113" s="218">
        <v>11263</v>
      </c>
      <c r="D113" s="76">
        <v>18377</v>
      </c>
      <c r="E113" s="76">
        <v>30588</v>
      </c>
    </row>
    <row r="114" spans="1:8" ht="24" customHeight="1" x14ac:dyDescent="0.2">
      <c r="A114" s="85">
        <v>18</v>
      </c>
      <c r="B114" s="75" t="s">
        <v>374</v>
      </c>
      <c r="C114" s="218">
        <v>2563946</v>
      </c>
      <c r="D114" s="76">
        <v>2548585</v>
      </c>
      <c r="E114" s="76">
        <v>1312339</v>
      </c>
    </row>
    <row r="115" spans="1:8" ht="24" customHeight="1" x14ac:dyDescent="0.2">
      <c r="A115" s="85">
        <v>19</v>
      </c>
      <c r="B115" s="75" t="s">
        <v>104</v>
      </c>
      <c r="C115" s="218">
        <v>1</v>
      </c>
      <c r="D115" s="76">
        <v>1</v>
      </c>
      <c r="E115" s="76">
        <v>1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12.123338011018953</v>
      </c>
      <c r="D119" s="214">
        <f>IF(+D121=0,0,(+D120)/(+D121))</f>
        <v>0</v>
      </c>
      <c r="E119" s="214">
        <f>IF(+E121=0,0,(+E120)/(+E121))</f>
        <v>0</v>
      </c>
    </row>
    <row r="120" spans="1:8" ht="24" customHeight="1" x14ac:dyDescent="0.2">
      <c r="A120" s="85">
        <v>21</v>
      </c>
      <c r="B120" s="75" t="s">
        <v>378</v>
      </c>
      <c r="C120" s="218">
        <v>31083584</v>
      </c>
      <c r="D120" s="218">
        <v>0</v>
      </c>
      <c r="E120" s="218">
        <v>0</v>
      </c>
    </row>
    <row r="121" spans="1:8" ht="24" customHeight="1" x14ac:dyDescent="0.2">
      <c r="A121" s="85">
        <v>22</v>
      </c>
      <c r="B121" s="75" t="s">
        <v>374</v>
      </c>
      <c r="C121" s="218">
        <v>2563946</v>
      </c>
      <c r="D121" s="218">
        <v>2548585</v>
      </c>
      <c r="E121" s="218">
        <v>1312339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11690</v>
      </c>
      <c r="D124" s="218">
        <v>11029</v>
      </c>
      <c r="E124" s="218">
        <v>9789</v>
      </c>
    </row>
    <row r="125" spans="1:8" ht="24" customHeight="1" x14ac:dyDescent="0.2">
      <c r="A125" s="85">
        <v>2</v>
      </c>
      <c r="B125" s="75" t="s">
        <v>381</v>
      </c>
      <c r="C125" s="218">
        <v>2616</v>
      </c>
      <c r="D125" s="218">
        <v>2466</v>
      </c>
      <c r="E125" s="218">
        <v>2410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4.4686544342507641</v>
      </c>
      <c r="D126" s="219">
        <f>IF(D125=0,0,D124/D125)</f>
        <v>4.4724249797242495</v>
      </c>
      <c r="E126" s="219">
        <f>IF(E125=0,0,E124/E125)</f>
        <v>4.0618257261410786</v>
      </c>
    </row>
    <row r="127" spans="1:8" ht="24" customHeight="1" x14ac:dyDescent="0.2">
      <c r="A127" s="85">
        <v>4</v>
      </c>
      <c r="B127" s="75" t="s">
        <v>383</v>
      </c>
      <c r="C127" s="218">
        <v>49</v>
      </c>
      <c r="D127" s="218">
        <v>49</v>
      </c>
      <c r="E127" s="218">
        <v>49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94</v>
      </c>
      <c r="E128" s="218">
        <v>94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94</v>
      </c>
      <c r="D129" s="218">
        <v>94</v>
      </c>
      <c r="E129" s="218">
        <v>94</v>
      </c>
    </row>
    <row r="130" spans="1:7" ht="24" customHeight="1" x14ac:dyDescent="0.2">
      <c r="A130" s="85">
        <v>7</v>
      </c>
      <c r="B130" s="75" t="s">
        <v>386</v>
      </c>
      <c r="C130" s="193">
        <v>0.65359999999999996</v>
      </c>
      <c r="D130" s="193">
        <v>0.61660000000000004</v>
      </c>
      <c r="E130" s="193">
        <v>0.54730000000000001</v>
      </c>
    </row>
    <row r="131" spans="1:7" ht="24" customHeight="1" x14ac:dyDescent="0.2">
      <c r="A131" s="85">
        <v>8</v>
      </c>
      <c r="B131" s="75" t="s">
        <v>387</v>
      </c>
      <c r="C131" s="193">
        <v>0.3407</v>
      </c>
      <c r="D131" s="193">
        <v>0.32140000000000002</v>
      </c>
      <c r="E131" s="193">
        <v>0.2853</v>
      </c>
    </row>
    <row r="132" spans="1:7" ht="24" customHeight="1" x14ac:dyDescent="0.2">
      <c r="A132" s="85">
        <v>9</v>
      </c>
      <c r="B132" s="75" t="s">
        <v>388</v>
      </c>
      <c r="C132" s="219">
        <v>259.60000000000002</v>
      </c>
      <c r="D132" s="219">
        <v>253.9</v>
      </c>
      <c r="E132" s="219">
        <v>264.2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0.34019464464537452</v>
      </c>
      <c r="D135" s="227">
        <f>IF(D149=0,0,D143/D149)</f>
        <v>0.33895326466977971</v>
      </c>
      <c r="E135" s="227">
        <f>IF(E149=0,0,E143/E149)</f>
        <v>0.3381515326059758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0.50645889881493755</v>
      </c>
      <c r="D136" s="227">
        <f>IF(D149=0,0,D144/D149)</f>
        <v>0.49698760201739445</v>
      </c>
      <c r="E136" s="227">
        <f>IF(E149=0,0,E144/E149)</f>
        <v>0.49466450732147849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7.3909144694064913E-2</v>
      </c>
      <c r="D137" s="227">
        <f>IF(D149=0,0,D145/D149)</f>
        <v>8.0674038571849613E-2</v>
      </c>
      <c r="E137" s="227">
        <f>IF(E149=0,0,E145/E149)</f>
        <v>8.3589068382096329E-2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5.8226660756542016E-2</v>
      </c>
      <c r="D138" s="227">
        <f>IF(D149=0,0,D146/D149)</f>
        <v>6.4845601011517442E-2</v>
      </c>
      <c r="E138" s="227">
        <f>IF(E149=0,0,E146/E149)</f>
        <v>6.1261833042967194E-2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1.9666886008256106E-2</v>
      </c>
      <c r="D139" s="227">
        <f>IF(D149=0,0,D147/D149)</f>
        <v>1.6827448569793641E-2</v>
      </c>
      <c r="E139" s="227">
        <f>IF(E149=0,0,E147/E149)</f>
        <v>1.9988782057085284E-2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1.5437650808249315E-3</v>
      </c>
      <c r="D140" s="227">
        <f>IF(D149=0,0,D148/D149)</f>
        <v>1.7120451596651324E-3</v>
      </c>
      <c r="E140" s="227">
        <f>IF(E149=0,0,E148/E149)</f>
        <v>2.3442765903968934E-3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49386855</v>
      </c>
      <c r="D143" s="229">
        <f>+D46-D147</f>
        <v>48675731</v>
      </c>
      <c r="E143" s="229">
        <f>+E46-E147</f>
        <v>48371168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73523827</v>
      </c>
      <c r="D144" s="229">
        <f>+D51</f>
        <v>71370414</v>
      </c>
      <c r="E144" s="229">
        <f>+E51</f>
        <v>70759697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10729564</v>
      </c>
      <c r="D145" s="229">
        <f>+D55</f>
        <v>11585278</v>
      </c>
      <c r="E145" s="229">
        <f>+E55</f>
        <v>11957068</v>
      </c>
    </row>
    <row r="146" spans="1:7" ht="20.100000000000001" customHeight="1" x14ac:dyDescent="0.2">
      <c r="A146" s="226">
        <v>11</v>
      </c>
      <c r="B146" s="224" t="s">
        <v>400</v>
      </c>
      <c r="C146" s="228">
        <v>8452901</v>
      </c>
      <c r="D146" s="229">
        <v>9312219</v>
      </c>
      <c r="E146" s="229">
        <v>8763250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2855088</v>
      </c>
      <c r="D147" s="229">
        <f>+D47</f>
        <v>2416523</v>
      </c>
      <c r="E147" s="229">
        <f>+E47</f>
        <v>2859312</v>
      </c>
    </row>
    <row r="148" spans="1:7" ht="20.100000000000001" customHeight="1" x14ac:dyDescent="0.2">
      <c r="A148" s="226">
        <v>13</v>
      </c>
      <c r="B148" s="224" t="s">
        <v>402</v>
      </c>
      <c r="C148" s="230">
        <v>224112</v>
      </c>
      <c r="D148" s="229">
        <v>245860</v>
      </c>
      <c r="E148" s="229">
        <v>335339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145172347</v>
      </c>
      <c r="D149" s="229">
        <f>SUM(D143:D148)</f>
        <v>143606025</v>
      </c>
      <c r="E149" s="229">
        <f>SUM(E143:E148)</f>
        <v>143045834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0.42641642737057789</v>
      </c>
      <c r="D152" s="227">
        <f>IF(D166=0,0,D160/D166)</f>
        <v>0.44227290072450259</v>
      </c>
      <c r="E152" s="227">
        <f>IF(E166=0,0,E160/E166)</f>
        <v>0.44250547382888455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0.47931714353788263</v>
      </c>
      <c r="D153" s="227">
        <f>IF(D166=0,0,D161/D166)</f>
        <v>0.45690131930238448</v>
      </c>
      <c r="E153" s="227">
        <f>IF(E166=0,0,E161/E166)</f>
        <v>0.45407062573618345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4.960901740068481E-2</v>
      </c>
      <c r="D154" s="227">
        <f>IF(D166=0,0,D162/D166)</f>
        <v>5.2211719133433927E-2</v>
      </c>
      <c r="E154" s="227">
        <f>IF(E166=0,0,E162/E166)</f>
        <v>5.1582746003198822E-2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3.7676875421397402E-2</v>
      </c>
      <c r="D155" s="227">
        <f>IF(D166=0,0,D163/D166)</f>
        <v>4.2161551039922369E-2</v>
      </c>
      <c r="E155" s="227">
        <f>IF(E166=0,0,E163/E166)</f>
        <v>4.4707090744859179E-2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5.663281081913594E-3</v>
      </c>
      <c r="D156" s="227">
        <f>IF(D166=0,0,D164/D166)</f>
        <v>4.7037568279741128E-3</v>
      </c>
      <c r="E156" s="227">
        <f>IF(E166=0,0,E164/E166)</f>
        <v>4.493027745657012E-3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1.3172551875436601E-3</v>
      </c>
      <c r="D157" s="227">
        <f>IF(D166=0,0,D165/D166)</f>
        <v>1.7487529717825339E-3</v>
      </c>
      <c r="E157" s="227">
        <f>IF(E166=0,0,E165/E166)</f>
        <v>2.6410359412169784E-3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21036353</v>
      </c>
      <c r="D160" s="229">
        <f>+D44-D164</f>
        <v>21700230</v>
      </c>
      <c r="E160" s="229">
        <f>+E44-E164</f>
        <v>21646785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23646098</v>
      </c>
      <c r="D161" s="229">
        <f>+D50</f>
        <v>22417977</v>
      </c>
      <c r="E161" s="229">
        <f>+E50</f>
        <v>22212537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2447356</v>
      </c>
      <c r="D162" s="229">
        <f>+D54</f>
        <v>2561781</v>
      </c>
      <c r="E162" s="229">
        <f>+E54</f>
        <v>2523360</v>
      </c>
    </row>
    <row r="163" spans="1:6" ht="20.100000000000001" customHeight="1" x14ac:dyDescent="0.2">
      <c r="A163" s="226">
        <v>11</v>
      </c>
      <c r="B163" s="224" t="s">
        <v>415</v>
      </c>
      <c r="C163" s="228">
        <v>1858709</v>
      </c>
      <c r="D163" s="229">
        <v>2068667</v>
      </c>
      <c r="E163" s="229">
        <v>2187012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279386</v>
      </c>
      <c r="D164" s="229">
        <f>+D45</f>
        <v>230791</v>
      </c>
      <c r="E164" s="229">
        <f>+E45</f>
        <v>219793</v>
      </c>
    </row>
    <row r="165" spans="1:6" ht="20.100000000000001" customHeight="1" x14ac:dyDescent="0.2">
      <c r="A165" s="226">
        <v>13</v>
      </c>
      <c r="B165" s="224" t="s">
        <v>417</v>
      </c>
      <c r="C165" s="230">
        <v>64984</v>
      </c>
      <c r="D165" s="229">
        <v>85803</v>
      </c>
      <c r="E165" s="229">
        <v>129196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49332886</v>
      </c>
      <c r="D166" s="229">
        <f>SUM(D160:D165)</f>
        <v>49065249</v>
      </c>
      <c r="E166" s="229">
        <f>SUM(E160:E165)</f>
        <v>48918683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703</v>
      </c>
      <c r="D169" s="218">
        <v>647</v>
      </c>
      <c r="E169" s="218">
        <v>646</v>
      </c>
    </row>
    <row r="170" spans="1:6" ht="20.100000000000001" customHeight="1" x14ac:dyDescent="0.2">
      <c r="A170" s="226">
        <v>2</v>
      </c>
      <c r="B170" s="224" t="s">
        <v>420</v>
      </c>
      <c r="C170" s="218">
        <v>1461</v>
      </c>
      <c r="D170" s="218">
        <v>1410</v>
      </c>
      <c r="E170" s="218">
        <v>1319</v>
      </c>
    </row>
    <row r="171" spans="1:6" ht="20.100000000000001" customHeight="1" x14ac:dyDescent="0.2">
      <c r="A171" s="226">
        <v>3</v>
      </c>
      <c r="B171" s="224" t="s">
        <v>421</v>
      </c>
      <c r="C171" s="218">
        <v>447</v>
      </c>
      <c r="D171" s="218">
        <v>398</v>
      </c>
      <c r="E171" s="218">
        <v>432</v>
      </c>
    </row>
    <row r="172" spans="1:6" ht="20.100000000000001" customHeight="1" x14ac:dyDescent="0.2">
      <c r="A172" s="226">
        <v>4</v>
      </c>
      <c r="B172" s="224" t="s">
        <v>422</v>
      </c>
      <c r="C172" s="218">
        <v>235</v>
      </c>
      <c r="D172" s="218">
        <v>219</v>
      </c>
      <c r="E172" s="218">
        <v>268</v>
      </c>
    </row>
    <row r="173" spans="1:6" ht="20.100000000000001" customHeight="1" x14ac:dyDescent="0.2">
      <c r="A173" s="226">
        <v>5</v>
      </c>
      <c r="B173" s="224" t="s">
        <v>423</v>
      </c>
      <c r="C173" s="218">
        <v>212</v>
      </c>
      <c r="D173" s="218">
        <v>179</v>
      </c>
      <c r="E173" s="218">
        <v>164</v>
      </c>
    </row>
    <row r="174" spans="1:6" ht="20.100000000000001" customHeight="1" x14ac:dyDescent="0.2">
      <c r="A174" s="226">
        <v>6</v>
      </c>
      <c r="B174" s="224" t="s">
        <v>424</v>
      </c>
      <c r="C174" s="218">
        <v>5</v>
      </c>
      <c r="D174" s="218">
        <v>11</v>
      </c>
      <c r="E174" s="218">
        <v>13</v>
      </c>
    </row>
    <row r="175" spans="1:6" ht="20.100000000000001" customHeight="1" x14ac:dyDescent="0.2">
      <c r="A175" s="226">
        <v>7</v>
      </c>
      <c r="B175" s="224" t="s">
        <v>425</v>
      </c>
      <c r="C175" s="218">
        <v>40</v>
      </c>
      <c r="D175" s="218">
        <v>45</v>
      </c>
      <c r="E175" s="218">
        <v>51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2616</v>
      </c>
      <c r="D176" s="218">
        <f>+D169+D170+D171+D174</f>
        <v>2466</v>
      </c>
      <c r="E176" s="218">
        <f>+E169+E170+E171+E174</f>
        <v>2410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0.92369999999999997</v>
      </c>
      <c r="D179" s="231">
        <v>0.87690000000000001</v>
      </c>
      <c r="E179" s="231">
        <v>0.89429999999999998</v>
      </c>
    </row>
    <row r="180" spans="1:6" ht="20.100000000000001" customHeight="1" x14ac:dyDescent="0.2">
      <c r="A180" s="226">
        <v>2</v>
      </c>
      <c r="B180" s="224" t="s">
        <v>420</v>
      </c>
      <c r="C180" s="231">
        <v>1.1961999999999999</v>
      </c>
      <c r="D180" s="231">
        <v>1.1719999999999999</v>
      </c>
      <c r="E180" s="231">
        <v>1.2321</v>
      </c>
    </row>
    <row r="181" spans="1:6" ht="20.100000000000001" customHeight="1" x14ac:dyDescent="0.2">
      <c r="A181" s="226">
        <v>3</v>
      </c>
      <c r="B181" s="224" t="s">
        <v>421</v>
      </c>
      <c r="C181" s="231">
        <v>0.90741300000000003</v>
      </c>
      <c r="D181" s="231">
        <v>0.967391</v>
      </c>
      <c r="E181" s="231">
        <v>0.92259800000000003</v>
      </c>
    </row>
    <row r="182" spans="1:6" ht="20.100000000000001" customHeight="1" x14ac:dyDescent="0.2">
      <c r="A182" s="226">
        <v>4</v>
      </c>
      <c r="B182" s="224" t="s">
        <v>422</v>
      </c>
      <c r="C182" s="231">
        <v>0.93440000000000001</v>
      </c>
      <c r="D182" s="231">
        <v>0.93510000000000004</v>
      </c>
      <c r="E182" s="231">
        <v>0.87560000000000004</v>
      </c>
    </row>
    <row r="183" spans="1:6" ht="20.100000000000001" customHeight="1" x14ac:dyDescent="0.2">
      <c r="A183" s="226">
        <v>5</v>
      </c>
      <c r="B183" s="224" t="s">
        <v>423</v>
      </c>
      <c r="C183" s="231">
        <v>0.87749999999999995</v>
      </c>
      <c r="D183" s="231">
        <v>1.0068999999999999</v>
      </c>
      <c r="E183" s="231">
        <v>0.99939999999999996</v>
      </c>
    </row>
    <row r="184" spans="1:6" ht="20.100000000000001" customHeight="1" x14ac:dyDescent="0.2">
      <c r="A184" s="226">
        <v>6</v>
      </c>
      <c r="B184" s="224" t="s">
        <v>424</v>
      </c>
      <c r="C184" s="231">
        <v>0.68859999999999999</v>
      </c>
      <c r="D184" s="231">
        <v>0.875</v>
      </c>
      <c r="E184" s="231">
        <v>0.66910000000000003</v>
      </c>
    </row>
    <row r="185" spans="1:6" ht="20.100000000000001" customHeight="1" x14ac:dyDescent="0.2">
      <c r="A185" s="226">
        <v>7</v>
      </c>
      <c r="B185" s="224" t="s">
        <v>425</v>
      </c>
      <c r="C185" s="231">
        <v>0.75600000000000001</v>
      </c>
      <c r="D185" s="231">
        <v>0.73839999999999995</v>
      </c>
      <c r="E185" s="231">
        <v>0.87180000000000002</v>
      </c>
    </row>
    <row r="186" spans="1:6" ht="20.100000000000001" customHeight="1" x14ac:dyDescent="0.2">
      <c r="A186" s="226">
        <v>8</v>
      </c>
      <c r="B186" s="224" t="s">
        <v>429</v>
      </c>
      <c r="C186" s="231">
        <v>1.0726549999999999</v>
      </c>
      <c r="D186" s="231">
        <v>1.060227</v>
      </c>
      <c r="E186" s="231">
        <v>1.0830360000000001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1593</v>
      </c>
      <c r="D189" s="218">
        <v>1561</v>
      </c>
      <c r="E189" s="218">
        <v>1518</v>
      </c>
    </row>
    <row r="190" spans="1:6" ht="20.100000000000001" customHeight="1" x14ac:dyDescent="0.2">
      <c r="A190" s="226">
        <v>2</v>
      </c>
      <c r="B190" s="224" t="s">
        <v>433</v>
      </c>
      <c r="C190" s="218">
        <v>14825</v>
      </c>
      <c r="D190" s="218">
        <v>14819</v>
      </c>
      <c r="E190" s="218">
        <v>14155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16418</v>
      </c>
      <c r="D191" s="218">
        <f>+D190+D189</f>
        <v>16380</v>
      </c>
      <c r="E191" s="218">
        <f>+E190+E189</f>
        <v>15673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75" bottom="0.75" header="0.3" footer="0.3"/>
  <pageSetup scale="69" fitToHeight="0" orientation="portrait" r:id="rId1"/>
  <headerFooter>
    <oddHeader>&amp;LOFFICE OF HEALTH CARE ACCESS&amp;CTWELVE MONTHS ACTUAL FILING&amp;RESSENT-SHARON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94.85546875" style="235" bestFit="1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441092</v>
      </c>
      <c r="D14" s="258">
        <v>239701</v>
      </c>
      <c r="E14" s="258">
        <f t="shared" ref="E14:E24" si="0">D14-C14</f>
        <v>-201391</v>
      </c>
      <c r="F14" s="259">
        <f t="shared" ref="F14:F24" si="1">IF(C14=0,0,E14/C14)</f>
        <v>-0.45657368530828035</v>
      </c>
    </row>
    <row r="15" spans="1:7" ht="20.25" customHeight="1" x14ac:dyDescent="0.3">
      <c r="A15" s="256">
        <v>2</v>
      </c>
      <c r="B15" s="257" t="s">
        <v>442</v>
      </c>
      <c r="C15" s="258">
        <v>123016</v>
      </c>
      <c r="D15" s="258">
        <v>111394</v>
      </c>
      <c r="E15" s="258">
        <f t="shared" si="0"/>
        <v>-11622</v>
      </c>
      <c r="F15" s="259">
        <f t="shared" si="1"/>
        <v>-9.4475515380113159E-2</v>
      </c>
    </row>
    <row r="16" spans="1:7" ht="20.25" customHeight="1" x14ac:dyDescent="0.3">
      <c r="A16" s="256">
        <v>3</v>
      </c>
      <c r="B16" s="257" t="s">
        <v>443</v>
      </c>
      <c r="C16" s="258">
        <v>161657</v>
      </c>
      <c r="D16" s="258">
        <v>228529</v>
      </c>
      <c r="E16" s="258">
        <f t="shared" si="0"/>
        <v>66872</v>
      </c>
      <c r="F16" s="259">
        <f t="shared" si="1"/>
        <v>0.41366597177975589</v>
      </c>
    </row>
    <row r="17" spans="1:6" ht="20.25" customHeight="1" x14ac:dyDescent="0.3">
      <c r="A17" s="256">
        <v>4</v>
      </c>
      <c r="B17" s="257" t="s">
        <v>444</v>
      </c>
      <c r="C17" s="258">
        <v>38066</v>
      </c>
      <c r="D17" s="258">
        <v>34680</v>
      </c>
      <c r="E17" s="258">
        <f t="shared" si="0"/>
        <v>-3386</v>
      </c>
      <c r="F17" s="259">
        <f t="shared" si="1"/>
        <v>-8.8950769715756842E-2</v>
      </c>
    </row>
    <row r="18" spans="1:6" ht="20.25" customHeight="1" x14ac:dyDescent="0.3">
      <c r="A18" s="256">
        <v>5</v>
      </c>
      <c r="B18" s="257" t="s">
        <v>381</v>
      </c>
      <c r="C18" s="260">
        <v>9</v>
      </c>
      <c r="D18" s="260">
        <v>12</v>
      </c>
      <c r="E18" s="260">
        <f t="shared" si="0"/>
        <v>3</v>
      </c>
      <c r="F18" s="259">
        <f t="shared" si="1"/>
        <v>0.33333333333333331</v>
      </c>
    </row>
    <row r="19" spans="1:6" ht="20.25" customHeight="1" x14ac:dyDescent="0.3">
      <c r="A19" s="256">
        <v>6</v>
      </c>
      <c r="B19" s="257" t="s">
        <v>380</v>
      </c>
      <c r="C19" s="260">
        <v>71</v>
      </c>
      <c r="D19" s="260">
        <v>48</v>
      </c>
      <c r="E19" s="260">
        <f t="shared" si="0"/>
        <v>-23</v>
      </c>
      <c r="F19" s="259">
        <f t="shared" si="1"/>
        <v>-0.323943661971831</v>
      </c>
    </row>
    <row r="20" spans="1:6" ht="20.25" customHeight="1" x14ac:dyDescent="0.3">
      <c r="A20" s="256">
        <v>7</v>
      </c>
      <c r="B20" s="257" t="s">
        <v>445</v>
      </c>
      <c r="C20" s="260">
        <v>141</v>
      </c>
      <c r="D20" s="260">
        <v>201</v>
      </c>
      <c r="E20" s="260">
        <f t="shared" si="0"/>
        <v>60</v>
      </c>
      <c r="F20" s="259">
        <f t="shared" si="1"/>
        <v>0.42553191489361702</v>
      </c>
    </row>
    <row r="21" spans="1:6" ht="20.25" customHeight="1" x14ac:dyDescent="0.3">
      <c r="A21" s="256">
        <v>8</v>
      </c>
      <c r="B21" s="257" t="s">
        <v>446</v>
      </c>
      <c r="C21" s="260">
        <v>4</v>
      </c>
      <c r="D21" s="260">
        <v>16</v>
      </c>
      <c r="E21" s="260">
        <f t="shared" si="0"/>
        <v>12</v>
      </c>
      <c r="F21" s="259">
        <f t="shared" si="1"/>
        <v>3</v>
      </c>
    </row>
    <row r="22" spans="1:6" ht="20.25" customHeight="1" x14ac:dyDescent="0.3">
      <c r="A22" s="256">
        <v>9</v>
      </c>
      <c r="B22" s="257" t="s">
        <v>447</v>
      </c>
      <c r="C22" s="260">
        <v>6</v>
      </c>
      <c r="D22" s="260">
        <v>10</v>
      </c>
      <c r="E22" s="260">
        <f t="shared" si="0"/>
        <v>4</v>
      </c>
      <c r="F22" s="259">
        <f t="shared" si="1"/>
        <v>0.66666666666666663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602749</v>
      </c>
      <c r="D23" s="263">
        <f>+D14+D16</f>
        <v>468230</v>
      </c>
      <c r="E23" s="263">
        <f t="shared" si="0"/>
        <v>-134519</v>
      </c>
      <c r="F23" s="264">
        <f t="shared" si="1"/>
        <v>-0.22317581613573809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161082</v>
      </c>
      <c r="D24" s="263">
        <f>+D15+D17</f>
        <v>146074</v>
      </c>
      <c r="E24" s="263">
        <f t="shared" si="0"/>
        <v>-15008</v>
      </c>
      <c r="F24" s="264">
        <f t="shared" si="1"/>
        <v>-9.3169938292298332E-2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370850</v>
      </c>
      <c r="D40" s="258">
        <v>399843</v>
      </c>
      <c r="E40" s="258">
        <f t="shared" ref="E40:E50" si="4">D40-C40</f>
        <v>28993</v>
      </c>
      <c r="F40" s="259">
        <f t="shared" ref="F40:F50" si="5">IF(C40=0,0,E40/C40)</f>
        <v>7.8179857085074828E-2</v>
      </c>
    </row>
    <row r="41" spans="1:6" ht="20.25" customHeight="1" x14ac:dyDescent="0.3">
      <c r="A41" s="256">
        <v>2</v>
      </c>
      <c r="B41" s="257" t="s">
        <v>442</v>
      </c>
      <c r="C41" s="258">
        <v>161457</v>
      </c>
      <c r="D41" s="258">
        <v>168498</v>
      </c>
      <c r="E41" s="258">
        <f t="shared" si="4"/>
        <v>7041</v>
      </c>
      <c r="F41" s="259">
        <f t="shared" si="5"/>
        <v>4.3609134320593101E-2</v>
      </c>
    </row>
    <row r="42" spans="1:6" ht="20.25" customHeight="1" x14ac:dyDescent="0.3">
      <c r="A42" s="256">
        <v>3</v>
      </c>
      <c r="B42" s="257" t="s">
        <v>443</v>
      </c>
      <c r="C42" s="258">
        <v>768822</v>
      </c>
      <c r="D42" s="258">
        <v>640513</v>
      </c>
      <c r="E42" s="258">
        <f t="shared" si="4"/>
        <v>-128309</v>
      </c>
      <c r="F42" s="259">
        <f t="shared" si="5"/>
        <v>-0.16689038555088173</v>
      </c>
    </row>
    <row r="43" spans="1:6" ht="20.25" customHeight="1" x14ac:dyDescent="0.3">
      <c r="A43" s="256">
        <v>4</v>
      </c>
      <c r="B43" s="257" t="s">
        <v>444</v>
      </c>
      <c r="C43" s="258">
        <v>157172</v>
      </c>
      <c r="D43" s="258">
        <v>98435</v>
      </c>
      <c r="E43" s="258">
        <f t="shared" si="4"/>
        <v>-58737</v>
      </c>
      <c r="F43" s="259">
        <f t="shared" si="5"/>
        <v>-0.37371160257552238</v>
      </c>
    </row>
    <row r="44" spans="1:6" ht="20.25" customHeight="1" x14ac:dyDescent="0.3">
      <c r="A44" s="256">
        <v>5</v>
      </c>
      <c r="B44" s="257" t="s">
        <v>381</v>
      </c>
      <c r="C44" s="260">
        <v>17</v>
      </c>
      <c r="D44" s="260">
        <v>16</v>
      </c>
      <c r="E44" s="260">
        <f t="shared" si="4"/>
        <v>-1</v>
      </c>
      <c r="F44" s="259">
        <f t="shared" si="5"/>
        <v>-5.8823529411764705E-2</v>
      </c>
    </row>
    <row r="45" spans="1:6" ht="20.25" customHeight="1" x14ac:dyDescent="0.3">
      <c r="A45" s="256">
        <v>6</v>
      </c>
      <c r="B45" s="257" t="s">
        <v>380</v>
      </c>
      <c r="C45" s="260">
        <v>95</v>
      </c>
      <c r="D45" s="260">
        <v>97</v>
      </c>
      <c r="E45" s="260">
        <f t="shared" si="4"/>
        <v>2</v>
      </c>
      <c r="F45" s="259">
        <f t="shared" si="5"/>
        <v>2.1052631578947368E-2</v>
      </c>
    </row>
    <row r="46" spans="1:6" ht="20.25" customHeight="1" x14ac:dyDescent="0.3">
      <c r="A46" s="256">
        <v>7</v>
      </c>
      <c r="B46" s="257" t="s">
        <v>445</v>
      </c>
      <c r="C46" s="260">
        <v>652</v>
      </c>
      <c r="D46" s="260">
        <v>695</v>
      </c>
      <c r="E46" s="260">
        <f t="shared" si="4"/>
        <v>43</v>
      </c>
      <c r="F46" s="259">
        <f t="shared" si="5"/>
        <v>6.5950920245398767E-2</v>
      </c>
    </row>
    <row r="47" spans="1:6" ht="20.25" customHeight="1" x14ac:dyDescent="0.3">
      <c r="A47" s="256">
        <v>8</v>
      </c>
      <c r="B47" s="257" t="s">
        <v>446</v>
      </c>
      <c r="C47" s="260">
        <v>37</v>
      </c>
      <c r="D47" s="260">
        <v>45</v>
      </c>
      <c r="E47" s="260">
        <f t="shared" si="4"/>
        <v>8</v>
      </c>
      <c r="F47" s="259">
        <f t="shared" si="5"/>
        <v>0.21621621621621623</v>
      </c>
    </row>
    <row r="48" spans="1:6" ht="20.25" customHeight="1" x14ac:dyDescent="0.3">
      <c r="A48" s="256">
        <v>9</v>
      </c>
      <c r="B48" s="257" t="s">
        <v>447</v>
      </c>
      <c r="C48" s="260">
        <v>9</v>
      </c>
      <c r="D48" s="260">
        <v>9</v>
      </c>
      <c r="E48" s="260">
        <f t="shared" si="4"/>
        <v>0</v>
      </c>
      <c r="F48" s="259">
        <f t="shared" si="5"/>
        <v>0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1139672</v>
      </c>
      <c r="D49" s="263">
        <f>+D40+D42</f>
        <v>1040356</v>
      </c>
      <c r="E49" s="263">
        <f t="shared" si="4"/>
        <v>-99316</v>
      </c>
      <c r="F49" s="264">
        <f t="shared" si="5"/>
        <v>-8.7144371362988651E-2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318629</v>
      </c>
      <c r="D50" s="263">
        <f>+D41+D43</f>
        <v>266933</v>
      </c>
      <c r="E50" s="263">
        <f t="shared" si="4"/>
        <v>-51696</v>
      </c>
      <c r="F50" s="264">
        <f t="shared" si="5"/>
        <v>-0.16224511893142182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354536</v>
      </c>
      <c r="D66" s="258">
        <v>1060813</v>
      </c>
      <c r="E66" s="258">
        <f t="shared" ref="E66:E76" si="8">D66-C66</f>
        <v>706277</v>
      </c>
      <c r="F66" s="259">
        <f t="shared" ref="F66:F76" si="9">IF(C66=0,0,E66/C66)</f>
        <v>1.9921164564388383</v>
      </c>
    </row>
    <row r="67" spans="1:6" ht="20.25" customHeight="1" x14ac:dyDescent="0.3">
      <c r="A67" s="256">
        <v>2</v>
      </c>
      <c r="B67" s="257" t="s">
        <v>442</v>
      </c>
      <c r="C67" s="258">
        <v>186362</v>
      </c>
      <c r="D67" s="258">
        <v>424472</v>
      </c>
      <c r="E67" s="258">
        <f t="shared" si="8"/>
        <v>238110</v>
      </c>
      <c r="F67" s="259">
        <f t="shared" si="9"/>
        <v>1.2776746332406821</v>
      </c>
    </row>
    <row r="68" spans="1:6" ht="20.25" customHeight="1" x14ac:dyDescent="0.3">
      <c r="A68" s="256">
        <v>3</v>
      </c>
      <c r="B68" s="257" t="s">
        <v>443</v>
      </c>
      <c r="C68" s="258">
        <v>331265</v>
      </c>
      <c r="D68" s="258">
        <v>758772</v>
      </c>
      <c r="E68" s="258">
        <f t="shared" si="8"/>
        <v>427507</v>
      </c>
      <c r="F68" s="259">
        <f t="shared" si="9"/>
        <v>1.2905287307744555</v>
      </c>
    </row>
    <row r="69" spans="1:6" ht="20.25" customHeight="1" x14ac:dyDescent="0.3">
      <c r="A69" s="256">
        <v>4</v>
      </c>
      <c r="B69" s="257" t="s">
        <v>444</v>
      </c>
      <c r="C69" s="258">
        <v>62458</v>
      </c>
      <c r="D69" s="258">
        <v>103691</v>
      </c>
      <c r="E69" s="258">
        <f t="shared" si="8"/>
        <v>41233</v>
      </c>
      <c r="F69" s="259">
        <f t="shared" si="9"/>
        <v>0.66017163533894774</v>
      </c>
    </row>
    <row r="70" spans="1:6" ht="20.25" customHeight="1" x14ac:dyDescent="0.3">
      <c r="A70" s="256">
        <v>5</v>
      </c>
      <c r="B70" s="257" t="s">
        <v>381</v>
      </c>
      <c r="C70" s="260">
        <v>15</v>
      </c>
      <c r="D70" s="260">
        <v>37</v>
      </c>
      <c r="E70" s="260">
        <f t="shared" si="8"/>
        <v>22</v>
      </c>
      <c r="F70" s="259">
        <f t="shared" si="9"/>
        <v>1.4666666666666666</v>
      </c>
    </row>
    <row r="71" spans="1:6" ht="20.25" customHeight="1" x14ac:dyDescent="0.3">
      <c r="A71" s="256">
        <v>6</v>
      </c>
      <c r="B71" s="257" t="s">
        <v>380</v>
      </c>
      <c r="C71" s="260">
        <v>75</v>
      </c>
      <c r="D71" s="260">
        <v>232</v>
      </c>
      <c r="E71" s="260">
        <f t="shared" si="8"/>
        <v>157</v>
      </c>
      <c r="F71" s="259">
        <f t="shared" si="9"/>
        <v>2.0933333333333333</v>
      </c>
    </row>
    <row r="72" spans="1:6" ht="20.25" customHeight="1" x14ac:dyDescent="0.3">
      <c r="A72" s="256">
        <v>7</v>
      </c>
      <c r="B72" s="257" t="s">
        <v>445</v>
      </c>
      <c r="C72" s="260">
        <v>243</v>
      </c>
      <c r="D72" s="260">
        <v>296</v>
      </c>
      <c r="E72" s="260">
        <f t="shared" si="8"/>
        <v>53</v>
      </c>
      <c r="F72" s="259">
        <f t="shared" si="9"/>
        <v>0.21810699588477367</v>
      </c>
    </row>
    <row r="73" spans="1:6" ht="20.25" customHeight="1" x14ac:dyDescent="0.3">
      <c r="A73" s="256">
        <v>8</v>
      </c>
      <c r="B73" s="257" t="s">
        <v>446</v>
      </c>
      <c r="C73" s="260">
        <v>50</v>
      </c>
      <c r="D73" s="260">
        <v>108</v>
      </c>
      <c r="E73" s="260">
        <f t="shared" si="8"/>
        <v>58</v>
      </c>
      <c r="F73" s="259">
        <f t="shared" si="9"/>
        <v>1.1599999999999999</v>
      </c>
    </row>
    <row r="74" spans="1:6" ht="20.25" customHeight="1" x14ac:dyDescent="0.3">
      <c r="A74" s="256">
        <v>9</v>
      </c>
      <c r="B74" s="257" t="s">
        <v>447</v>
      </c>
      <c r="C74" s="260">
        <v>13</v>
      </c>
      <c r="D74" s="260">
        <v>31</v>
      </c>
      <c r="E74" s="260">
        <f t="shared" si="8"/>
        <v>18</v>
      </c>
      <c r="F74" s="259">
        <f t="shared" si="9"/>
        <v>1.3846153846153846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685801</v>
      </c>
      <c r="D75" s="263">
        <f>+D66+D68</f>
        <v>1819585</v>
      </c>
      <c r="E75" s="263">
        <f t="shared" si="8"/>
        <v>1133784</v>
      </c>
      <c r="F75" s="264">
        <f t="shared" si="9"/>
        <v>1.6532259358035348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248820</v>
      </c>
      <c r="D76" s="263">
        <f>+D67+D69</f>
        <v>528163</v>
      </c>
      <c r="E76" s="263">
        <f t="shared" si="8"/>
        <v>279343</v>
      </c>
      <c r="F76" s="264">
        <f t="shared" si="9"/>
        <v>1.1226710071537658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656</v>
      </c>
      <c r="D81" s="258">
        <v>4241</v>
      </c>
      <c r="E81" s="258">
        <f t="shared" si="10"/>
        <v>3585</v>
      </c>
      <c r="F81" s="259">
        <f t="shared" si="11"/>
        <v>5.4649390243902438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675</v>
      </c>
      <c r="E82" s="258">
        <f t="shared" si="10"/>
        <v>675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1</v>
      </c>
      <c r="D85" s="260">
        <v>3</v>
      </c>
      <c r="E85" s="260">
        <f t="shared" si="10"/>
        <v>2</v>
      </c>
      <c r="F85" s="259">
        <f t="shared" si="11"/>
        <v>2</v>
      </c>
    </row>
    <row r="86" spans="1:6" ht="20.25" customHeight="1" x14ac:dyDescent="0.3">
      <c r="A86" s="256">
        <v>8</v>
      </c>
      <c r="B86" s="257" t="s">
        <v>446</v>
      </c>
      <c r="C86" s="260">
        <v>1</v>
      </c>
      <c r="D86" s="260">
        <v>1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656</v>
      </c>
      <c r="D88" s="263">
        <f>+D79+D81</f>
        <v>4241</v>
      </c>
      <c r="E88" s="263">
        <f t="shared" si="10"/>
        <v>3585</v>
      </c>
      <c r="F88" s="264">
        <f t="shared" si="11"/>
        <v>5.4649390243902438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675</v>
      </c>
      <c r="E89" s="263">
        <f t="shared" si="10"/>
        <v>675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101566</v>
      </c>
      <c r="D105" s="258">
        <v>0</v>
      </c>
      <c r="E105" s="258">
        <f t="shared" ref="E105:E115" si="14">D105-C105</f>
        <v>-101566</v>
      </c>
      <c r="F105" s="259">
        <f t="shared" ref="F105:F115" si="15">IF(C105=0,0,E105/C105)</f>
        <v>-1</v>
      </c>
    </row>
    <row r="106" spans="1:6" ht="20.25" customHeight="1" x14ac:dyDescent="0.3">
      <c r="A106" s="256">
        <v>2</v>
      </c>
      <c r="B106" s="257" t="s">
        <v>442</v>
      </c>
      <c r="C106" s="258">
        <v>21762</v>
      </c>
      <c r="D106" s="258">
        <v>0</v>
      </c>
      <c r="E106" s="258">
        <f t="shared" si="14"/>
        <v>-21762</v>
      </c>
      <c r="F106" s="259">
        <f t="shared" si="15"/>
        <v>-1</v>
      </c>
    </row>
    <row r="107" spans="1:6" ht="20.25" customHeight="1" x14ac:dyDescent="0.3">
      <c r="A107" s="256">
        <v>3</v>
      </c>
      <c r="B107" s="257" t="s">
        <v>443</v>
      </c>
      <c r="C107" s="258">
        <v>15246</v>
      </c>
      <c r="D107" s="258">
        <v>360</v>
      </c>
      <c r="E107" s="258">
        <f t="shared" si="14"/>
        <v>-14886</v>
      </c>
      <c r="F107" s="259">
        <f t="shared" si="15"/>
        <v>-0.97638724911452179</v>
      </c>
    </row>
    <row r="108" spans="1:6" ht="20.25" customHeight="1" x14ac:dyDescent="0.3">
      <c r="A108" s="256">
        <v>4</v>
      </c>
      <c r="B108" s="257" t="s">
        <v>444</v>
      </c>
      <c r="C108" s="258">
        <v>2581</v>
      </c>
      <c r="D108" s="258">
        <v>50</v>
      </c>
      <c r="E108" s="258">
        <f t="shared" si="14"/>
        <v>-2531</v>
      </c>
      <c r="F108" s="259">
        <f t="shared" si="15"/>
        <v>-0.98062766369624177</v>
      </c>
    </row>
    <row r="109" spans="1:6" ht="20.25" customHeight="1" x14ac:dyDescent="0.3">
      <c r="A109" s="256">
        <v>5</v>
      </c>
      <c r="B109" s="257" t="s">
        <v>381</v>
      </c>
      <c r="C109" s="260">
        <v>3</v>
      </c>
      <c r="D109" s="260">
        <v>0</v>
      </c>
      <c r="E109" s="260">
        <f t="shared" si="14"/>
        <v>-3</v>
      </c>
      <c r="F109" s="259">
        <f t="shared" si="15"/>
        <v>-1</v>
      </c>
    </row>
    <row r="110" spans="1:6" ht="20.25" customHeight="1" x14ac:dyDescent="0.3">
      <c r="A110" s="256">
        <v>6</v>
      </c>
      <c r="B110" s="257" t="s">
        <v>380</v>
      </c>
      <c r="C110" s="260">
        <v>28</v>
      </c>
      <c r="D110" s="260">
        <v>0</v>
      </c>
      <c r="E110" s="260">
        <f t="shared" si="14"/>
        <v>-28</v>
      </c>
      <c r="F110" s="259">
        <f t="shared" si="15"/>
        <v>-1</v>
      </c>
    </row>
    <row r="111" spans="1:6" ht="20.25" customHeight="1" x14ac:dyDescent="0.3">
      <c r="A111" s="256">
        <v>7</v>
      </c>
      <c r="B111" s="257" t="s">
        <v>445</v>
      </c>
      <c r="C111" s="260">
        <v>4</v>
      </c>
      <c r="D111" s="260">
        <v>0</v>
      </c>
      <c r="E111" s="260">
        <f t="shared" si="14"/>
        <v>-4</v>
      </c>
      <c r="F111" s="259">
        <f t="shared" si="15"/>
        <v>-1</v>
      </c>
    </row>
    <row r="112" spans="1:6" ht="20.25" customHeight="1" x14ac:dyDescent="0.3">
      <c r="A112" s="256">
        <v>8</v>
      </c>
      <c r="B112" s="257" t="s">
        <v>446</v>
      </c>
      <c r="C112" s="260">
        <v>5</v>
      </c>
      <c r="D112" s="260">
        <v>1</v>
      </c>
      <c r="E112" s="260">
        <f t="shared" si="14"/>
        <v>-4</v>
      </c>
      <c r="F112" s="259">
        <f t="shared" si="15"/>
        <v>-0.8</v>
      </c>
    </row>
    <row r="113" spans="1:6" ht="20.25" customHeight="1" x14ac:dyDescent="0.3">
      <c r="A113" s="256">
        <v>9</v>
      </c>
      <c r="B113" s="257" t="s">
        <v>447</v>
      </c>
      <c r="C113" s="260">
        <v>1</v>
      </c>
      <c r="D113" s="260">
        <v>0</v>
      </c>
      <c r="E113" s="260">
        <f t="shared" si="14"/>
        <v>-1</v>
      </c>
      <c r="F113" s="259">
        <f t="shared" si="15"/>
        <v>-1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116812</v>
      </c>
      <c r="D114" s="263">
        <f>+D105+D107</f>
        <v>360</v>
      </c>
      <c r="E114" s="263">
        <f t="shared" si="14"/>
        <v>-116452</v>
      </c>
      <c r="F114" s="264">
        <f t="shared" si="15"/>
        <v>-0.9969181248501866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24343</v>
      </c>
      <c r="D115" s="263">
        <f>+D106+D108</f>
        <v>50</v>
      </c>
      <c r="E115" s="263">
        <f t="shared" si="14"/>
        <v>-24293</v>
      </c>
      <c r="F115" s="264">
        <f t="shared" si="15"/>
        <v>-0.99794602144353617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697664</v>
      </c>
      <c r="D118" s="258">
        <v>240633</v>
      </c>
      <c r="E118" s="258">
        <f t="shared" ref="E118:E128" si="16">D118-C118</f>
        <v>-457031</v>
      </c>
      <c r="F118" s="259">
        <f t="shared" ref="F118:F128" si="17">IF(C118=0,0,E118/C118)</f>
        <v>-0.65508754930740298</v>
      </c>
    </row>
    <row r="119" spans="1:6" ht="20.25" customHeight="1" x14ac:dyDescent="0.3">
      <c r="A119" s="256">
        <v>2</v>
      </c>
      <c r="B119" s="257" t="s">
        <v>442</v>
      </c>
      <c r="C119" s="258">
        <v>220297</v>
      </c>
      <c r="D119" s="258">
        <v>59840</v>
      </c>
      <c r="E119" s="258">
        <f t="shared" si="16"/>
        <v>-160457</v>
      </c>
      <c r="F119" s="259">
        <f t="shared" si="17"/>
        <v>-0.72836670494831979</v>
      </c>
    </row>
    <row r="120" spans="1:6" ht="20.25" customHeight="1" x14ac:dyDescent="0.3">
      <c r="A120" s="256">
        <v>3</v>
      </c>
      <c r="B120" s="257" t="s">
        <v>443</v>
      </c>
      <c r="C120" s="258">
        <v>529736</v>
      </c>
      <c r="D120" s="258">
        <v>801891</v>
      </c>
      <c r="E120" s="258">
        <f t="shared" si="16"/>
        <v>272155</v>
      </c>
      <c r="F120" s="259">
        <f t="shared" si="17"/>
        <v>0.51375590860353082</v>
      </c>
    </row>
    <row r="121" spans="1:6" ht="20.25" customHeight="1" x14ac:dyDescent="0.3">
      <c r="A121" s="256">
        <v>4</v>
      </c>
      <c r="B121" s="257" t="s">
        <v>444</v>
      </c>
      <c r="C121" s="258">
        <v>105695</v>
      </c>
      <c r="D121" s="258">
        <v>134350</v>
      </c>
      <c r="E121" s="258">
        <f t="shared" si="16"/>
        <v>28655</v>
      </c>
      <c r="F121" s="259">
        <f t="shared" si="17"/>
        <v>0.27111027011684563</v>
      </c>
    </row>
    <row r="122" spans="1:6" ht="20.25" customHeight="1" x14ac:dyDescent="0.3">
      <c r="A122" s="256">
        <v>5</v>
      </c>
      <c r="B122" s="257" t="s">
        <v>381</v>
      </c>
      <c r="C122" s="260">
        <v>24</v>
      </c>
      <c r="D122" s="260">
        <v>14</v>
      </c>
      <c r="E122" s="260">
        <f t="shared" si="16"/>
        <v>-10</v>
      </c>
      <c r="F122" s="259">
        <f t="shared" si="17"/>
        <v>-0.41666666666666669</v>
      </c>
    </row>
    <row r="123" spans="1:6" ht="20.25" customHeight="1" x14ac:dyDescent="0.3">
      <c r="A123" s="256">
        <v>6</v>
      </c>
      <c r="B123" s="257" t="s">
        <v>380</v>
      </c>
      <c r="C123" s="260">
        <v>139</v>
      </c>
      <c r="D123" s="260">
        <v>44</v>
      </c>
      <c r="E123" s="260">
        <f t="shared" si="16"/>
        <v>-95</v>
      </c>
      <c r="F123" s="259">
        <f t="shared" si="17"/>
        <v>-0.68345323741007191</v>
      </c>
    </row>
    <row r="124" spans="1:6" ht="20.25" customHeight="1" x14ac:dyDescent="0.3">
      <c r="A124" s="256">
        <v>7</v>
      </c>
      <c r="B124" s="257" t="s">
        <v>445</v>
      </c>
      <c r="C124" s="260">
        <v>556</v>
      </c>
      <c r="D124" s="260">
        <v>770</v>
      </c>
      <c r="E124" s="260">
        <f t="shared" si="16"/>
        <v>214</v>
      </c>
      <c r="F124" s="259">
        <f t="shared" si="17"/>
        <v>0.38489208633093525</v>
      </c>
    </row>
    <row r="125" spans="1:6" ht="20.25" customHeight="1" x14ac:dyDescent="0.3">
      <c r="A125" s="256">
        <v>8</v>
      </c>
      <c r="B125" s="257" t="s">
        <v>446</v>
      </c>
      <c r="C125" s="260">
        <v>39</v>
      </c>
      <c r="D125" s="260">
        <v>62</v>
      </c>
      <c r="E125" s="260">
        <f t="shared" si="16"/>
        <v>23</v>
      </c>
      <c r="F125" s="259">
        <f t="shared" si="17"/>
        <v>0.58974358974358976</v>
      </c>
    </row>
    <row r="126" spans="1:6" ht="20.25" customHeight="1" x14ac:dyDescent="0.3">
      <c r="A126" s="256">
        <v>9</v>
      </c>
      <c r="B126" s="257" t="s">
        <v>447</v>
      </c>
      <c r="C126" s="260">
        <v>16</v>
      </c>
      <c r="D126" s="260">
        <v>12</v>
      </c>
      <c r="E126" s="260">
        <f t="shared" si="16"/>
        <v>-4</v>
      </c>
      <c r="F126" s="259">
        <f t="shared" si="17"/>
        <v>-0.25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1227400</v>
      </c>
      <c r="D127" s="263">
        <f>+D118+D120</f>
        <v>1042524</v>
      </c>
      <c r="E127" s="263">
        <f t="shared" si="16"/>
        <v>-184876</v>
      </c>
      <c r="F127" s="264">
        <f t="shared" si="17"/>
        <v>-0.15062408342838521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325992</v>
      </c>
      <c r="D128" s="263">
        <f>+D119+D121</f>
        <v>194190</v>
      </c>
      <c r="E128" s="263">
        <f t="shared" si="16"/>
        <v>-131802</v>
      </c>
      <c r="F128" s="264">
        <f t="shared" si="17"/>
        <v>-0.40431053522785837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2288</v>
      </c>
      <c r="D133" s="258">
        <v>0</v>
      </c>
      <c r="E133" s="258">
        <f t="shared" si="18"/>
        <v>-2288</v>
      </c>
      <c r="F133" s="259">
        <f t="shared" si="19"/>
        <v>-1</v>
      </c>
    </row>
    <row r="134" spans="1:6" ht="20.25" customHeight="1" x14ac:dyDescent="0.3">
      <c r="A134" s="256">
        <v>4</v>
      </c>
      <c r="B134" s="257" t="s">
        <v>444</v>
      </c>
      <c r="C134" s="258">
        <v>397</v>
      </c>
      <c r="D134" s="258">
        <v>0</v>
      </c>
      <c r="E134" s="258">
        <f t="shared" si="18"/>
        <v>-397</v>
      </c>
      <c r="F134" s="259">
        <f t="shared" si="19"/>
        <v>-1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1</v>
      </c>
      <c r="D138" s="260">
        <v>0</v>
      </c>
      <c r="E138" s="260">
        <f t="shared" si="18"/>
        <v>-1</v>
      </c>
      <c r="F138" s="259">
        <f t="shared" si="19"/>
        <v>-1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2288</v>
      </c>
      <c r="D140" s="263">
        <f>+D131+D133</f>
        <v>0</v>
      </c>
      <c r="E140" s="263">
        <f t="shared" si="18"/>
        <v>-2288</v>
      </c>
      <c r="F140" s="264">
        <f t="shared" si="19"/>
        <v>-1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397</v>
      </c>
      <c r="D141" s="263">
        <f>+D132+D134</f>
        <v>0</v>
      </c>
      <c r="E141" s="263">
        <f t="shared" si="18"/>
        <v>-397</v>
      </c>
      <c r="F141" s="264">
        <f t="shared" si="19"/>
        <v>-1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1593077</v>
      </c>
      <c r="D183" s="258">
        <v>1344147</v>
      </c>
      <c r="E183" s="258">
        <f t="shared" ref="E183:E193" si="26">D183-C183</f>
        <v>-248930</v>
      </c>
      <c r="F183" s="259">
        <f t="shared" ref="F183:F193" si="27">IF(C183=0,0,E183/C183)</f>
        <v>-0.15625735604744781</v>
      </c>
    </row>
    <row r="184" spans="1:6" ht="20.25" customHeight="1" x14ac:dyDescent="0.3">
      <c r="A184" s="256">
        <v>2</v>
      </c>
      <c r="B184" s="257" t="s">
        <v>442</v>
      </c>
      <c r="C184" s="258">
        <v>563936</v>
      </c>
      <c r="D184" s="258">
        <v>511132</v>
      </c>
      <c r="E184" s="258">
        <f t="shared" si="26"/>
        <v>-52804</v>
      </c>
      <c r="F184" s="259">
        <f t="shared" si="27"/>
        <v>-9.3634738693752481E-2</v>
      </c>
    </row>
    <row r="185" spans="1:6" ht="20.25" customHeight="1" x14ac:dyDescent="0.3">
      <c r="A185" s="256">
        <v>3</v>
      </c>
      <c r="B185" s="257" t="s">
        <v>443</v>
      </c>
      <c r="C185" s="258">
        <v>1242737</v>
      </c>
      <c r="D185" s="258">
        <v>1148219</v>
      </c>
      <c r="E185" s="258">
        <f t="shared" si="26"/>
        <v>-94518</v>
      </c>
      <c r="F185" s="259">
        <f t="shared" si="27"/>
        <v>-7.6056317627945416E-2</v>
      </c>
    </row>
    <row r="186" spans="1:6" ht="20.25" customHeight="1" x14ac:dyDescent="0.3">
      <c r="A186" s="256">
        <v>4</v>
      </c>
      <c r="B186" s="257" t="s">
        <v>444</v>
      </c>
      <c r="C186" s="258">
        <v>239101</v>
      </c>
      <c r="D186" s="258">
        <v>164886</v>
      </c>
      <c r="E186" s="258">
        <f t="shared" si="26"/>
        <v>-74215</v>
      </c>
      <c r="F186" s="259">
        <f t="shared" si="27"/>
        <v>-0.31039184277773829</v>
      </c>
    </row>
    <row r="187" spans="1:6" ht="20.25" customHeight="1" x14ac:dyDescent="0.3">
      <c r="A187" s="256">
        <v>5</v>
      </c>
      <c r="B187" s="257" t="s">
        <v>381</v>
      </c>
      <c r="C187" s="260">
        <v>63</v>
      </c>
      <c r="D187" s="260">
        <v>52</v>
      </c>
      <c r="E187" s="260">
        <f t="shared" si="26"/>
        <v>-11</v>
      </c>
      <c r="F187" s="259">
        <f t="shared" si="27"/>
        <v>-0.17460317460317459</v>
      </c>
    </row>
    <row r="188" spans="1:6" ht="20.25" customHeight="1" x14ac:dyDescent="0.3">
      <c r="A188" s="256">
        <v>6</v>
      </c>
      <c r="B188" s="257" t="s">
        <v>380</v>
      </c>
      <c r="C188" s="260">
        <v>421</v>
      </c>
      <c r="D188" s="260">
        <v>301</v>
      </c>
      <c r="E188" s="260">
        <f t="shared" si="26"/>
        <v>-120</v>
      </c>
      <c r="F188" s="259">
        <f t="shared" si="27"/>
        <v>-0.28503562945368172</v>
      </c>
    </row>
    <row r="189" spans="1:6" ht="20.25" customHeight="1" x14ac:dyDescent="0.3">
      <c r="A189" s="256">
        <v>7</v>
      </c>
      <c r="B189" s="257" t="s">
        <v>445</v>
      </c>
      <c r="C189" s="260">
        <v>959</v>
      </c>
      <c r="D189" s="260">
        <v>963</v>
      </c>
      <c r="E189" s="260">
        <f t="shared" si="26"/>
        <v>4</v>
      </c>
      <c r="F189" s="259">
        <f t="shared" si="27"/>
        <v>4.1710114702815434E-3</v>
      </c>
    </row>
    <row r="190" spans="1:6" ht="20.25" customHeight="1" x14ac:dyDescent="0.3">
      <c r="A190" s="256">
        <v>8</v>
      </c>
      <c r="B190" s="257" t="s">
        <v>446</v>
      </c>
      <c r="C190" s="260">
        <v>130</v>
      </c>
      <c r="D190" s="260">
        <v>115</v>
      </c>
      <c r="E190" s="260">
        <f t="shared" si="26"/>
        <v>-15</v>
      </c>
      <c r="F190" s="259">
        <f t="shared" si="27"/>
        <v>-0.11538461538461539</v>
      </c>
    </row>
    <row r="191" spans="1:6" ht="20.25" customHeight="1" x14ac:dyDescent="0.3">
      <c r="A191" s="256">
        <v>9</v>
      </c>
      <c r="B191" s="257" t="s">
        <v>447</v>
      </c>
      <c r="C191" s="260">
        <v>39</v>
      </c>
      <c r="D191" s="260">
        <v>32</v>
      </c>
      <c r="E191" s="260">
        <f t="shared" si="26"/>
        <v>-7</v>
      </c>
      <c r="F191" s="259">
        <f t="shared" si="27"/>
        <v>-0.17948717948717949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2835814</v>
      </c>
      <c r="D192" s="263">
        <f>+D183+D185</f>
        <v>2492366</v>
      </c>
      <c r="E192" s="263">
        <f t="shared" si="26"/>
        <v>-343448</v>
      </c>
      <c r="F192" s="264">
        <f t="shared" si="27"/>
        <v>-0.12111090501704272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803037</v>
      </c>
      <c r="D193" s="263">
        <f>+D184+D186</f>
        <v>676018</v>
      </c>
      <c r="E193" s="263">
        <f t="shared" si="26"/>
        <v>-127019</v>
      </c>
      <c r="F193" s="264">
        <f t="shared" si="27"/>
        <v>-0.15817328466807881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3558785</v>
      </c>
      <c r="D198" s="263">
        <f t="shared" si="28"/>
        <v>3285137</v>
      </c>
      <c r="E198" s="263">
        <f t="shared" ref="E198:E208" si="29">D198-C198</f>
        <v>-273648</v>
      </c>
      <c r="F198" s="273">
        <f t="shared" ref="F198:F208" si="30">IF(C198=0,0,E198/C198)</f>
        <v>-7.6893658931348766E-2</v>
      </c>
    </row>
    <row r="199" spans="1:9" ht="20.25" customHeight="1" x14ac:dyDescent="0.3">
      <c r="A199" s="271"/>
      <c r="B199" s="272" t="s">
        <v>466</v>
      </c>
      <c r="C199" s="263">
        <f t="shared" si="28"/>
        <v>1276830</v>
      </c>
      <c r="D199" s="263">
        <f t="shared" si="28"/>
        <v>1275336</v>
      </c>
      <c r="E199" s="263">
        <f t="shared" si="29"/>
        <v>-1494</v>
      </c>
      <c r="F199" s="273">
        <f t="shared" si="30"/>
        <v>-1.1700852893494044E-3</v>
      </c>
    </row>
    <row r="200" spans="1:9" ht="20.25" customHeight="1" x14ac:dyDescent="0.3">
      <c r="A200" s="271"/>
      <c r="B200" s="272" t="s">
        <v>467</v>
      </c>
      <c r="C200" s="263">
        <f t="shared" si="28"/>
        <v>3052407</v>
      </c>
      <c r="D200" s="263">
        <f t="shared" si="28"/>
        <v>3582525</v>
      </c>
      <c r="E200" s="263">
        <f t="shared" si="29"/>
        <v>530118</v>
      </c>
      <c r="F200" s="273">
        <f t="shared" si="30"/>
        <v>0.17367212170591931</v>
      </c>
    </row>
    <row r="201" spans="1:9" ht="20.25" customHeight="1" x14ac:dyDescent="0.3">
      <c r="A201" s="271"/>
      <c r="B201" s="272" t="s">
        <v>468</v>
      </c>
      <c r="C201" s="263">
        <f t="shared" si="28"/>
        <v>605470</v>
      </c>
      <c r="D201" s="263">
        <f t="shared" si="28"/>
        <v>536767</v>
      </c>
      <c r="E201" s="263">
        <f t="shared" si="29"/>
        <v>-68703</v>
      </c>
      <c r="F201" s="273">
        <f t="shared" si="30"/>
        <v>-0.11347052702858935</v>
      </c>
    </row>
    <row r="202" spans="1:9" ht="20.25" customHeight="1" x14ac:dyDescent="0.3">
      <c r="A202" s="271"/>
      <c r="B202" s="272" t="s">
        <v>138</v>
      </c>
      <c r="C202" s="274">
        <f t="shared" si="28"/>
        <v>131</v>
      </c>
      <c r="D202" s="274">
        <f t="shared" si="28"/>
        <v>131</v>
      </c>
      <c r="E202" s="274">
        <f t="shared" si="29"/>
        <v>0</v>
      </c>
      <c r="F202" s="273">
        <f t="shared" si="30"/>
        <v>0</v>
      </c>
    </row>
    <row r="203" spans="1:9" ht="20.25" customHeight="1" x14ac:dyDescent="0.3">
      <c r="A203" s="271"/>
      <c r="B203" s="272" t="s">
        <v>140</v>
      </c>
      <c r="C203" s="274">
        <f t="shared" si="28"/>
        <v>829</v>
      </c>
      <c r="D203" s="274">
        <f t="shared" si="28"/>
        <v>722</v>
      </c>
      <c r="E203" s="274">
        <f t="shared" si="29"/>
        <v>-107</v>
      </c>
      <c r="F203" s="273">
        <f t="shared" si="30"/>
        <v>-0.12907117008443908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2556</v>
      </c>
      <c r="D204" s="274">
        <f t="shared" si="28"/>
        <v>2928</v>
      </c>
      <c r="E204" s="274">
        <f t="shared" si="29"/>
        <v>372</v>
      </c>
      <c r="F204" s="273">
        <f t="shared" si="30"/>
        <v>0.14553990610328638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267</v>
      </c>
      <c r="D205" s="274">
        <f t="shared" si="28"/>
        <v>348</v>
      </c>
      <c r="E205" s="274">
        <f t="shared" si="29"/>
        <v>81</v>
      </c>
      <c r="F205" s="273">
        <f t="shared" si="30"/>
        <v>0.30337078651685395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84</v>
      </c>
      <c r="D206" s="274">
        <f t="shared" si="28"/>
        <v>94</v>
      </c>
      <c r="E206" s="274">
        <f t="shared" si="29"/>
        <v>10</v>
      </c>
      <c r="F206" s="273">
        <f t="shared" si="30"/>
        <v>0.11904761904761904</v>
      </c>
    </row>
    <row r="207" spans="1:9" ht="20.25" customHeight="1" x14ac:dyDescent="0.3">
      <c r="A207" s="271"/>
      <c r="B207" s="262" t="s">
        <v>471</v>
      </c>
      <c r="C207" s="263">
        <f>+C198+C200</f>
        <v>6611192</v>
      </c>
      <c r="D207" s="263">
        <f>+D198+D200</f>
        <v>6867662</v>
      </c>
      <c r="E207" s="263">
        <f t="shared" si="29"/>
        <v>256470</v>
      </c>
      <c r="F207" s="273">
        <f t="shared" si="30"/>
        <v>3.8793306865085753E-2</v>
      </c>
    </row>
    <row r="208" spans="1:9" ht="20.25" customHeight="1" x14ac:dyDescent="0.3">
      <c r="A208" s="271"/>
      <c r="B208" s="262" t="s">
        <v>472</v>
      </c>
      <c r="C208" s="263">
        <f>+C199+C201</f>
        <v>1882300</v>
      </c>
      <c r="D208" s="263">
        <f>+D199+D201</f>
        <v>1812103</v>
      </c>
      <c r="E208" s="263">
        <f t="shared" si="29"/>
        <v>-70197</v>
      </c>
      <c r="F208" s="273">
        <f t="shared" si="30"/>
        <v>-3.7293205121394037E-2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75" bottom="0.75" header="0.3" footer="0.3"/>
  <pageSetup scale="52" fitToHeight="0" orientation="portrait" r:id="rId1"/>
  <headerFooter>
    <oddHeader>&amp;LOFFICE OF HEALTH CARE ACCESS&amp;CTWELVE MONTHS ACTUAL FILING&amp;RESSENT-SHARON HOSPITAL</oddHeader>
    <oddFooter>&amp;LREPORT 200&amp;C&amp;P of &amp;N&amp;R&amp;D,&amp;T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75" bottom="0.75" header="0.3" footer="0.3"/>
  <pageSetup scale="57" fitToHeight="0" orientation="portrait" r:id="rId1"/>
  <headerFooter>
    <oddHeader>&amp;LOFFICE OF HEALTH CARE ACCESS&amp;CTWELVE MONTHS ACTUAL FILING&amp;RESSENT-SHARON HOSPITAL</oddHeader>
    <oddFooter>&amp;LREPORT 250&amp;C&amp;P of &amp;N&amp;R&amp;D,&amp;T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317130</v>
      </c>
      <c r="D13" s="22">
        <v>139667</v>
      </c>
      <c r="E13" s="22">
        <f t="shared" ref="E13:E22" si="0">D13-C13</f>
        <v>-177463</v>
      </c>
      <c r="F13" s="306">
        <f t="shared" ref="F13:F22" si="1">IF(C13=0,0,E13/C13)</f>
        <v>-0.55959070412764478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6658799</v>
      </c>
      <c r="D15" s="22">
        <v>6707780</v>
      </c>
      <c r="E15" s="22">
        <f t="shared" si="0"/>
        <v>48981</v>
      </c>
      <c r="F15" s="306">
        <f t="shared" si="1"/>
        <v>7.3558309839356914E-3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1342069</v>
      </c>
      <c r="D19" s="22">
        <v>1382048</v>
      </c>
      <c r="E19" s="22">
        <f t="shared" si="0"/>
        <v>39979</v>
      </c>
      <c r="F19" s="306">
        <f t="shared" si="1"/>
        <v>2.9789079399047291E-2</v>
      </c>
    </row>
    <row r="20" spans="1:11" ht="24" customHeight="1" x14ac:dyDescent="0.2">
      <c r="A20" s="304">
        <v>8</v>
      </c>
      <c r="B20" s="305" t="s">
        <v>23</v>
      </c>
      <c r="C20" s="22">
        <v>695358</v>
      </c>
      <c r="D20" s="22">
        <v>1222941</v>
      </c>
      <c r="E20" s="22">
        <f t="shared" si="0"/>
        <v>527583</v>
      </c>
      <c r="F20" s="306">
        <f t="shared" si="1"/>
        <v>0.75872140681490685</v>
      </c>
    </row>
    <row r="21" spans="1:11" ht="24" customHeight="1" x14ac:dyDescent="0.2">
      <c r="A21" s="304">
        <v>9</v>
      </c>
      <c r="B21" s="305" t="s">
        <v>24</v>
      </c>
      <c r="C21" s="22">
        <v>0</v>
      </c>
      <c r="D21" s="22">
        <v>0</v>
      </c>
      <c r="E21" s="22">
        <f t="shared" si="0"/>
        <v>0</v>
      </c>
      <c r="F21" s="306">
        <f t="shared" si="1"/>
        <v>0</v>
      </c>
    </row>
    <row r="22" spans="1:11" ht="24" customHeight="1" x14ac:dyDescent="0.25">
      <c r="A22" s="307"/>
      <c r="B22" s="308" t="s">
        <v>25</v>
      </c>
      <c r="C22" s="309">
        <f>SUM(C13:C21)</f>
        <v>9013356</v>
      </c>
      <c r="D22" s="309">
        <f>SUM(D13:D21)</f>
        <v>9452436</v>
      </c>
      <c r="E22" s="309">
        <f t="shared" si="0"/>
        <v>439080</v>
      </c>
      <c r="F22" s="310">
        <f t="shared" si="1"/>
        <v>4.8714374534856941E-2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0</v>
      </c>
      <c r="D25" s="22">
        <v>0</v>
      </c>
      <c r="E25" s="22">
        <f>D25-C25</f>
        <v>0</v>
      </c>
      <c r="F25" s="306">
        <f>IF(C25=0,0,E25/C25)</f>
        <v>0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0</v>
      </c>
      <c r="D29" s="309">
        <f>SUM(D25:D28)</f>
        <v>0</v>
      </c>
      <c r="E29" s="309">
        <f>D29-C29</f>
        <v>0</v>
      </c>
      <c r="F29" s="310">
        <f>IF(C29=0,0,E29/C29)</f>
        <v>0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0</v>
      </c>
      <c r="D32" s="22">
        <v>0</v>
      </c>
      <c r="E32" s="22">
        <f>D32-C32</f>
        <v>0</v>
      </c>
      <c r="F32" s="306">
        <f>IF(C32=0,0,E32/C32)</f>
        <v>0</v>
      </c>
    </row>
    <row r="33" spans="1:8" ht="24" customHeight="1" x14ac:dyDescent="0.2">
      <c r="A33" s="304">
        <v>7</v>
      </c>
      <c r="B33" s="305" t="s">
        <v>35</v>
      </c>
      <c r="C33" s="22">
        <v>4659987</v>
      </c>
      <c r="D33" s="22">
        <v>611754</v>
      </c>
      <c r="E33" s="22">
        <f>D33-C33</f>
        <v>-4048233</v>
      </c>
      <c r="F33" s="306">
        <f>IF(C33=0,0,E33/C33)</f>
        <v>-0.86872195137025066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15586215</v>
      </c>
      <c r="D36" s="22">
        <v>4689052</v>
      </c>
      <c r="E36" s="22">
        <f>D36-C36</f>
        <v>-10897163</v>
      </c>
      <c r="F36" s="306">
        <f>IF(C36=0,0,E36/C36)</f>
        <v>-0.69915389977618048</v>
      </c>
    </row>
    <row r="37" spans="1:8" ht="24" customHeight="1" x14ac:dyDescent="0.2">
      <c r="A37" s="304">
        <v>2</v>
      </c>
      <c r="B37" s="305" t="s">
        <v>39</v>
      </c>
      <c r="C37" s="22">
        <v>0</v>
      </c>
      <c r="D37" s="22">
        <v>0</v>
      </c>
      <c r="E37" s="22">
        <f>D37-C37</f>
        <v>0</v>
      </c>
      <c r="F37" s="22">
        <f>IF(C37=0,0,E37/C37)</f>
        <v>0</v>
      </c>
    </row>
    <row r="38" spans="1:8" ht="24" customHeight="1" x14ac:dyDescent="0.25">
      <c r="A38" s="307"/>
      <c r="B38" s="308" t="s">
        <v>40</v>
      </c>
      <c r="C38" s="309">
        <f>C36-C37</f>
        <v>15586215</v>
      </c>
      <c r="D38" s="309">
        <f>D36-D37</f>
        <v>4689052</v>
      </c>
      <c r="E38" s="309">
        <f>D38-C38</f>
        <v>-10897163</v>
      </c>
      <c r="F38" s="310">
        <f>IF(C38=0,0,E38/C38)</f>
        <v>-0.69915389977618048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108959</v>
      </c>
      <c r="D40" s="22">
        <v>26468</v>
      </c>
      <c r="E40" s="22">
        <f>D40-C40</f>
        <v>-82491</v>
      </c>
      <c r="F40" s="306">
        <f>IF(C40=0,0,E40/C40)</f>
        <v>-0.75708293945429017</v>
      </c>
    </row>
    <row r="41" spans="1:8" ht="24" customHeight="1" x14ac:dyDescent="0.25">
      <c r="A41" s="307"/>
      <c r="B41" s="308" t="s">
        <v>42</v>
      </c>
      <c r="C41" s="309">
        <f>+C38+C40</f>
        <v>15695174</v>
      </c>
      <c r="D41" s="309">
        <f>+D38+D40</f>
        <v>4715520</v>
      </c>
      <c r="E41" s="309">
        <f>D41-C41</f>
        <v>-10979654</v>
      </c>
      <c r="F41" s="310">
        <f>IF(C41=0,0,E41/C41)</f>
        <v>-0.69955605461908232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29368517</v>
      </c>
      <c r="D43" s="309">
        <f>D22+D29+D31+D32+D33+D41</f>
        <v>14779710</v>
      </c>
      <c r="E43" s="309">
        <f>D43-C43</f>
        <v>-14588807</v>
      </c>
      <c r="F43" s="310">
        <f>IF(C43=0,0,E43/C43)</f>
        <v>-0.4967498699372529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1598775</v>
      </c>
      <c r="D49" s="22">
        <v>1739858</v>
      </c>
      <c r="E49" s="22">
        <f t="shared" ref="E49:E56" si="2">D49-C49</f>
        <v>141083</v>
      </c>
      <c r="F49" s="306">
        <f t="shared" ref="F49:F56" si="3">IF(C49=0,0,E49/C49)</f>
        <v>8.8244437147190824E-2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4342444</v>
      </c>
      <c r="D50" s="22">
        <v>3080960</v>
      </c>
      <c r="E50" s="22">
        <f t="shared" si="2"/>
        <v>-1261484</v>
      </c>
      <c r="F50" s="306">
        <f t="shared" si="3"/>
        <v>-0.29050092528539229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96881</v>
      </c>
      <c r="D51" s="22">
        <v>64094</v>
      </c>
      <c r="E51" s="22">
        <f t="shared" si="2"/>
        <v>-32787</v>
      </c>
      <c r="F51" s="306">
        <f t="shared" si="3"/>
        <v>-0.33842549106635977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0</v>
      </c>
      <c r="D53" s="22">
        <v>0</v>
      </c>
      <c r="E53" s="22">
        <f t="shared" si="2"/>
        <v>0</v>
      </c>
      <c r="F53" s="306">
        <f t="shared" si="3"/>
        <v>0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174279</v>
      </c>
      <c r="D54" s="22">
        <v>182458</v>
      </c>
      <c r="E54" s="22">
        <f t="shared" si="2"/>
        <v>8179</v>
      </c>
      <c r="F54" s="306">
        <f t="shared" si="3"/>
        <v>4.693049650273412E-2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0</v>
      </c>
      <c r="D55" s="22">
        <v>0</v>
      </c>
      <c r="E55" s="22">
        <f t="shared" si="2"/>
        <v>0</v>
      </c>
      <c r="F55" s="306">
        <f t="shared" si="3"/>
        <v>0</v>
      </c>
    </row>
    <row r="56" spans="1:6" ht="24" customHeight="1" x14ac:dyDescent="0.25">
      <c r="A56" s="307"/>
      <c r="B56" s="308" t="s">
        <v>54</v>
      </c>
      <c r="C56" s="309">
        <f>SUM(C49:C55)</f>
        <v>6212379</v>
      </c>
      <c r="D56" s="309">
        <f>SUM(D49:D55)</f>
        <v>5067370</v>
      </c>
      <c r="E56" s="309">
        <f t="shared" si="2"/>
        <v>-1145009</v>
      </c>
      <c r="F56" s="310">
        <f t="shared" si="3"/>
        <v>-0.184310873499508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0</v>
      </c>
      <c r="D61" s="309">
        <f>SUM(D59:D60)</f>
        <v>0</v>
      </c>
      <c r="E61" s="309">
        <f>D61-C61</f>
        <v>0</v>
      </c>
      <c r="F61" s="310">
        <f>IF(C61=0,0,E61/C61)</f>
        <v>0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1304000</v>
      </c>
      <c r="D63" s="22">
        <v>1156000</v>
      </c>
      <c r="E63" s="22">
        <f>D63-C63</f>
        <v>-148000</v>
      </c>
      <c r="F63" s="306">
        <f>IF(C63=0,0,E63/C63)</f>
        <v>-0.11349693251533742</v>
      </c>
    </row>
    <row r="64" spans="1:6" ht="24" customHeight="1" x14ac:dyDescent="0.2">
      <c r="A64" s="304">
        <v>4</v>
      </c>
      <c r="B64" s="305" t="s">
        <v>60</v>
      </c>
      <c r="C64" s="22">
        <v>338837</v>
      </c>
      <c r="D64" s="22">
        <v>575672</v>
      </c>
      <c r="E64" s="22">
        <f>D64-C64</f>
        <v>236835</v>
      </c>
      <c r="F64" s="306">
        <f>IF(C64=0,0,E64/C64)</f>
        <v>0.69896439881122785</v>
      </c>
    </row>
    <row r="65" spans="1:6" ht="24" customHeight="1" x14ac:dyDescent="0.25">
      <c r="A65" s="307"/>
      <c r="B65" s="308" t="s">
        <v>61</v>
      </c>
      <c r="C65" s="309">
        <f>SUM(C61:C64)</f>
        <v>1642837</v>
      </c>
      <c r="D65" s="309">
        <f>SUM(D61:D64)</f>
        <v>1731672</v>
      </c>
      <c r="E65" s="309">
        <f>D65-C65</f>
        <v>88835</v>
      </c>
      <c r="F65" s="310">
        <f>IF(C65=0,0,E65/C65)</f>
        <v>5.4074141256862364E-2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21513301</v>
      </c>
      <c r="D70" s="22">
        <v>7980668</v>
      </c>
      <c r="E70" s="22">
        <f>D70-C70</f>
        <v>-13532633</v>
      </c>
      <c r="F70" s="306">
        <f>IF(C70=0,0,E70/C70)</f>
        <v>-0.62903563706936472</v>
      </c>
    </row>
    <row r="71" spans="1:6" ht="24" customHeight="1" x14ac:dyDescent="0.2">
      <c r="A71" s="304">
        <v>2</v>
      </c>
      <c r="B71" s="305" t="s">
        <v>65</v>
      </c>
      <c r="C71" s="22">
        <v>0</v>
      </c>
      <c r="D71" s="22">
        <v>0</v>
      </c>
      <c r="E71" s="22">
        <f>D71-C71</f>
        <v>0</v>
      </c>
      <c r="F71" s="306">
        <f>IF(C71=0,0,E71/C71)</f>
        <v>0</v>
      </c>
    </row>
    <row r="72" spans="1:6" ht="24" customHeight="1" x14ac:dyDescent="0.2">
      <c r="A72" s="304">
        <v>3</v>
      </c>
      <c r="B72" s="305" t="s">
        <v>66</v>
      </c>
      <c r="C72" s="22">
        <v>0</v>
      </c>
      <c r="D72" s="22">
        <v>0</v>
      </c>
      <c r="E72" s="22">
        <f>D72-C72</f>
        <v>0</v>
      </c>
      <c r="F72" s="306">
        <f>IF(C72=0,0,E72/C72)</f>
        <v>0</v>
      </c>
    </row>
    <row r="73" spans="1:6" ht="24" customHeight="1" x14ac:dyDescent="0.25">
      <c r="A73" s="304"/>
      <c r="B73" s="308" t="s">
        <v>67</v>
      </c>
      <c r="C73" s="309">
        <f>SUM(C70:C72)</f>
        <v>21513301</v>
      </c>
      <c r="D73" s="309">
        <f>SUM(D70:D72)</f>
        <v>7980668</v>
      </c>
      <c r="E73" s="309">
        <f>D73-C73</f>
        <v>-13532633</v>
      </c>
      <c r="F73" s="310">
        <f>IF(C73=0,0,E73/C73)</f>
        <v>-0.62903563706936472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29368517</v>
      </c>
      <c r="D75" s="309">
        <f>D56+D65+D67+D73</f>
        <v>14779710</v>
      </c>
      <c r="E75" s="309">
        <f>D75-C75</f>
        <v>-14588807</v>
      </c>
      <c r="F75" s="310">
        <f>IF(C75=0,0,E75/C75)</f>
        <v>-0.4967498699372529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0" fitToHeight="0" orientation="portrait" r:id="rId1"/>
  <headerFooter>
    <oddHeader>&amp;LOFFICE OF HEALTH CARE ACCESS&amp;CTWELVE MONTHS ACTUAL FILING&amp;RSHARON HOSPITAL HOLDING CO, INC.</oddHeader>
    <oddFooter>&amp;LREPORT 300&amp;CPAGE &amp;P of &amp;N&amp;R&amp;D,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156550609</v>
      </c>
      <c r="D11" s="76">
        <v>156641778</v>
      </c>
      <c r="E11" s="76">
        <f t="shared" ref="E11:E20" si="0">D11-C11</f>
        <v>91169</v>
      </c>
      <c r="F11" s="77">
        <f t="shared" ref="F11:F20" si="1">IF(C11=0,0,E11/C11)</f>
        <v>5.8236119669135243E-4</v>
      </c>
    </row>
    <row r="12" spans="1:7" ht="23.1" customHeight="1" x14ac:dyDescent="0.2">
      <c r="A12" s="74">
        <v>2</v>
      </c>
      <c r="B12" s="75" t="s">
        <v>72</v>
      </c>
      <c r="C12" s="76">
        <v>97769852</v>
      </c>
      <c r="D12" s="76">
        <v>97389031</v>
      </c>
      <c r="E12" s="76">
        <f t="shared" si="0"/>
        <v>-380821</v>
      </c>
      <c r="F12" s="77">
        <f t="shared" si="1"/>
        <v>-3.8950759585889522E-3</v>
      </c>
    </row>
    <row r="13" spans="1:7" ht="23.1" customHeight="1" x14ac:dyDescent="0.2">
      <c r="A13" s="74">
        <v>3</v>
      </c>
      <c r="B13" s="75" t="s">
        <v>73</v>
      </c>
      <c r="C13" s="76">
        <v>741722</v>
      </c>
      <c r="D13" s="76">
        <v>536593</v>
      </c>
      <c r="E13" s="76">
        <f t="shared" si="0"/>
        <v>-205129</v>
      </c>
      <c r="F13" s="77">
        <f t="shared" si="1"/>
        <v>-0.27655779389043333</v>
      </c>
    </row>
    <row r="14" spans="1:7" ht="23.1" customHeight="1" x14ac:dyDescent="0.2">
      <c r="A14" s="74">
        <v>4</v>
      </c>
      <c r="B14" s="75" t="s">
        <v>74</v>
      </c>
      <c r="C14" s="76">
        <v>853781</v>
      </c>
      <c r="D14" s="76">
        <v>832193</v>
      </c>
      <c r="E14" s="76">
        <f t="shared" si="0"/>
        <v>-21588</v>
      </c>
      <c r="F14" s="77">
        <f t="shared" si="1"/>
        <v>-2.528517266137335E-2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57185254</v>
      </c>
      <c r="D15" s="79">
        <f>D11-D12-D13-D14</f>
        <v>57883961</v>
      </c>
      <c r="E15" s="79">
        <f t="shared" si="0"/>
        <v>698707</v>
      </c>
      <c r="F15" s="80">
        <f t="shared" si="1"/>
        <v>1.2218307188073345E-2</v>
      </c>
    </row>
    <row r="16" spans="1:7" ht="23.1" customHeight="1" x14ac:dyDescent="0.2">
      <c r="A16" s="74">
        <v>5</v>
      </c>
      <c r="B16" s="75" t="s">
        <v>76</v>
      </c>
      <c r="C16" s="76">
        <v>2233479</v>
      </c>
      <c r="D16" s="76">
        <v>2684721</v>
      </c>
      <c r="E16" s="76">
        <f t="shared" si="0"/>
        <v>451242</v>
      </c>
      <c r="F16" s="77">
        <f t="shared" si="1"/>
        <v>0.20203547917844761</v>
      </c>
      <c r="G16" s="65"/>
    </row>
    <row r="17" spans="1:7" ht="31.5" customHeight="1" x14ac:dyDescent="0.25">
      <c r="A17" s="71"/>
      <c r="B17" s="81" t="s">
        <v>77</v>
      </c>
      <c r="C17" s="79">
        <f>C15-C16</f>
        <v>54951775</v>
      </c>
      <c r="D17" s="79">
        <f>D15-D16</f>
        <v>55199240</v>
      </c>
      <c r="E17" s="79">
        <f t="shared" si="0"/>
        <v>247465</v>
      </c>
      <c r="F17" s="80">
        <f t="shared" si="1"/>
        <v>4.5033122223986392E-3</v>
      </c>
    </row>
    <row r="18" spans="1:7" ht="23.1" customHeight="1" x14ac:dyDescent="0.2">
      <c r="A18" s="74">
        <v>6</v>
      </c>
      <c r="B18" s="75" t="s">
        <v>78</v>
      </c>
      <c r="C18" s="76">
        <v>934163</v>
      </c>
      <c r="D18" s="76">
        <v>698785</v>
      </c>
      <c r="E18" s="76">
        <f t="shared" si="0"/>
        <v>-235378</v>
      </c>
      <c r="F18" s="77">
        <f t="shared" si="1"/>
        <v>-0.2519667338569393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55885938</v>
      </c>
      <c r="D20" s="79">
        <f>SUM(D17:D19)</f>
        <v>55898025</v>
      </c>
      <c r="E20" s="79">
        <f t="shared" si="0"/>
        <v>12087</v>
      </c>
      <c r="F20" s="80">
        <f t="shared" si="1"/>
        <v>2.1627980906395452E-4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21709858</v>
      </c>
      <c r="D23" s="76">
        <v>21733826</v>
      </c>
      <c r="E23" s="76">
        <f t="shared" ref="E23:E32" si="2">D23-C23</f>
        <v>23968</v>
      </c>
      <c r="F23" s="77">
        <f t="shared" ref="F23:F32" si="3">IF(C23=0,0,E23/C23)</f>
        <v>1.1040145909752151E-3</v>
      </c>
    </row>
    <row r="24" spans="1:7" ht="23.1" customHeight="1" x14ac:dyDescent="0.2">
      <c r="A24" s="74">
        <v>2</v>
      </c>
      <c r="B24" s="75" t="s">
        <v>83</v>
      </c>
      <c r="C24" s="76">
        <v>4384844</v>
      </c>
      <c r="D24" s="76">
        <v>4308592</v>
      </c>
      <c r="E24" s="76">
        <f t="shared" si="2"/>
        <v>-76252</v>
      </c>
      <c r="F24" s="77">
        <f t="shared" si="3"/>
        <v>-1.7389900302040392E-2</v>
      </c>
    </row>
    <row r="25" spans="1:7" ht="23.1" customHeight="1" x14ac:dyDescent="0.2">
      <c r="A25" s="74">
        <v>3</v>
      </c>
      <c r="B25" s="75" t="s">
        <v>84</v>
      </c>
      <c r="C25" s="76">
        <v>2535715</v>
      </c>
      <c r="D25" s="76">
        <v>3512636</v>
      </c>
      <c r="E25" s="76">
        <f t="shared" si="2"/>
        <v>976921</v>
      </c>
      <c r="F25" s="77">
        <f t="shared" si="3"/>
        <v>0.38526451119309546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5682283</v>
      </c>
      <c r="D26" s="76">
        <v>6045453</v>
      </c>
      <c r="E26" s="76">
        <f t="shared" si="2"/>
        <v>363170</v>
      </c>
      <c r="F26" s="77">
        <f t="shared" si="3"/>
        <v>6.3912691430539445E-2</v>
      </c>
    </row>
    <row r="27" spans="1:7" ht="23.1" customHeight="1" x14ac:dyDescent="0.2">
      <c r="A27" s="74">
        <v>5</v>
      </c>
      <c r="B27" s="75" t="s">
        <v>86</v>
      </c>
      <c r="C27" s="76">
        <v>2548585</v>
      </c>
      <c r="D27" s="76">
        <v>1312339</v>
      </c>
      <c r="E27" s="76">
        <f t="shared" si="2"/>
        <v>-1236246</v>
      </c>
      <c r="F27" s="77">
        <f t="shared" si="3"/>
        <v>-0.48507152007878884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18277</v>
      </c>
      <c r="D29" s="76">
        <v>30588</v>
      </c>
      <c r="E29" s="76">
        <f t="shared" si="2"/>
        <v>12311</v>
      </c>
      <c r="F29" s="77">
        <f t="shared" si="3"/>
        <v>0.67357881490397764</v>
      </c>
    </row>
    <row r="30" spans="1:7" ht="23.1" customHeight="1" x14ac:dyDescent="0.2">
      <c r="A30" s="74">
        <v>8</v>
      </c>
      <c r="B30" s="75" t="s">
        <v>89</v>
      </c>
      <c r="C30" s="76">
        <v>1292016</v>
      </c>
      <c r="D30" s="76">
        <v>983582</v>
      </c>
      <c r="E30" s="76">
        <f t="shared" si="2"/>
        <v>-308434</v>
      </c>
      <c r="F30" s="77">
        <f t="shared" si="3"/>
        <v>-0.23872304986935147</v>
      </c>
    </row>
    <row r="31" spans="1:7" ht="23.1" customHeight="1" x14ac:dyDescent="0.2">
      <c r="A31" s="74">
        <v>9</v>
      </c>
      <c r="B31" s="75" t="s">
        <v>90</v>
      </c>
      <c r="C31" s="76">
        <v>20583516</v>
      </c>
      <c r="D31" s="76">
        <v>20472927</v>
      </c>
      <c r="E31" s="76">
        <f t="shared" si="2"/>
        <v>-110589</v>
      </c>
      <c r="F31" s="77">
        <f t="shared" si="3"/>
        <v>-5.3726972593020547E-3</v>
      </c>
    </row>
    <row r="32" spans="1:7" ht="23.1" customHeight="1" x14ac:dyDescent="0.25">
      <c r="A32" s="71"/>
      <c r="B32" s="78" t="s">
        <v>91</v>
      </c>
      <c r="C32" s="79">
        <f>SUM(C23:C31)</f>
        <v>58755094</v>
      </c>
      <c r="D32" s="79">
        <f>SUM(D23:D31)</f>
        <v>58399943</v>
      </c>
      <c r="E32" s="79">
        <f t="shared" si="2"/>
        <v>-355151</v>
      </c>
      <c r="F32" s="80">
        <f t="shared" si="3"/>
        <v>-6.0445992989135548E-3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-2869156</v>
      </c>
      <c r="D34" s="79">
        <f>+D20-D32</f>
        <v>-2501918</v>
      </c>
      <c r="E34" s="79">
        <f>D34-C34</f>
        <v>367238</v>
      </c>
      <c r="F34" s="80">
        <f>IF(C34=0,0,E34/C34)</f>
        <v>-0.12799513166938292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0</v>
      </c>
      <c r="D37" s="76">
        <v>0</v>
      </c>
      <c r="E37" s="76">
        <f>D37-C37</f>
        <v>0</v>
      </c>
      <c r="F37" s="77">
        <f>IF(C37=0,0,E37/C37)</f>
        <v>0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5">
      <c r="A40" s="83"/>
      <c r="B40" s="78" t="s">
        <v>97</v>
      </c>
      <c r="C40" s="79">
        <f>SUM(C37:C39)</f>
        <v>0</v>
      </c>
      <c r="D40" s="79">
        <f>SUM(D37:D39)</f>
        <v>0</v>
      </c>
      <c r="E40" s="79">
        <f>D40-C40</f>
        <v>0</v>
      </c>
      <c r="F40" s="80">
        <f>IF(C40=0,0,E40/C40)</f>
        <v>0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-2869156</v>
      </c>
      <c r="D42" s="79">
        <f>D34+D40</f>
        <v>-2501918</v>
      </c>
      <c r="E42" s="79">
        <f>D42-C42</f>
        <v>367238</v>
      </c>
      <c r="F42" s="80">
        <f>IF(C42=0,0,E42/C42)</f>
        <v>-0.12799513166938292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-15331206</v>
      </c>
      <c r="D46" s="76">
        <v>-11206712</v>
      </c>
      <c r="E46" s="76">
        <f>D46-C46</f>
        <v>4124494</v>
      </c>
      <c r="F46" s="77">
        <f>IF(C46=0,0,E46/C46)</f>
        <v>-0.26902606357255915</v>
      </c>
    </row>
    <row r="47" spans="1:6" ht="23.1" customHeight="1" x14ac:dyDescent="0.25">
      <c r="A47" s="83"/>
      <c r="B47" s="78" t="s">
        <v>102</v>
      </c>
      <c r="C47" s="79">
        <f>SUM(C45:C46)</f>
        <v>-15331206</v>
      </c>
      <c r="D47" s="79">
        <f>SUM(D45:D46)</f>
        <v>-11206712</v>
      </c>
      <c r="E47" s="79">
        <f>D47-C47</f>
        <v>4124494</v>
      </c>
      <c r="F47" s="80">
        <f>IF(C47=0,0,E47/C47)</f>
        <v>-0.26902606357255915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-18200362</v>
      </c>
      <c r="D49" s="79">
        <f>D42+D47</f>
        <v>-13708630</v>
      </c>
      <c r="E49" s="79">
        <f>D49-C49</f>
        <v>4491732</v>
      </c>
      <c r="F49" s="80">
        <f>IF(C49=0,0,E49/C49)</f>
        <v>-0.24679355278757642</v>
      </c>
    </row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5" fitToHeight="0" orientation="portrait" r:id="rId1"/>
  <headerFooter>
    <oddHeader>&amp;L&amp;8OFFICE OF HEALTH CARE ACCESS&amp;C&amp;8TWELVE MONTHS ACTUAL FILING&amp;R&amp;8SHARON HOSPITAL HOLDING CO,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Fernandes, David</cp:lastModifiedBy>
  <cp:lastPrinted>2017-09-18T19:07:01Z</cp:lastPrinted>
  <dcterms:created xsi:type="dcterms:W3CDTF">2017-09-15T12:45:39Z</dcterms:created>
  <dcterms:modified xsi:type="dcterms:W3CDTF">2017-09-19T18:18:17Z</dcterms:modified>
</cp:coreProperties>
</file>