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E91" i="22"/>
  <c r="D91" i="22"/>
  <c r="D93" i="22" s="1"/>
  <c r="C91" i="22"/>
  <c r="C93" i="22" s="1"/>
  <c r="E87" i="22"/>
  <c r="E88" i="22" s="1"/>
  <c r="D87" i="22"/>
  <c r="C87" i="22"/>
  <c r="E86" i="22"/>
  <c r="D86" i="22"/>
  <c r="C86" i="22"/>
  <c r="C88" i="22" s="1"/>
  <c r="E83" i="22"/>
  <c r="E101" i="22" s="1"/>
  <c r="D83" i="22"/>
  <c r="D102" i="22" s="1"/>
  <c r="C83" i="22"/>
  <c r="C101" i="22" s="1"/>
  <c r="E76" i="22"/>
  <c r="D76" i="22"/>
  <c r="C76" i="22"/>
  <c r="C77" i="22" s="1"/>
  <c r="C109" i="22" s="1"/>
  <c r="E75" i="22"/>
  <c r="E77" i="22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 s="1"/>
  <c r="D21" i="21"/>
  <c r="E21" i="21" s="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C43" i="20"/>
  <c r="C46" i="20" s="1"/>
  <c r="D36" i="20"/>
  <c r="D40" i="20" s="1"/>
  <c r="C36" i="20"/>
  <c r="C40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 s="1"/>
  <c r="E24" i="20"/>
  <c r="F24" i="20" s="1"/>
  <c r="E23" i="20"/>
  <c r="F22" i="20"/>
  <c r="E22" i="20"/>
  <c r="D19" i="20"/>
  <c r="D20" i="20" s="1"/>
  <c r="C19" i="20"/>
  <c r="E18" i="20"/>
  <c r="F18" i="20" s="1"/>
  <c r="D16" i="20"/>
  <c r="C16" i="20"/>
  <c r="E16" i="20" s="1"/>
  <c r="E15" i="20"/>
  <c r="F15" i="20"/>
  <c r="E13" i="20"/>
  <c r="F13" i="20" s="1"/>
  <c r="E12" i="20"/>
  <c r="F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36" i="19"/>
  <c r="C32" i="19"/>
  <c r="C33" i="19" s="1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 s="1"/>
  <c r="C314" i="18"/>
  <c r="C316" i="18" s="1"/>
  <c r="C320" i="18" s="1"/>
  <c r="E308" i="18"/>
  <c r="E305" i="18"/>
  <c r="D301" i="18"/>
  <c r="C301" i="18"/>
  <c r="D293" i="18"/>
  <c r="C293" i="18"/>
  <c r="E293" i="18" s="1"/>
  <c r="D292" i="18"/>
  <c r="C292" i="18"/>
  <c r="E292" i="18" s="1"/>
  <c r="D291" i="18"/>
  <c r="E291" i="18" s="1"/>
  <c r="C291" i="18"/>
  <c r="D290" i="18"/>
  <c r="E290" i="18" s="1"/>
  <c r="C290" i="18"/>
  <c r="D288" i="18"/>
  <c r="E288" i="18" s="1"/>
  <c r="C288" i="18"/>
  <c r="D287" i="18"/>
  <c r="C287" i="18"/>
  <c r="D282" i="18"/>
  <c r="C282" i="18"/>
  <c r="D281" i="18"/>
  <c r="C281" i="18"/>
  <c r="E281" i="18" s="1"/>
  <c r="D280" i="18"/>
  <c r="C280" i="18"/>
  <c r="E280" i="18" s="1"/>
  <c r="D279" i="18"/>
  <c r="E279" i="18" s="1"/>
  <c r="C279" i="18"/>
  <c r="D278" i="18"/>
  <c r="C278" i="18"/>
  <c r="D277" i="18"/>
  <c r="E277" i="18" s="1"/>
  <c r="C277" i="18"/>
  <c r="D276" i="18"/>
  <c r="E276" i="18" s="1"/>
  <c r="C276" i="18"/>
  <c r="E270" i="18"/>
  <c r="D265" i="18"/>
  <c r="C265" i="18"/>
  <c r="C302" i="18" s="1"/>
  <c r="D262" i="18"/>
  <c r="E262" i="18" s="1"/>
  <c r="C262" i="18"/>
  <c r="D251" i="18"/>
  <c r="C251" i="18"/>
  <c r="D233" i="18"/>
  <c r="C233" i="18"/>
  <c r="D232" i="18"/>
  <c r="E232" i="18" s="1"/>
  <c r="C232" i="18"/>
  <c r="D231" i="18"/>
  <c r="C231" i="18"/>
  <c r="D230" i="18"/>
  <c r="E230" i="18" s="1"/>
  <c r="C230" i="18"/>
  <c r="D228" i="18"/>
  <c r="E228" i="18"/>
  <c r="C228" i="18"/>
  <c r="D227" i="18"/>
  <c r="C227" i="18"/>
  <c r="D221" i="18"/>
  <c r="C221" i="18"/>
  <c r="C245" i="18" s="1"/>
  <c r="D220" i="18"/>
  <c r="E220" i="18" s="1"/>
  <c r="D244" i="18"/>
  <c r="C220" i="18"/>
  <c r="D219" i="18"/>
  <c r="C219" i="18"/>
  <c r="C243" i="18" s="1"/>
  <c r="C252" i="18" s="1"/>
  <c r="D218" i="18"/>
  <c r="D217" i="18" s="1"/>
  <c r="C218" i="18"/>
  <c r="C217" i="18" s="1"/>
  <c r="C241" i="18" s="1"/>
  <c r="D216" i="18"/>
  <c r="D240" i="18" s="1"/>
  <c r="C216" i="18"/>
  <c r="C240" i="18" s="1"/>
  <c r="C253" i="18" s="1"/>
  <c r="D215" i="18"/>
  <c r="C215" i="18"/>
  <c r="C239" i="18" s="1"/>
  <c r="D210" i="18"/>
  <c r="E209" i="18"/>
  <c r="E208" i="18"/>
  <c r="E207" i="18"/>
  <c r="E206" i="18"/>
  <c r="D205" i="18"/>
  <c r="D229" i="18" s="1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D189" i="18" s="1"/>
  <c r="C188" i="18"/>
  <c r="E186" i="18"/>
  <c r="E185" i="18"/>
  <c r="D179" i="18"/>
  <c r="C179" i="18"/>
  <c r="E179" i="18"/>
  <c r="D178" i="18"/>
  <c r="C178" i="18"/>
  <c r="D177" i="18"/>
  <c r="C177" i="18"/>
  <c r="D176" i="18"/>
  <c r="E176" i="18" s="1"/>
  <c r="C176" i="18"/>
  <c r="D174" i="18"/>
  <c r="C174" i="18"/>
  <c r="D173" i="18"/>
  <c r="E173" i="18" s="1"/>
  <c r="C173" i="18"/>
  <c r="D167" i="18"/>
  <c r="C167" i="18"/>
  <c r="D166" i="18"/>
  <c r="C166" i="18"/>
  <c r="E166" i="18"/>
  <c r="D165" i="18"/>
  <c r="C165" i="18"/>
  <c r="E165" i="18" s="1"/>
  <c r="D164" i="18"/>
  <c r="E164" i="18" s="1"/>
  <c r="C164" i="18"/>
  <c r="D162" i="18"/>
  <c r="C162" i="18"/>
  <c r="D161" i="18"/>
  <c r="E161" i="18"/>
  <c r="C161" i="18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C139" i="18"/>
  <c r="C175" i="18" s="1"/>
  <c r="E138" i="18"/>
  <c r="E137" i="18"/>
  <c r="D75" i="18"/>
  <c r="C75" i="18"/>
  <c r="D74" i="18"/>
  <c r="C74" i="18"/>
  <c r="D73" i="18"/>
  <c r="C73" i="18"/>
  <c r="D72" i="18"/>
  <c r="E72" i="18" s="1"/>
  <c r="C72" i="18"/>
  <c r="D70" i="18"/>
  <c r="E70" i="18"/>
  <c r="C70" i="18"/>
  <c r="D69" i="18"/>
  <c r="C69" i="18"/>
  <c r="E64" i="18"/>
  <c r="E63" i="18"/>
  <c r="E62" i="18"/>
  <c r="E61" i="18"/>
  <c r="D60" i="18"/>
  <c r="D65" i="18" s="1"/>
  <c r="D66" i="18" s="1"/>
  <c r="C60" i="18"/>
  <c r="C289" i="18" s="1"/>
  <c r="E59" i="18"/>
  <c r="E58" i="18"/>
  <c r="D54" i="18"/>
  <c r="C54" i="18"/>
  <c r="E53" i="18"/>
  <c r="E52" i="18"/>
  <c r="E51" i="18"/>
  <c r="E50" i="18"/>
  <c r="E49" i="18"/>
  <c r="E48" i="18"/>
  <c r="E47" i="18"/>
  <c r="D42" i="18"/>
  <c r="E42" i="18" s="1"/>
  <c r="C42" i="18"/>
  <c r="D41" i="18"/>
  <c r="E41" i="18"/>
  <c r="C41" i="18"/>
  <c r="D40" i="18"/>
  <c r="C40" i="18"/>
  <c r="D39" i="18"/>
  <c r="C39" i="18"/>
  <c r="D38" i="18"/>
  <c r="C38" i="18"/>
  <c r="E38" i="18"/>
  <c r="D37" i="18"/>
  <c r="D43" i="18"/>
  <c r="D44" i="18" s="1"/>
  <c r="C37" i="18"/>
  <c r="C43" i="18" s="1"/>
  <c r="D36" i="18"/>
  <c r="C36" i="18"/>
  <c r="C44" i="18" s="1"/>
  <c r="D32" i="18"/>
  <c r="D33" i="18" s="1"/>
  <c r="C32" i="18"/>
  <c r="C33" i="18" s="1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F333" i="17"/>
  <c r="E333" i="17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E311" i="17" s="1"/>
  <c r="C311" i="17"/>
  <c r="F311" i="17" s="1"/>
  <c r="E308" i="17"/>
  <c r="F308" i="17" s="1"/>
  <c r="D307" i="17"/>
  <c r="C307" i="17"/>
  <c r="D299" i="17"/>
  <c r="C299" i="17"/>
  <c r="D298" i="17"/>
  <c r="C298" i="17"/>
  <c r="F298" i="17" s="1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 s="1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E238" i="17" s="1"/>
  <c r="C238" i="17"/>
  <c r="D237" i="17"/>
  <c r="C237" i="17"/>
  <c r="F234" i="17"/>
  <c r="E234" i="17"/>
  <c r="E233" i="17"/>
  <c r="F233" i="17" s="1"/>
  <c r="D230" i="17"/>
  <c r="E230" i="17" s="1"/>
  <c r="C230" i="17"/>
  <c r="D229" i="17"/>
  <c r="E229" i="17" s="1"/>
  <c r="F229" i="17" s="1"/>
  <c r="C229" i="17"/>
  <c r="F228" i="17"/>
  <c r="E228" i="17"/>
  <c r="D226" i="17"/>
  <c r="D227" i="17"/>
  <c r="C226" i="17"/>
  <c r="C227" i="17" s="1"/>
  <c r="F225" i="17"/>
  <c r="E225" i="17"/>
  <c r="E224" i="17"/>
  <c r="F224" i="17" s="1"/>
  <c r="D223" i="17"/>
  <c r="C223" i="17"/>
  <c r="F222" i="17"/>
  <c r="E222" i="17"/>
  <c r="E221" i="17"/>
  <c r="F221" i="17" s="1"/>
  <c r="D204" i="17"/>
  <c r="C204" i="17"/>
  <c r="C285" i="17"/>
  <c r="D203" i="17"/>
  <c r="C203" i="17"/>
  <c r="C283" i="17" s="1"/>
  <c r="D198" i="17"/>
  <c r="C198" i="17"/>
  <c r="C290" i="17" s="1"/>
  <c r="D191" i="17"/>
  <c r="C191" i="17"/>
  <c r="C280" i="17" s="1"/>
  <c r="D189" i="17"/>
  <c r="C189" i="17"/>
  <c r="C278" i="17" s="1"/>
  <c r="D188" i="17"/>
  <c r="D206" i="17" s="1"/>
  <c r="C188" i="17"/>
  <c r="C277" i="17" s="1"/>
  <c r="F180" i="17"/>
  <c r="D180" i="17"/>
  <c r="E180" i="17" s="1"/>
  <c r="C180" i="17"/>
  <c r="C181" i="17" s="1"/>
  <c r="F181" i="17" s="1"/>
  <c r="F179" i="17"/>
  <c r="D179" i="17"/>
  <c r="E179" i="17" s="1"/>
  <c r="C179" i="17"/>
  <c r="D171" i="17"/>
  <c r="C171" i="17"/>
  <c r="F171" i="17" s="1"/>
  <c r="F170" i="17"/>
  <c r="D170" i="17"/>
  <c r="E170" i="17" s="1"/>
  <c r="C170" i="17"/>
  <c r="F169" i="17"/>
  <c r="E169" i="17"/>
  <c r="F168" i="17"/>
  <c r="E168" i="17"/>
  <c r="F165" i="17"/>
  <c r="D165" i="17"/>
  <c r="E165" i="17" s="1"/>
  <c r="C165" i="17"/>
  <c r="D164" i="17"/>
  <c r="C164" i="17"/>
  <c r="F164" i="17" s="1"/>
  <c r="F163" i="17"/>
  <c r="E163" i="17"/>
  <c r="D158" i="17"/>
  <c r="E158" i="17" s="1"/>
  <c r="C158" i="17"/>
  <c r="F158" i="17" s="1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D146" i="17"/>
  <c r="C144" i="17"/>
  <c r="D136" i="17"/>
  <c r="D137" i="17" s="1"/>
  <c r="C136" i="17"/>
  <c r="D135" i="17"/>
  <c r="C135" i="17"/>
  <c r="E134" i="17"/>
  <c r="F134" i="17"/>
  <c r="E133" i="17"/>
  <c r="F133" i="17" s="1"/>
  <c r="D130" i="17"/>
  <c r="C130" i="17"/>
  <c r="D129" i="17"/>
  <c r="C129" i="17"/>
  <c r="E128" i="17"/>
  <c r="F128" i="17" s="1"/>
  <c r="D123" i="17"/>
  <c r="C123" i="17"/>
  <c r="E122" i="17"/>
  <c r="F122" i="17" s="1"/>
  <c r="E121" i="17"/>
  <c r="F121" i="17" s="1"/>
  <c r="D120" i="17"/>
  <c r="C120" i="17"/>
  <c r="E119" i="17"/>
  <c r="F119" i="17" s="1"/>
  <c r="E118" i="17"/>
  <c r="F118" i="17"/>
  <c r="D110" i="17"/>
  <c r="C110" i="17"/>
  <c r="D109" i="17"/>
  <c r="C109" i="17"/>
  <c r="D101" i="17"/>
  <c r="D102" i="17" s="1"/>
  <c r="D103" i="17" s="1"/>
  <c r="C101" i="17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D89" i="17" s="1"/>
  <c r="C88" i="17"/>
  <c r="E87" i="17"/>
  <c r="F87" i="17" s="1"/>
  <c r="E86" i="17"/>
  <c r="F86" i="17"/>
  <c r="D85" i="17"/>
  <c r="C85" i="17"/>
  <c r="E84" i="17"/>
  <c r="F84" i="17" s="1"/>
  <c r="E83" i="17"/>
  <c r="F83" i="17" s="1"/>
  <c r="D76" i="17"/>
  <c r="E76" i="17" s="1"/>
  <c r="F76" i="17" s="1"/>
  <c r="C76" i="17"/>
  <c r="C77" i="17" s="1"/>
  <c r="E74" i="17"/>
  <c r="F74" i="17" s="1"/>
  <c r="F73" i="17"/>
  <c r="E73" i="17"/>
  <c r="D67" i="17"/>
  <c r="E67" i="17" s="1"/>
  <c r="F67" i="17" s="1"/>
  <c r="C67" i="17"/>
  <c r="D66" i="17"/>
  <c r="C66" i="17"/>
  <c r="C68" i="17" s="1"/>
  <c r="D59" i="17"/>
  <c r="C59" i="17"/>
  <c r="D58" i="17"/>
  <c r="E58" i="17" s="1"/>
  <c r="F58" i="17" s="1"/>
  <c r="C58" i="17"/>
  <c r="E57" i="17"/>
  <c r="F57" i="17" s="1"/>
  <c r="E56" i="17"/>
  <c r="F56" i="17" s="1"/>
  <c r="D53" i="17"/>
  <c r="C53" i="17"/>
  <c r="D52" i="17"/>
  <c r="E52" i="17" s="1"/>
  <c r="F52" i="17" s="1"/>
  <c r="C52" i="17"/>
  <c r="E51" i="17"/>
  <c r="F51" i="17" s="1"/>
  <c r="D47" i="17"/>
  <c r="E47" i="17" s="1"/>
  <c r="F47" i="17" s="1"/>
  <c r="C47" i="17"/>
  <c r="C48" i="17"/>
  <c r="E46" i="17"/>
  <c r="F46" i="17"/>
  <c r="E45" i="17"/>
  <c r="F45" i="17" s="1"/>
  <c r="D44" i="17"/>
  <c r="E44" i="17" s="1"/>
  <c r="C44" i="17"/>
  <c r="E43" i="17"/>
  <c r="F43" i="17"/>
  <c r="E42" i="17"/>
  <c r="F42" i="17"/>
  <c r="D36" i="17"/>
  <c r="E36" i="17" s="1"/>
  <c r="C36" i="17"/>
  <c r="D35" i="17"/>
  <c r="E35" i="17" s="1"/>
  <c r="C35" i="17"/>
  <c r="D30" i="17"/>
  <c r="E30" i="17" s="1"/>
  <c r="C30" i="17"/>
  <c r="D29" i="17"/>
  <c r="C29" i="17"/>
  <c r="E28" i="17"/>
  <c r="F28" i="17" s="1"/>
  <c r="E27" i="17"/>
  <c r="F27" i="17" s="1"/>
  <c r="D24" i="17"/>
  <c r="E24" i="17" s="1"/>
  <c r="F24" i="17" s="1"/>
  <c r="C24" i="17"/>
  <c r="D23" i="17"/>
  <c r="C23" i="17"/>
  <c r="E22" i="17"/>
  <c r="F22" i="17" s="1"/>
  <c r="D20" i="17"/>
  <c r="C20" i="17"/>
  <c r="E19" i="17"/>
  <c r="F19" i="17" s="1"/>
  <c r="E18" i="17"/>
  <c r="F18" i="17" s="1"/>
  <c r="D17" i="17"/>
  <c r="E17" i="17" s="1"/>
  <c r="F17" i="17" s="1"/>
  <c r="C17" i="17"/>
  <c r="E16" i="17"/>
  <c r="F16" i="17" s="1"/>
  <c r="E15" i="17"/>
  <c r="F15" i="17" s="1"/>
  <c r="D21" i="16"/>
  <c r="E21" i="16" s="1"/>
  <c r="F21" i="16" s="1"/>
  <c r="C21" i="16"/>
  <c r="F20" i="16"/>
  <c r="E20" i="16"/>
  <c r="D17" i="16"/>
  <c r="E17" i="16" s="1"/>
  <c r="F17" i="16" s="1"/>
  <c r="C17" i="16"/>
  <c r="E16" i="16"/>
  <c r="F16" i="16" s="1"/>
  <c r="D13" i="16"/>
  <c r="E13" i="16" s="1"/>
  <c r="F13" i="16" s="1"/>
  <c r="C13" i="16"/>
  <c r="F12" i="16"/>
  <c r="E12" i="16"/>
  <c r="D107" i="15"/>
  <c r="E107" i="15" s="1"/>
  <c r="F107" i="15" s="1"/>
  <c r="C107" i="15"/>
  <c r="E106" i="15"/>
  <c r="F106" i="15" s="1"/>
  <c r="F105" i="15"/>
  <c r="E105" i="15"/>
  <c r="F104" i="15"/>
  <c r="E104" i="15"/>
  <c r="D100" i="15"/>
  <c r="E100" i="15" s="1"/>
  <c r="F100" i="15" s="1"/>
  <c r="C100" i="15"/>
  <c r="E99" i="15"/>
  <c r="F99" i="15" s="1"/>
  <c r="F98" i="15"/>
  <c r="E98" i="15"/>
  <c r="F97" i="15"/>
  <c r="E97" i="15"/>
  <c r="F96" i="15"/>
  <c r="E96" i="15"/>
  <c r="E95" i="15"/>
  <c r="F95" i="15" s="1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F73" i="15"/>
  <c r="E73" i="15"/>
  <c r="E75" i="15" s="1"/>
  <c r="F75" i="15" s="1"/>
  <c r="D70" i="15"/>
  <c r="E70" i="15" s="1"/>
  <c r="F70" i="15" s="1"/>
  <c r="C70" i="15"/>
  <c r="E69" i="15"/>
  <c r="F69" i="15" s="1"/>
  <c r="F68" i="15"/>
  <c r="E68" i="15"/>
  <c r="D65" i="15"/>
  <c r="E65" i="15" s="1"/>
  <c r="F65" i="15" s="1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D55" i="15"/>
  <c r="E55" i="15" s="1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D37" i="15"/>
  <c r="E37" i="15" s="1"/>
  <c r="C37" i="15"/>
  <c r="F37" i="15" s="1"/>
  <c r="F36" i="15"/>
  <c r="E36" i="15"/>
  <c r="F35" i="15"/>
  <c r="E35" i="15"/>
  <c r="F34" i="15"/>
  <c r="E34" i="15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E23" i="15" s="1"/>
  <c r="C23" i="15"/>
  <c r="F23" i="15" s="1"/>
  <c r="F22" i="15"/>
  <c r="E22" i="15"/>
  <c r="F21" i="15"/>
  <c r="E21" i="15"/>
  <c r="F20" i="15"/>
  <c r="E20" i="15"/>
  <c r="E19" i="15"/>
  <c r="F19" i="15" s="1"/>
  <c r="D16" i="15"/>
  <c r="E16" i="15" s="1"/>
  <c r="F16" i="15" s="1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F36" i="14" s="1"/>
  <c r="E17" i="14"/>
  <c r="E31" i="14" s="1"/>
  <c r="D17" i="14"/>
  <c r="D33" i="14" s="1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E73" i="13"/>
  <c r="E75" i="13" s="1"/>
  <c r="D73" i="13"/>
  <c r="D75" i="13" s="1"/>
  <c r="C73" i="13"/>
  <c r="C75" i="13" s="1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C50" i="13" s="1"/>
  <c r="E46" i="13"/>
  <c r="E59" i="13" s="1"/>
  <c r="E61" i="13" s="1"/>
  <c r="E57" i="13" s="1"/>
  <c r="D46" i="13"/>
  <c r="D48" i="13" s="1"/>
  <c r="D42" i="13" s="1"/>
  <c r="C46" i="13"/>
  <c r="C59" i="13" s="1"/>
  <c r="C61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 s="1"/>
  <c r="E27" i="13" s="1"/>
  <c r="D13" i="13"/>
  <c r="D25" i="13" s="1"/>
  <c r="D27" i="13" s="1"/>
  <c r="C13" i="13"/>
  <c r="C25" i="13" s="1"/>
  <c r="D47" i="12"/>
  <c r="E47" i="12" s="1"/>
  <c r="C47" i="12"/>
  <c r="F47" i="12"/>
  <c r="F46" i="12"/>
  <c r="E46" i="12"/>
  <c r="F45" i="12"/>
  <c r="E45" i="12"/>
  <c r="D40" i="12"/>
  <c r="C40" i="12"/>
  <c r="E40" i="12" s="1"/>
  <c r="F39" i="12"/>
  <c r="E39" i="12"/>
  <c r="E38" i="12"/>
  <c r="F38" i="12" s="1"/>
  <c r="E37" i="12"/>
  <c r="F37" i="12" s="1"/>
  <c r="D32" i="12"/>
  <c r="E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D17" i="12" s="1"/>
  <c r="E17" i="12" s="1"/>
  <c r="F17" i="12" s="1"/>
  <c r="C15" i="12"/>
  <c r="C17" i="12" s="1"/>
  <c r="F14" i="12"/>
  <c r="E14" i="12"/>
  <c r="E13" i="12"/>
  <c r="F13" i="12" s="1"/>
  <c r="E12" i="12"/>
  <c r="F12" i="12" s="1"/>
  <c r="F11" i="12"/>
  <c r="E11" i="12"/>
  <c r="D73" i="11"/>
  <c r="E73" i="11" s="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F60" i="11"/>
  <c r="E60" i="11"/>
  <c r="E59" i="11"/>
  <c r="F59" i="11" s="1"/>
  <c r="D56" i="11"/>
  <c r="C56" i="11"/>
  <c r="E55" i="11"/>
  <c r="F55" i="11" s="1"/>
  <c r="E54" i="11"/>
  <c r="F54" i="11" s="1"/>
  <c r="E53" i="11"/>
  <c r="F53" i="11" s="1"/>
  <c r="E52" i="11"/>
  <c r="F52" i="11" s="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 s="1"/>
  <c r="C38" i="11"/>
  <c r="C41" i="11" s="1"/>
  <c r="E37" i="11"/>
  <c r="F37" i="11" s="1"/>
  <c r="F36" i="11"/>
  <c r="E36" i="11"/>
  <c r="E33" i="11"/>
  <c r="F33" i="11" s="1"/>
  <c r="E32" i="11"/>
  <c r="F32" i="11" s="1"/>
  <c r="F31" i="11"/>
  <c r="E31" i="11"/>
  <c r="D29" i="11"/>
  <c r="C29" i="11"/>
  <c r="E28" i="11"/>
  <c r="F28" i="11" s="1"/>
  <c r="E27" i="11"/>
  <c r="F27" i="11" s="1"/>
  <c r="F26" i="11"/>
  <c r="E26" i="11"/>
  <c r="E25" i="11"/>
  <c r="F25" i="11" s="1"/>
  <c r="D22" i="11"/>
  <c r="C22" i="11"/>
  <c r="E21" i="11"/>
  <c r="F21" i="11" s="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E14" i="11"/>
  <c r="F14" i="11" s="1"/>
  <c r="F13" i="11"/>
  <c r="E13" i="11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08" i="10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C59" i="10"/>
  <c r="E58" i="10"/>
  <c r="F58" i="10" s="1"/>
  <c r="E57" i="10"/>
  <c r="F57" i="10" s="1"/>
  <c r="E56" i="10"/>
  <c r="F56" i="10" s="1"/>
  <c r="E55" i="10"/>
  <c r="F55" i="10" s="1"/>
  <c r="E54" i="10"/>
  <c r="F54" i="10"/>
  <c r="E53" i="10"/>
  <c r="F53" i="10" s="1"/>
  <c r="E52" i="10"/>
  <c r="F52" i="10" s="1"/>
  <c r="E51" i="10"/>
  <c r="F51" i="10" s="1"/>
  <c r="E50" i="10"/>
  <c r="F50" i="10"/>
  <c r="D48" i="10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 s="1"/>
  <c r="C205" i="9"/>
  <c r="D204" i="9"/>
  <c r="C204" i="9"/>
  <c r="D203" i="9"/>
  <c r="C203" i="9"/>
  <c r="D202" i="9"/>
  <c r="C202" i="9"/>
  <c r="D201" i="9"/>
  <c r="E201" i="9" s="1"/>
  <c r="C201" i="9"/>
  <c r="F201" i="9" s="1"/>
  <c r="D200" i="9"/>
  <c r="C200" i="9"/>
  <c r="D199" i="9"/>
  <c r="C199" i="9"/>
  <c r="C208" i="9" s="1"/>
  <c r="D198" i="9"/>
  <c r="D207" i="9" s="1"/>
  <c r="C198" i="9"/>
  <c r="D193" i="9"/>
  <c r="E193" i="9" s="1"/>
  <c r="C193" i="9"/>
  <c r="F193" i="9" s="1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F179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E140" i="9" s="1"/>
  <c r="F140" i="9" s="1"/>
  <c r="C140" i="9"/>
  <c r="F139" i="9"/>
  <c r="E139" i="9"/>
  <c r="E138" i="9"/>
  <c r="F138" i="9" s="1"/>
  <c r="E137" i="9"/>
  <c r="F137" i="9" s="1"/>
  <c r="F136" i="9"/>
  <c r="E136" i="9"/>
  <c r="E135" i="9"/>
  <c r="F135" i="9" s="1"/>
  <c r="F134" i="9"/>
  <c r="E134" i="9"/>
  <c r="E133" i="9"/>
  <c r="F133" i="9" s="1"/>
  <c r="F132" i="9"/>
  <c r="E132" i="9"/>
  <c r="E131" i="9"/>
  <c r="F131" i="9" s="1"/>
  <c r="D128" i="9"/>
  <c r="C128" i="9"/>
  <c r="D127" i="9"/>
  <c r="E127" i="9" s="1"/>
  <c r="C127" i="9"/>
  <c r="E126" i="9"/>
  <c r="F126" i="9" s="1"/>
  <c r="E125" i="9"/>
  <c r="F125" i="9" s="1"/>
  <c r="F124" i="9"/>
  <c r="E124" i="9"/>
  <c r="E123" i="9"/>
  <c r="F123" i="9" s="1"/>
  <c r="F122" i="9"/>
  <c r="E122" i="9"/>
  <c r="E121" i="9"/>
  <c r="F121" i="9" s="1"/>
  <c r="F120" i="9"/>
  <c r="E120" i="9"/>
  <c r="E119" i="9"/>
  <c r="F119" i="9" s="1"/>
  <c r="F118" i="9"/>
  <c r="E118" i="9"/>
  <c r="D115" i="9"/>
  <c r="E115" i="9" s="1"/>
  <c r="C115" i="9"/>
  <c r="F115" i="9" s="1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C102" i="9"/>
  <c r="D101" i="9"/>
  <c r="E101" i="9" s="1"/>
  <c r="C101" i="9"/>
  <c r="E100" i="9"/>
  <c r="F100" i="9" s="1"/>
  <c r="E99" i="9"/>
  <c r="F99" i="9" s="1"/>
  <c r="F98" i="9"/>
  <c r="E98" i="9"/>
  <c r="E97" i="9"/>
  <c r="F97" i="9" s="1"/>
  <c r="F96" i="9"/>
  <c r="E96" i="9"/>
  <c r="E95" i="9"/>
  <c r="F95" i="9" s="1"/>
  <c r="F94" i="9"/>
  <c r="E94" i="9"/>
  <c r="E93" i="9"/>
  <c r="F93" i="9" s="1"/>
  <c r="F92" i="9"/>
  <c r="E92" i="9"/>
  <c r="D89" i="9"/>
  <c r="E89" i="9" s="1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 s="1"/>
  <c r="E73" i="9"/>
  <c r="F73" i="9" s="1"/>
  <c r="F72" i="9"/>
  <c r="E72" i="9"/>
  <c r="E71" i="9"/>
  <c r="F71" i="9" s="1"/>
  <c r="F70" i="9"/>
  <c r="E70" i="9"/>
  <c r="E69" i="9"/>
  <c r="F69" i="9" s="1"/>
  <c r="F68" i="9"/>
  <c r="E68" i="9"/>
  <c r="E67" i="9"/>
  <c r="F67" i="9" s="1"/>
  <c r="F66" i="9"/>
  <c r="E66" i="9"/>
  <c r="D63" i="9"/>
  <c r="E63" i="9" s="1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E49" i="9" s="1"/>
  <c r="C49" i="9"/>
  <c r="E48" i="9"/>
  <c r="F48" i="9" s="1"/>
  <c r="E47" i="9"/>
  <c r="F47" i="9" s="1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D37" i="9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E22" i="9"/>
  <c r="F22" i="9" s="1"/>
  <c r="E21" i="9"/>
  <c r="F21" i="9" s="1"/>
  <c r="F20" i="9"/>
  <c r="E20" i="9"/>
  <c r="E19" i="9"/>
  <c r="F19" i="9" s="1"/>
  <c r="E18" i="9"/>
  <c r="F18" i="9" s="1"/>
  <c r="E17" i="9"/>
  <c r="F17" i="9" s="1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D164" i="8"/>
  <c r="D160" i="8"/>
  <c r="D166" i="8"/>
  <c r="D157" i="8" s="1"/>
  <c r="C164" i="8"/>
  <c r="C160" i="8" s="1"/>
  <c r="E162" i="8"/>
  <c r="D162" i="8"/>
  <c r="C162" i="8"/>
  <c r="E161" i="8"/>
  <c r="D161" i="8"/>
  <c r="C161" i="8"/>
  <c r="E160" i="8"/>
  <c r="E166" i="8" s="1"/>
  <c r="E156" i="8" s="1"/>
  <c r="E147" i="8"/>
  <c r="E143" i="8" s="1"/>
  <c r="E149" i="8" s="1"/>
  <c r="D147" i="8"/>
  <c r="D143" i="8" s="1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D107" i="8"/>
  <c r="C107" i="8"/>
  <c r="E104" i="8"/>
  <c r="C104" i="8"/>
  <c r="E102" i="8"/>
  <c r="D102" i="8"/>
  <c r="D104" i="8" s="1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C79" i="8"/>
  <c r="E75" i="8"/>
  <c r="D75" i="8"/>
  <c r="C75" i="8"/>
  <c r="C88" i="8" s="1"/>
  <c r="C90" i="8" s="1"/>
  <c r="E74" i="8"/>
  <c r="D74" i="8"/>
  <c r="C74" i="8"/>
  <c r="E67" i="8"/>
  <c r="D67" i="8"/>
  <c r="C67" i="8"/>
  <c r="E49" i="8"/>
  <c r="D43" i="8"/>
  <c r="E38" i="8"/>
  <c r="D38" i="8"/>
  <c r="D53" i="8" s="1"/>
  <c r="C38" i="8"/>
  <c r="C57" i="8" s="1"/>
  <c r="C62" i="8" s="1"/>
  <c r="E33" i="8"/>
  <c r="E34" i="8"/>
  <c r="D33" i="8"/>
  <c r="D34" i="8" s="1"/>
  <c r="E26" i="8"/>
  <c r="D26" i="8"/>
  <c r="C26" i="8"/>
  <c r="C25" i="8"/>
  <c r="C27" i="8" s="1"/>
  <c r="C15" i="8"/>
  <c r="E13" i="8"/>
  <c r="D13" i="8"/>
  <c r="C13" i="8"/>
  <c r="F186" i="7"/>
  <c r="E186" i="7"/>
  <c r="D183" i="7"/>
  <c r="C183" i="7"/>
  <c r="F182" i="7"/>
  <c r="E182" i="7"/>
  <c r="E181" i="7"/>
  <c r="F181" i="7" s="1"/>
  <c r="E180" i="7"/>
  <c r="F180" i="7" s="1"/>
  <c r="E179" i="7"/>
  <c r="F179" i="7" s="1"/>
  <c r="E178" i="7"/>
  <c r="F178" i="7" s="1"/>
  <c r="F177" i="7"/>
  <c r="E177" i="7"/>
  <c r="E176" i="7"/>
  <c r="F176" i="7" s="1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C167" i="7"/>
  <c r="E166" i="7"/>
  <c r="F166" i="7" s="1"/>
  <c r="F165" i="7"/>
  <c r="E165" i="7"/>
  <c r="F164" i="7"/>
  <c r="E164" i="7"/>
  <c r="E163" i="7"/>
  <c r="F163" i="7" s="1"/>
  <c r="F162" i="7"/>
  <c r="E162" i="7"/>
  <c r="E161" i="7"/>
  <c r="F161" i="7" s="1"/>
  <c r="E160" i="7"/>
  <c r="F160" i="7" s="1"/>
  <c r="F159" i="7"/>
  <c r="E159" i="7"/>
  <c r="E158" i="7"/>
  <c r="F158" i="7" s="1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E145" i="7"/>
  <c r="F145" i="7" s="1"/>
  <c r="F144" i="7"/>
  <c r="E144" i="7"/>
  <c r="E143" i="7"/>
  <c r="F143" i="7" s="1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C130" i="7"/>
  <c r="E129" i="7"/>
  <c r="F129" i="7" s="1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 s="1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E103" i="7"/>
  <c r="F103" i="7" s="1"/>
  <c r="F93" i="7"/>
  <c r="E93" i="7"/>
  <c r="D90" i="7"/>
  <c r="D95" i="7" s="1"/>
  <c r="C90" i="7"/>
  <c r="C95" i="7" s="1"/>
  <c r="E89" i="7"/>
  <c r="F89" i="7" s="1"/>
  <c r="F88" i="7"/>
  <c r="E88" i="7"/>
  <c r="F87" i="7"/>
  <c r="E87" i="7"/>
  <c r="E86" i="7"/>
  <c r="F86" i="7" s="1"/>
  <c r="F85" i="7"/>
  <c r="E85" i="7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F73" i="7"/>
  <c r="E73" i="7"/>
  <c r="E72" i="7"/>
  <c r="F72" i="7" s="1"/>
  <c r="F71" i="7"/>
  <c r="E71" i="7"/>
  <c r="E70" i="7"/>
  <c r="F70" i="7" s="1"/>
  <c r="F69" i="7"/>
  <c r="E69" i="7"/>
  <c r="E68" i="7"/>
  <c r="F68" i="7" s="1"/>
  <c r="F67" i="7"/>
  <c r="E67" i="7"/>
  <c r="F66" i="7"/>
  <c r="E66" i="7"/>
  <c r="F65" i="7"/>
  <c r="E65" i="7"/>
  <c r="E64" i="7"/>
  <c r="F64" i="7" s="1"/>
  <c r="E63" i="7"/>
  <c r="F63" i="7" s="1"/>
  <c r="E62" i="7"/>
  <c r="F62" i="7" s="1"/>
  <c r="D59" i="7"/>
  <c r="C59" i="7"/>
  <c r="F58" i="7"/>
  <c r="E58" i="7"/>
  <c r="E57" i="7"/>
  <c r="F57" i="7" s="1"/>
  <c r="F56" i="7"/>
  <c r="E56" i="7"/>
  <c r="E55" i="7"/>
  <c r="F55" i="7" s="1"/>
  <c r="F54" i="7"/>
  <c r="E54" i="7"/>
  <c r="F53" i="7"/>
  <c r="E53" i="7"/>
  <c r="F50" i="7"/>
  <c r="E50" i="7"/>
  <c r="E47" i="7"/>
  <c r="F47" i="7" s="1"/>
  <c r="F44" i="7"/>
  <c r="E44" i="7"/>
  <c r="D41" i="7"/>
  <c r="E41" i="7" s="1"/>
  <c r="F41" i="7" s="1"/>
  <c r="C41" i="7"/>
  <c r="E40" i="7"/>
  <c r="F40" i="7" s="1"/>
  <c r="F39" i="7"/>
  <c r="E39" i="7"/>
  <c r="F38" i="7"/>
  <c r="E38" i="7"/>
  <c r="D35" i="7"/>
  <c r="E35" i="7" s="1"/>
  <c r="C35" i="7"/>
  <c r="F34" i="7"/>
  <c r="E34" i="7"/>
  <c r="F33" i="7"/>
  <c r="E33" i="7"/>
  <c r="D30" i="7"/>
  <c r="E30" i="7" s="1"/>
  <c r="C30" i="7"/>
  <c r="F29" i="7"/>
  <c r="E29" i="7"/>
  <c r="E28" i="7"/>
  <c r="F28" i="7" s="1"/>
  <c r="F27" i="7"/>
  <c r="E27" i="7"/>
  <c r="D24" i="7"/>
  <c r="E24" i="7" s="1"/>
  <c r="F24" i="7" s="1"/>
  <c r="C24" i="7"/>
  <c r="E23" i="7"/>
  <c r="F23" i="7" s="1"/>
  <c r="F22" i="7"/>
  <c r="E22" i="7"/>
  <c r="E21" i="7"/>
  <c r="F21" i="7" s="1"/>
  <c r="D18" i="7"/>
  <c r="C18" i="7"/>
  <c r="F17" i="7"/>
  <c r="E17" i="7"/>
  <c r="E16" i="7"/>
  <c r="F16" i="7" s="1"/>
  <c r="F15" i="7"/>
  <c r="E15" i="7"/>
  <c r="D179" i="6"/>
  <c r="E179" i="6" s="1"/>
  <c r="F179" i="6" s="1"/>
  <c r="C179" i="6"/>
  <c r="F178" i="6"/>
  <c r="E178" i="6"/>
  <c r="F177" i="6"/>
  <c r="E177" i="6"/>
  <c r="F176" i="6"/>
  <c r="E176" i="6"/>
  <c r="F175" i="6"/>
  <c r="E175" i="6"/>
  <c r="E174" i="6"/>
  <c r="F174" i="6" s="1"/>
  <c r="F173" i="6"/>
  <c r="E173" i="6"/>
  <c r="E172" i="6"/>
  <c r="F172" i="6" s="1"/>
  <c r="F171" i="6"/>
  <c r="E171" i="6"/>
  <c r="E170" i="6"/>
  <c r="F170" i="6" s="1"/>
  <c r="F169" i="6"/>
  <c r="E169" i="6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F161" i="6"/>
  <c r="E161" i="6"/>
  <c r="F160" i="6"/>
  <c r="E160" i="6"/>
  <c r="E159" i="6"/>
  <c r="F159" i="6" s="1"/>
  <c r="E158" i="6"/>
  <c r="F158" i="6" s="1"/>
  <c r="F157" i="6"/>
  <c r="E157" i="6"/>
  <c r="E156" i="6"/>
  <c r="F156" i="6" s="1"/>
  <c r="F155" i="6"/>
  <c r="E155" i="6"/>
  <c r="D153" i="6"/>
  <c r="C153" i="6"/>
  <c r="F152" i="6"/>
  <c r="E152" i="6"/>
  <c r="F151" i="6"/>
  <c r="E151" i="6"/>
  <c r="E150" i="6"/>
  <c r="F150" i="6" s="1"/>
  <c r="E149" i="6"/>
  <c r="F149" i="6" s="1"/>
  <c r="F148" i="6"/>
  <c r="E148" i="6"/>
  <c r="F147" i="6"/>
  <c r="E147" i="6"/>
  <c r="E146" i="6"/>
  <c r="F146" i="6" s="1"/>
  <c r="F145" i="6"/>
  <c r="E145" i="6"/>
  <c r="F144" i="6"/>
  <c r="E144" i="6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E130" i="6"/>
  <c r="F130" i="6" s="1"/>
  <c r="F129" i="6"/>
  <c r="E129" i="6"/>
  <c r="F128" i="6"/>
  <c r="E128" i="6"/>
  <c r="F127" i="6"/>
  <c r="E127" i="6"/>
  <c r="E126" i="6"/>
  <c r="F126" i="6" s="1"/>
  <c r="D124" i="6"/>
  <c r="E124" i="6" s="1"/>
  <c r="F124" i="6" s="1"/>
  <c r="C124" i="6"/>
  <c r="F123" i="6"/>
  <c r="E123" i="6"/>
  <c r="F122" i="6"/>
  <c r="E122" i="6"/>
  <c r="E121" i="6"/>
  <c r="F121" i="6" s="1"/>
  <c r="E120" i="6"/>
  <c r="F120" i="6" s="1"/>
  <c r="F119" i="6"/>
  <c r="E119" i="6"/>
  <c r="F118" i="6"/>
  <c r="E118" i="6"/>
  <c r="E117" i="6"/>
  <c r="F117" i="6" s="1"/>
  <c r="F116" i="6"/>
  <c r="E116" i="6"/>
  <c r="F115" i="6"/>
  <c r="E115" i="6"/>
  <c r="F114" i="6"/>
  <c r="E114" i="6"/>
  <c r="E113" i="6"/>
  <c r="F113" i="6" s="1"/>
  <c r="D111" i="6"/>
  <c r="C111" i="6"/>
  <c r="F110" i="6"/>
  <c r="E110" i="6"/>
  <c r="F109" i="6"/>
  <c r="E109" i="6"/>
  <c r="E108" i="6"/>
  <c r="F108" i="6" s="1"/>
  <c r="F107" i="6"/>
  <c r="E107" i="6"/>
  <c r="F106" i="6"/>
  <c r="E106" i="6"/>
  <c r="F105" i="6"/>
  <c r="E105" i="6"/>
  <c r="E104" i="6"/>
  <c r="F104" i="6" s="1"/>
  <c r="E103" i="6"/>
  <c r="F103" i="6" s="1"/>
  <c r="F102" i="6"/>
  <c r="E102" i="6"/>
  <c r="F101" i="6"/>
  <c r="E101" i="6"/>
  <c r="E100" i="6"/>
  <c r="F100" i="6" s="1"/>
  <c r="D94" i="6"/>
  <c r="C94" i="6"/>
  <c r="F94" i="6" s="1"/>
  <c r="F93" i="6"/>
  <c r="D93" i="6"/>
  <c r="E93" i="6" s="1"/>
  <c r="C93" i="6"/>
  <c r="D92" i="6"/>
  <c r="C92" i="6"/>
  <c r="D91" i="6"/>
  <c r="E91" i="6" s="1"/>
  <c r="F91" i="6" s="1"/>
  <c r="C91" i="6"/>
  <c r="D90" i="6"/>
  <c r="E90" i="6" s="1"/>
  <c r="F90" i="6" s="1"/>
  <c r="C90" i="6"/>
  <c r="D89" i="6"/>
  <c r="C89" i="6"/>
  <c r="D88" i="6"/>
  <c r="C88" i="6"/>
  <c r="D87" i="6"/>
  <c r="C87" i="6"/>
  <c r="D86" i="6"/>
  <c r="C86" i="6"/>
  <c r="D85" i="6"/>
  <c r="E85" i="6" s="1"/>
  <c r="F85" i="6" s="1"/>
  <c r="C85" i="6"/>
  <c r="D84" i="6"/>
  <c r="E84" i="6" s="1"/>
  <c r="C84" i="6"/>
  <c r="D81" i="6"/>
  <c r="C81" i="6"/>
  <c r="E81" i="6" s="1"/>
  <c r="F81" i="6" s="1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E73" i="6"/>
  <c r="F73" i="6" s="1"/>
  <c r="E72" i="6"/>
  <c r="F72" i="6" s="1"/>
  <c r="E71" i="6"/>
  <c r="F71" i="6" s="1"/>
  <c r="E70" i="6"/>
  <c r="F70" i="6" s="1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E58" i="6"/>
  <c r="F58" i="6" s="1"/>
  <c r="F57" i="6"/>
  <c r="E57" i="6"/>
  <c r="D51" i="6"/>
  <c r="C51" i="6"/>
  <c r="F51" i="6" s="1"/>
  <c r="D50" i="6"/>
  <c r="E50" i="6" s="1"/>
  <c r="C50" i="6"/>
  <c r="F50" i="6" s="1"/>
  <c r="D49" i="6"/>
  <c r="C49" i="6"/>
  <c r="E49" i="6" s="1"/>
  <c r="D48" i="6"/>
  <c r="E48" i="6" s="1"/>
  <c r="F48" i="6" s="1"/>
  <c r="C48" i="6"/>
  <c r="D47" i="6"/>
  <c r="E47" i="6" s="1"/>
  <c r="C47" i="6"/>
  <c r="D46" i="6"/>
  <c r="C46" i="6"/>
  <c r="E46" i="6" s="1"/>
  <c r="F46" i="6" s="1"/>
  <c r="D45" i="6"/>
  <c r="E45" i="6" s="1"/>
  <c r="C45" i="6"/>
  <c r="D44" i="6"/>
  <c r="E44" i="6" s="1"/>
  <c r="F44" i="6" s="1"/>
  <c r="C44" i="6"/>
  <c r="D43" i="6"/>
  <c r="E43" i="6"/>
  <c r="C43" i="6"/>
  <c r="D42" i="6"/>
  <c r="E42" i="6"/>
  <c r="F42" i="6" s="1"/>
  <c r="C42" i="6"/>
  <c r="D41" i="6"/>
  <c r="C41" i="6"/>
  <c r="D38" i="6"/>
  <c r="C38" i="6"/>
  <c r="F37" i="6"/>
  <c r="E37" i="6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E30" i="6"/>
  <c r="F30" i="6" s="1"/>
  <c r="E29" i="6"/>
  <c r="F29" i="6" s="1"/>
  <c r="F28" i="6"/>
  <c r="E28" i="6"/>
  <c r="E27" i="6"/>
  <c r="F27" i="6" s="1"/>
  <c r="D25" i="6"/>
  <c r="E25" i="6" s="1"/>
  <c r="F25" i="6" s="1"/>
  <c r="C25" i="6"/>
  <c r="F24" i="6"/>
  <c r="E24" i="6"/>
  <c r="F23" i="6"/>
  <c r="E23" i="6"/>
  <c r="E22" i="6"/>
  <c r="F22" i="6" s="1"/>
  <c r="F21" i="6"/>
  <c r="E21" i="6"/>
  <c r="F20" i="6"/>
  <c r="E20" i="6"/>
  <c r="E19" i="6"/>
  <c r="F19" i="6" s="1"/>
  <c r="F18" i="6"/>
  <c r="E18" i="6"/>
  <c r="F17" i="6"/>
  <c r="E17" i="6"/>
  <c r="F16" i="6"/>
  <c r="E16" i="6"/>
  <c r="E15" i="6"/>
  <c r="F15" i="6" s="1"/>
  <c r="E14" i="6"/>
  <c r="F14" i="6" s="1"/>
  <c r="E51" i="5"/>
  <c r="F51" i="5" s="1"/>
  <c r="D48" i="5"/>
  <c r="C48" i="5"/>
  <c r="F48" i="5" s="1"/>
  <c r="F47" i="5"/>
  <c r="E47" i="5"/>
  <c r="F46" i="5"/>
  <c r="E46" i="5"/>
  <c r="D41" i="5"/>
  <c r="C41" i="5"/>
  <c r="F40" i="5"/>
  <c r="E40" i="5"/>
  <c r="E39" i="5"/>
  <c r="F39" i="5" s="1"/>
  <c r="E38" i="5"/>
  <c r="F38" i="5"/>
  <c r="D33" i="5"/>
  <c r="C33" i="5"/>
  <c r="E32" i="5"/>
  <c r="F32" i="5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/>
  <c r="E24" i="5"/>
  <c r="F24" i="5"/>
  <c r="E20" i="5"/>
  <c r="F20" i="5" s="1"/>
  <c r="E19" i="5"/>
  <c r="F19" i="5" s="1"/>
  <c r="E17" i="5"/>
  <c r="F17" i="5" s="1"/>
  <c r="D16" i="5"/>
  <c r="D18" i="5"/>
  <c r="C16" i="5"/>
  <c r="F15" i="5"/>
  <c r="E15" i="5"/>
  <c r="E14" i="5"/>
  <c r="F14" i="5" s="1"/>
  <c r="E13" i="5"/>
  <c r="F13" i="5" s="1"/>
  <c r="E12" i="5"/>
  <c r="F12" i="5" s="1"/>
  <c r="D73" i="4"/>
  <c r="E73" i="4" s="1"/>
  <c r="F73" i="4"/>
  <c r="C73" i="4"/>
  <c r="E72" i="4"/>
  <c r="F72" i="4" s="1"/>
  <c r="E71" i="4"/>
  <c r="F71" i="4" s="1"/>
  <c r="E70" i="4"/>
  <c r="F70" i="4" s="1"/>
  <c r="F67" i="4"/>
  <c r="E67" i="4"/>
  <c r="F64" i="4"/>
  <c r="E64" i="4"/>
  <c r="E63" i="4"/>
  <c r="F63" i="4" s="1"/>
  <c r="D61" i="4"/>
  <c r="C61" i="4"/>
  <c r="E60" i="4"/>
  <c r="F60" i="4" s="1"/>
  <c r="E59" i="4"/>
  <c r="F59" i="4" s="1"/>
  <c r="D56" i="4"/>
  <c r="E56" i="4" s="1"/>
  <c r="C56" i="4"/>
  <c r="E55" i="4"/>
  <c r="F55" i="4" s="1"/>
  <c r="E54" i="4"/>
  <c r="F54" i="4" s="1"/>
  <c r="F53" i="4"/>
  <c r="E53" i="4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C38" i="4"/>
  <c r="E37" i="4"/>
  <c r="F37" i="4" s="1"/>
  <c r="E36" i="4"/>
  <c r="F36" i="4" s="1"/>
  <c r="E33" i="4"/>
  <c r="F33" i="4" s="1"/>
  <c r="F32" i="4"/>
  <c r="E32" i="4"/>
  <c r="F31" i="4"/>
  <c r="E31" i="4"/>
  <c r="D29" i="4"/>
  <c r="C29" i="4"/>
  <c r="E28" i="4"/>
  <c r="F28" i="4" s="1"/>
  <c r="E27" i="4"/>
  <c r="F27" i="4" s="1"/>
  <c r="F26" i="4"/>
  <c r="E26" i="4"/>
  <c r="E25" i="4"/>
  <c r="F25" i="4" s="1"/>
  <c r="D22" i="4"/>
  <c r="C22" i="4"/>
  <c r="E21" i="4"/>
  <c r="F21" i="4" s="1"/>
  <c r="F20" i="4"/>
  <c r="E20" i="4"/>
  <c r="E19" i="4"/>
  <c r="F19" i="4" s="1"/>
  <c r="E18" i="4"/>
  <c r="F18" i="4" s="1"/>
  <c r="F17" i="4"/>
  <c r="E17" i="4"/>
  <c r="F16" i="4"/>
  <c r="E16" i="4"/>
  <c r="E15" i="4"/>
  <c r="F15" i="4" s="1"/>
  <c r="F14" i="4"/>
  <c r="E14" i="4"/>
  <c r="F13" i="4"/>
  <c r="E13" i="4"/>
  <c r="C108" i="22"/>
  <c r="E109" i="22"/>
  <c r="E108" i="22"/>
  <c r="D22" i="22"/>
  <c r="D53" i="22" s="1"/>
  <c r="C23" i="22"/>
  <c r="C46" i="22" s="1"/>
  <c r="E23" i="22"/>
  <c r="C34" i="22"/>
  <c r="E34" i="22"/>
  <c r="C102" i="22"/>
  <c r="C103" i="22" s="1"/>
  <c r="E102" i="22"/>
  <c r="E103" i="22" s="1"/>
  <c r="C22" i="22"/>
  <c r="E22" i="22"/>
  <c r="E53" i="22" s="1"/>
  <c r="C41" i="20"/>
  <c r="D41" i="20"/>
  <c r="E39" i="20"/>
  <c r="E19" i="20"/>
  <c r="F19" i="20" s="1"/>
  <c r="C20" i="20"/>
  <c r="C38" i="19"/>
  <c r="C127" i="19" s="1"/>
  <c r="C129" i="19" s="1"/>
  <c r="C133" i="19" s="1"/>
  <c r="C22" i="19"/>
  <c r="C258" i="18"/>
  <c r="C101" i="18"/>
  <c r="C96" i="18"/>
  <c r="C89" i="18"/>
  <c r="C85" i="18"/>
  <c r="C83" i="18"/>
  <c r="C97" i="18"/>
  <c r="C95" i="18"/>
  <c r="C88" i="18"/>
  <c r="E33" i="18"/>
  <c r="D86" i="18"/>
  <c r="D96" i="18"/>
  <c r="E43" i="18"/>
  <c r="C283" i="18"/>
  <c r="E21" i="18"/>
  <c r="D22" i="18"/>
  <c r="D294" i="18"/>
  <c r="E37" i="18"/>
  <c r="C55" i="18"/>
  <c r="D289" i="18"/>
  <c r="E289" i="18" s="1"/>
  <c r="D71" i="18"/>
  <c r="E71" i="18" s="1"/>
  <c r="C65" i="18"/>
  <c r="C66" i="18" s="1"/>
  <c r="C71" i="18"/>
  <c r="D76" i="18"/>
  <c r="E32" i="18"/>
  <c r="D295" i="18"/>
  <c r="E36" i="18"/>
  <c r="E60" i="18"/>
  <c r="E69" i="18"/>
  <c r="E139" i="18"/>
  <c r="D144" i="18"/>
  <c r="C156" i="18"/>
  <c r="C157" i="18" s="1"/>
  <c r="E157" i="18" s="1"/>
  <c r="C163" i="18"/>
  <c r="D175" i="18"/>
  <c r="C234" i="18"/>
  <c r="E205" i="18"/>
  <c r="C211" i="18"/>
  <c r="C235" i="18"/>
  <c r="E216" i="18"/>
  <c r="E218" i="18"/>
  <c r="C222" i="18"/>
  <c r="C223" i="18" s="1"/>
  <c r="C229" i="18"/>
  <c r="E229" i="18" s="1"/>
  <c r="E231" i="18"/>
  <c r="D241" i="18"/>
  <c r="E241" i="18" s="1"/>
  <c r="C244" i="18"/>
  <c r="E244" i="18" s="1"/>
  <c r="D245" i="18"/>
  <c r="E251" i="18"/>
  <c r="D302" i="18"/>
  <c r="E265" i="18"/>
  <c r="C261" i="18"/>
  <c r="C189" i="18"/>
  <c r="E189" i="18" s="1"/>
  <c r="E188" i="18"/>
  <c r="D260" i="18"/>
  <c r="E195" i="18"/>
  <c r="D211" i="18"/>
  <c r="D239" i="18"/>
  <c r="E239" i="18" s="1"/>
  <c r="C242" i="18"/>
  <c r="D243" i="18"/>
  <c r="D303" i="18"/>
  <c r="D306" i="18" s="1"/>
  <c r="D310" i="18" s="1"/>
  <c r="D320" i="18"/>
  <c r="E320" i="18" s="1"/>
  <c r="E316" i="18"/>
  <c r="E326" i="18"/>
  <c r="D330" i="18"/>
  <c r="E330" i="18"/>
  <c r="D222" i="18"/>
  <c r="E314" i="18"/>
  <c r="E301" i="18"/>
  <c r="E324" i="18"/>
  <c r="D138" i="17"/>
  <c r="D21" i="17"/>
  <c r="D31" i="17"/>
  <c r="D48" i="17"/>
  <c r="D60" i="17"/>
  <c r="D68" i="17"/>
  <c r="E68" i="17" s="1"/>
  <c r="D77" i="17"/>
  <c r="E77" i="17" s="1"/>
  <c r="E85" i="17"/>
  <c r="F85" i="17" s="1"/>
  <c r="E88" i="17"/>
  <c r="F88" i="17"/>
  <c r="C89" i="17"/>
  <c r="E89" i="17" s="1"/>
  <c r="F89" i="17" s="1"/>
  <c r="E94" i="17"/>
  <c r="F94" i="17" s="1"/>
  <c r="E95" i="17"/>
  <c r="F95" i="17"/>
  <c r="E100" i="17"/>
  <c r="F100" i="17" s="1"/>
  <c r="E101" i="17"/>
  <c r="F101" i="17"/>
  <c r="C102" i="17"/>
  <c r="E109" i="17"/>
  <c r="F109" i="17"/>
  <c r="E110" i="17"/>
  <c r="F110" i="17" s="1"/>
  <c r="C111" i="17"/>
  <c r="E120" i="17"/>
  <c r="F120" i="17" s="1"/>
  <c r="C193" i="17"/>
  <c r="C192" i="17"/>
  <c r="E123" i="17"/>
  <c r="F123" i="17" s="1"/>
  <c r="C124" i="17"/>
  <c r="E129" i="17"/>
  <c r="F129" i="17" s="1"/>
  <c r="E130" i="17"/>
  <c r="F130" i="17" s="1"/>
  <c r="E135" i="17"/>
  <c r="F135" i="17"/>
  <c r="E136" i="17"/>
  <c r="F136" i="17"/>
  <c r="C137" i="17"/>
  <c r="E144" i="17"/>
  <c r="F144" i="17"/>
  <c r="E145" i="17"/>
  <c r="F145" i="17" s="1"/>
  <c r="C146" i="17"/>
  <c r="E146" i="17" s="1"/>
  <c r="D159" i="17"/>
  <c r="D172" i="17"/>
  <c r="D207" i="17" s="1"/>
  <c r="D181" i="17"/>
  <c r="E181" i="17" s="1"/>
  <c r="D278" i="17"/>
  <c r="D262" i="17"/>
  <c r="D215" i="17"/>
  <c r="E189" i="17"/>
  <c r="F189" i="17"/>
  <c r="D190" i="17"/>
  <c r="D290" i="17"/>
  <c r="E290" i="17" s="1"/>
  <c r="F290" i="17" s="1"/>
  <c r="D274" i="17"/>
  <c r="D300" i="17" s="1"/>
  <c r="E300" i="17" s="1"/>
  <c r="F300" i="17" s="1"/>
  <c r="E198" i="17"/>
  <c r="F198" i="17" s="1"/>
  <c r="D199" i="17"/>
  <c r="D200" i="17"/>
  <c r="C286" i="17"/>
  <c r="D285" i="17"/>
  <c r="E285" i="17" s="1"/>
  <c r="F285" i="17" s="1"/>
  <c r="D269" i="17"/>
  <c r="E204" i="17"/>
  <c r="F204" i="17" s="1"/>
  <c r="D205" i="17"/>
  <c r="C282" i="17"/>
  <c r="C281" i="17" s="1"/>
  <c r="C266" i="17"/>
  <c r="C265" i="17" s="1"/>
  <c r="E20" i="17"/>
  <c r="F20" i="17"/>
  <c r="C21" i="17"/>
  <c r="C37" i="17"/>
  <c r="D124" i="17"/>
  <c r="D277" i="17"/>
  <c r="D261" i="17"/>
  <c r="E261" i="17" s="1"/>
  <c r="F261" i="17" s="1"/>
  <c r="D214" i="17"/>
  <c r="E214" i="17" s="1"/>
  <c r="E188" i="17"/>
  <c r="F188" i="17"/>
  <c r="C288" i="17"/>
  <c r="D280" i="17"/>
  <c r="D264" i="17"/>
  <c r="E191" i="17"/>
  <c r="F191" i="17" s="1"/>
  <c r="D283" i="17"/>
  <c r="D287" i="17" s="1"/>
  <c r="D267" i="17"/>
  <c r="E203" i="17"/>
  <c r="F203" i="17" s="1"/>
  <c r="C190" i="17"/>
  <c r="C199" i="17"/>
  <c r="C200" i="17"/>
  <c r="C205" i="17"/>
  <c r="C206" i="17"/>
  <c r="E206" i="17" s="1"/>
  <c r="F206" i="17" s="1"/>
  <c r="C214" i="17"/>
  <c r="F214" i="17" s="1"/>
  <c r="C215" i="17"/>
  <c r="E226" i="17"/>
  <c r="F226" i="17" s="1"/>
  <c r="E237" i="17"/>
  <c r="F237" i="17" s="1"/>
  <c r="E250" i="17"/>
  <c r="F250" i="17" s="1"/>
  <c r="C254" i="17"/>
  <c r="C255" i="17"/>
  <c r="F255" i="17" s="1"/>
  <c r="C261" i="17"/>
  <c r="C271" i="17" s="1"/>
  <c r="C273" i="17" s="1"/>
  <c r="C262" i="17"/>
  <c r="C264" i="17"/>
  <c r="C267" i="17"/>
  <c r="C269" i="17"/>
  <c r="C274" i="17"/>
  <c r="E294" i="17"/>
  <c r="F294" i="17" s="1"/>
  <c r="E296" i="17"/>
  <c r="F296" i="17" s="1"/>
  <c r="E298" i="17"/>
  <c r="E295" i="17"/>
  <c r="F295" i="17"/>
  <c r="E297" i="17"/>
  <c r="F297" i="17" s="1"/>
  <c r="E299" i="17"/>
  <c r="F299" i="17" s="1"/>
  <c r="F38" i="14"/>
  <c r="F40" i="14" s="1"/>
  <c r="I31" i="14"/>
  <c r="D31" i="14"/>
  <c r="F31" i="14"/>
  <c r="H31" i="14"/>
  <c r="C33" i="14"/>
  <c r="C36" i="14" s="1"/>
  <c r="C38" i="14" s="1"/>
  <c r="C40" i="14" s="1"/>
  <c r="E33" i="14"/>
  <c r="E36" i="14" s="1"/>
  <c r="E38" i="14" s="1"/>
  <c r="E40" i="14" s="1"/>
  <c r="H17" i="14"/>
  <c r="E21" i="13"/>
  <c r="C15" i="13"/>
  <c r="E15" i="13"/>
  <c r="C48" i="13"/>
  <c r="C42" i="13" s="1"/>
  <c r="C20" i="12"/>
  <c r="D20" i="12"/>
  <c r="D34" i="12" s="1"/>
  <c r="E15" i="12"/>
  <c r="F15" i="12" s="1"/>
  <c r="E41" i="11"/>
  <c r="F41" i="11" s="1"/>
  <c r="E22" i="11"/>
  <c r="F22" i="11" s="1"/>
  <c r="E38" i="11"/>
  <c r="F38" i="11" s="1"/>
  <c r="E56" i="11"/>
  <c r="F56" i="11" s="1"/>
  <c r="E61" i="11"/>
  <c r="E23" i="10"/>
  <c r="E24" i="10"/>
  <c r="E36" i="10"/>
  <c r="E47" i="10"/>
  <c r="E48" i="10"/>
  <c r="E59" i="10"/>
  <c r="F59" i="10" s="1"/>
  <c r="E60" i="10"/>
  <c r="F60" i="10"/>
  <c r="E71" i="10"/>
  <c r="E72" i="10"/>
  <c r="E83" i="10"/>
  <c r="E84" i="10"/>
  <c r="E95" i="10"/>
  <c r="E96" i="10"/>
  <c r="E107" i="10"/>
  <c r="E108" i="10"/>
  <c r="E112" i="10"/>
  <c r="F112" i="10" s="1"/>
  <c r="E113" i="10"/>
  <c r="F113" i="10" s="1"/>
  <c r="E114" i="10"/>
  <c r="F114" i="10" s="1"/>
  <c r="E115" i="10"/>
  <c r="F115" i="10"/>
  <c r="E117" i="10"/>
  <c r="F117" i="10" s="1"/>
  <c r="E118" i="10"/>
  <c r="F118" i="10" s="1"/>
  <c r="E119" i="10"/>
  <c r="F119" i="10" s="1"/>
  <c r="C121" i="10"/>
  <c r="C122" i="10"/>
  <c r="F205" i="9"/>
  <c r="F206" i="9"/>
  <c r="E198" i="9"/>
  <c r="F198" i="9" s="1"/>
  <c r="D25" i="8"/>
  <c r="D27" i="8" s="1"/>
  <c r="D15" i="8"/>
  <c r="C53" i="8"/>
  <c r="C43" i="8"/>
  <c r="E53" i="8"/>
  <c r="E43" i="8"/>
  <c r="C49" i="8"/>
  <c r="E57" i="8"/>
  <c r="E62" i="8" s="1"/>
  <c r="D88" i="8"/>
  <c r="D90" i="8"/>
  <c r="D77" i="8"/>
  <c r="D71" i="8"/>
  <c r="E152" i="8"/>
  <c r="E157" i="8"/>
  <c r="D156" i="8"/>
  <c r="D154" i="8"/>
  <c r="D152" i="8"/>
  <c r="D49" i="8"/>
  <c r="E183" i="7"/>
  <c r="F183" i="7" s="1"/>
  <c r="D21" i="5"/>
  <c r="D35" i="5" s="1"/>
  <c r="E16" i="5"/>
  <c r="F16" i="5" s="1"/>
  <c r="C18" i="5"/>
  <c r="E33" i="5"/>
  <c r="F33" i="5" s="1"/>
  <c r="E41" i="5"/>
  <c r="F41" i="5" s="1"/>
  <c r="E48" i="5"/>
  <c r="D41" i="4"/>
  <c r="D43" i="4" s="1"/>
  <c r="D65" i="4"/>
  <c r="D75" i="4" s="1"/>
  <c r="E29" i="22"/>
  <c r="E37" i="22" s="1"/>
  <c r="E110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E48" i="22" s="1"/>
  <c r="D29" i="22"/>
  <c r="D37" i="22" s="1"/>
  <c r="E20" i="20"/>
  <c r="F20" i="20" s="1"/>
  <c r="F39" i="20"/>
  <c r="D246" i="18"/>
  <c r="E222" i="18"/>
  <c r="E243" i="18"/>
  <c r="D252" i="18"/>
  <c r="E252" i="18" s="1"/>
  <c r="E211" i="18"/>
  <c r="E260" i="18"/>
  <c r="D253" i="18"/>
  <c r="D223" i="18"/>
  <c r="D247" i="18" s="1"/>
  <c r="C284" i="18"/>
  <c r="E22" i="18"/>
  <c r="D259" i="18"/>
  <c r="D180" i="18"/>
  <c r="D145" i="18"/>
  <c r="D169" i="18" s="1"/>
  <c r="D168" i="18"/>
  <c r="E96" i="18"/>
  <c r="D208" i="17"/>
  <c r="C272" i="17"/>
  <c r="C300" i="17"/>
  <c r="E283" i="17"/>
  <c r="F283" i="17" s="1"/>
  <c r="E264" i="17"/>
  <c r="F264" i="17"/>
  <c r="D271" i="17"/>
  <c r="D304" i="17" s="1"/>
  <c r="E205" i="17"/>
  <c r="F205" i="17"/>
  <c r="E269" i="17"/>
  <c r="F269" i="17" s="1"/>
  <c r="E200" i="17"/>
  <c r="D272" i="17"/>
  <c r="E272" i="17" s="1"/>
  <c r="F272" i="17" s="1"/>
  <c r="E262" i="17"/>
  <c r="F262" i="17" s="1"/>
  <c r="C138" i="17"/>
  <c r="E138" i="17" s="1"/>
  <c r="F138" i="17" s="1"/>
  <c r="C194" i="17"/>
  <c r="D125" i="17"/>
  <c r="D90" i="17"/>
  <c r="E90" i="17" s="1"/>
  <c r="F90" i="17" s="1"/>
  <c r="E48" i="17"/>
  <c r="F48" i="17"/>
  <c r="D160" i="17"/>
  <c r="D32" i="17"/>
  <c r="C90" i="17"/>
  <c r="C270" i="17"/>
  <c r="F200" i="17"/>
  <c r="D270" i="17"/>
  <c r="E270" i="17" s="1"/>
  <c r="F270" i="17" s="1"/>
  <c r="E267" i="17"/>
  <c r="F267" i="17"/>
  <c r="E280" i="17"/>
  <c r="F280" i="17" s="1"/>
  <c r="D254" i="17"/>
  <c r="D279" i="17"/>
  <c r="E277" i="17"/>
  <c r="F277" i="17" s="1"/>
  <c r="C49" i="17"/>
  <c r="C126" i="17"/>
  <c r="C91" i="17"/>
  <c r="E199" i="17"/>
  <c r="F199" i="17" s="1"/>
  <c r="E274" i="17"/>
  <c r="F274" i="17"/>
  <c r="E190" i="17"/>
  <c r="F190" i="17" s="1"/>
  <c r="D255" i="17"/>
  <c r="E255" i="17" s="1"/>
  <c r="E215" i="17"/>
  <c r="F215" i="17"/>
  <c r="E278" i="17"/>
  <c r="F278" i="17"/>
  <c r="D173" i="17"/>
  <c r="F146" i="17"/>
  <c r="C103" i="17"/>
  <c r="E103" i="17" s="1"/>
  <c r="F103" i="17" s="1"/>
  <c r="D61" i="17"/>
  <c r="D139" i="17" s="1"/>
  <c r="D126" i="17"/>
  <c r="E126" i="17" s="1"/>
  <c r="F126" i="17" s="1"/>
  <c r="D91" i="17"/>
  <c r="E21" i="17"/>
  <c r="F21" i="17" s="1"/>
  <c r="D161" i="17"/>
  <c r="D162" i="17" s="1"/>
  <c r="D49" i="17"/>
  <c r="D50" i="17" s="1"/>
  <c r="E137" i="17"/>
  <c r="F137" i="17"/>
  <c r="C125" i="17"/>
  <c r="H33" i="14"/>
  <c r="H36" i="14"/>
  <c r="H38" i="14"/>
  <c r="H40" i="14" s="1"/>
  <c r="C24" i="13"/>
  <c r="C17" i="13"/>
  <c r="C28" i="13" s="1"/>
  <c r="C70" i="13" s="1"/>
  <c r="C72" i="13" s="1"/>
  <c r="C69" i="13" s="1"/>
  <c r="E24" i="13"/>
  <c r="E20" i="13"/>
  <c r="E17" i="13"/>
  <c r="E28" i="13" s="1"/>
  <c r="E22" i="13" s="1"/>
  <c r="D24" i="8"/>
  <c r="D17" i="8"/>
  <c r="D20" i="8"/>
  <c r="D21" i="8"/>
  <c r="C21" i="5"/>
  <c r="E18" i="5"/>
  <c r="F18" i="5"/>
  <c r="D55" i="22"/>
  <c r="D47" i="22"/>
  <c r="E56" i="22"/>
  <c r="C55" i="22"/>
  <c r="C47" i="22"/>
  <c r="C37" i="22"/>
  <c r="C112" i="22"/>
  <c r="E55" i="22"/>
  <c r="E47" i="22"/>
  <c r="D181" i="18"/>
  <c r="D127" i="17"/>
  <c r="C50" i="17"/>
  <c r="E254" i="17"/>
  <c r="F254" i="17" s="1"/>
  <c r="E125" i="17"/>
  <c r="F125" i="17"/>
  <c r="D92" i="17"/>
  <c r="D104" i="17"/>
  <c r="D174" i="17"/>
  <c r="C127" i="17"/>
  <c r="D112" i="8"/>
  <c r="D111" i="8" s="1"/>
  <c r="D28" i="8"/>
  <c r="D22" i="8" s="1"/>
  <c r="D21" i="13" l="1"/>
  <c r="E48" i="13"/>
  <c r="E42" i="13" s="1"/>
  <c r="D15" i="13"/>
  <c r="D50" i="13"/>
  <c r="F111" i="17"/>
  <c r="D42" i="12"/>
  <c r="E34" i="12"/>
  <c r="E138" i="8"/>
  <c r="E135" i="8"/>
  <c r="E140" i="8"/>
  <c r="E139" i="8"/>
  <c r="E136" i="8"/>
  <c r="E137" i="8"/>
  <c r="E66" i="18"/>
  <c r="C295" i="18"/>
  <c r="E295" i="18" s="1"/>
  <c r="F23" i="9"/>
  <c r="E253" i="18"/>
  <c r="E41" i="6"/>
  <c r="D99" i="8"/>
  <c r="D101" i="8" s="1"/>
  <c r="D98" i="8" s="1"/>
  <c r="D263" i="17"/>
  <c r="C54" i="22"/>
  <c r="E90" i="7"/>
  <c r="E153" i="8"/>
  <c r="F29" i="17"/>
  <c r="C98" i="18"/>
  <c r="C99" i="18"/>
  <c r="C87" i="18"/>
  <c r="C84" i="18"/>
  <c r="C100" i="18"/>
  <c r="C86" i="18"/>
  <c r="D158" i="8"/>
  <c r="C95" i="6"/>
  <c r="E94" i="6"/>
  <c r="E49" i="17"/>
  <c r="F49" i="17" s="1"/>
  <c r="E112" i="22"/>
  <c r="C196" i="17"/>
  <c r="D216" i="17"/>
  <c r="E216" i="17" s="1"/>
  <c r="F216" i="17" s="1"/>
  <c r="D268" i="17"/>
  <c r="E156" i="18"/>
  <c r="C111" i="22"/>
  <c r="E155" i="8"/>
  <c r="E86" i="18"/>
  <c r="C102" i="18"/>
  <c r="C103" i="18" s="1"/>
  <c r="C65" i="4"/>
  <c r="C75" i="4" s="1"/>
  <c r="E38" i="6"/>
  <c r="F38" i="6" s="1"/>
  <c r="E111" i="6"/>
  <c r="F111" i="6" s="1"/>
  <c r="E36" i="9"/>
  <c r="E62" i="9"/>
  <c r="E88" i="9"/>
  <c r="E114" i="9"/>
  <c r="E204" i="9"/>
  <c r="F204" i="9" s="1"/>
  <c r="C65" i="11"/>
  <c r="C75" i="11" s="1"/>
  <c r="F61" i="11"/>
  <c r="E240" i="18"/>
  <c r="D284" i="17"/>
  <c r="C263" i="17"/>
  <c r="D35" i="22"/>
  <c r="C30" i="22"/>
  <c r="C113" i="22" s="1"/>
  <c r="E35" i="22"/>
  <c r="E154" i="8"/>
  <c r="D86" i="8"/>
  <c r="E61" i="4"/>
  <c r="F61" i="4" s="1"/>
  <c r="E166" i="6"/>
  <c r="F166" i="6" s="1"/>
  <c r="E15" i="8"/>
  <c r="E25" i="8"/>
  <c r="E27" i="8" s="1"/>
  <c r="C216" i="17"/>
  <c r="E137" i="6"/>
  <c r="F137" i="6" s="1"/>
  <c r="C34" i="12"/>
  <c r="D210" i="17"/>
  <c r="D211" i="17" s="1"/>
  <c r="C304" i="17"/>
  <c r="E304" i="17" s="1"/>
  <c r="F304" i="17" s="1"/>
  <c r="C268" i="17"/>
  <c r="D77" i="18"/>
  <c r="D39" i="22"/>
  <c r="C36" i="22"/>
  <c r="E39" i="22"/>
  <c r="D95" i="6"/>
  <c r="E95" i="6" s="1"/>
  <c r="D153" i="8"/>
  <c r="E88" i="6"/>
  <c r="F88" i="6" s="1"/>
  <c r="E50" i="17"/>
  <c r="F50" i="17" s="1"/>
  <c r="C90" i="18"/>
  <c r="C91" i="18" s="1"/>
  <c r="D45" i="22"/>
  <c r="C40" i="22"/>
  <c r="E45" i="22"/>
  <c r="D155" i="8"/>
  <c r="E102" i="17"/>
  <c r="F102" i="17" s="1"/>
  <c r="C294" i="18"/>
  <c r="E294" i="18" s="1"/>
  <c r="E65" i="18"/>
  <c r="F35" i="10"/>
  <c r="E35" i="10"/>
  <c r="C254" i="18"/>
  <c r="E20" i="12"/>
  <c r="F20" i="12" s="1"/>
  <c r="E127" i="17"/>
  <c r="F127" i="17" s="1"/>
  <c r="F90" i="7"/>
  <c r="C246" i="18"/>
  <c r="E246" i="18" s="1"/>
  <c r="E38" i="4"/>
  <c r="F38" i="4" s="1"/>
  <c r="F43" i="6"/>
  <c r="F86" i="6"/>
  <c r="D208" i="9"/>
  <c r="E208" i="9" s="1"/>
  <c r="F208" i="9" s="1"/>
  <c r="E199" i="9"/>
  <c r="F199" i="9" s="1"/>
  <c r="E124" i="17"/>
  <c r="F124" i="17" s="1"/>
  <c r="D37" i="17"/>
  <c r="E37" i="17" s="1"/>
  <c r="F37" i="17" s="1"/>
  <c r="E29" i="4"/>
  <c r="F84" i="6"/>
  <c r="E87" i="6"/>
  <c r="F87" i="6" s="1"/>
  <c r="E18" i="7"/>
  <c r="F18" i="7" s="1"/>
  <c r="F30" i="7"/>
  <c r="E59" i="7"/>
  <c r="C149" i="8"/>
  <c r="E154" i="9"/>
  <c r="C57" i="13"/>
  <c r="E80" i="13"/>
  <c r="E77" i="13" s="1"/>
  <c r="D111" i="17"/>
  <c r="E111" i="17" s="1"/>
  <c r="D239" i="17"/>
  <c r="F19" i="21"/>
  <c r="F141" i="9"/>
  <c r="E203" i="9"/>
  <c r="F203" i="9" s="1"/>
  <c r="E40" i="18"/>
  <c r="C76" i="18"/>
  <c r="E76" i="18" s="1"/>
  <c r="E19" i="21"/>
  <c r="F36" i="17"/>
  <c r="D242" i="18"/>
  <c r="E242" i="18" s="1"/>
  <c r="E233" i="18"/>
  <c r="E278" i="18"/>
  <c r="E44" i="20"/>
  <c r="E227" i="17"/>
  <c r="F227" i="17" s="1"/>
  <c r="G33" i="14"/>
  <c r="I17" i="14"/>
  <c r="E92" i="6"/>
  <c r="F92" i="6" s="1"/>
  <c r="E153" i="6"/>
  <c r="F153" i="6" s="1"/>
  <c r="D57" i="8"/>
  <c r="D62" i="8" s="1"/>
  <c r="E23" i="9"/>
  <c r="E37" i="9"/>
  <c r="E179" i="9"/>
  <c r="E192" i="9"/>
  <c r="E200" i="9"/>
  <c r="E59" i="17"/>
  <c r="F59" i="17" s="1"/>
  <c r="D192" i="17"/>
  <c r="E306" i="17"/>
  <c r="E75" i="18"/>
  <c r="E167" i="18"/>
  <c r="E177" i="18"/>
  <c r="E215" i="18"/>
  <c r="E221" i="18"/>
  <c r="E282" i="18"/>
  <c r="C49" i="19"/>
  <c r="E45" i="20"/>
  <c r="D88" i="22"/>
  <c r="F47" i="6"/>
  <c r="E89" i="6"/>
  <c r="F89" i="6" s="1"/>
  <c r="E109" i="8"/>
  <c r="E106" i="8" s="1"/>
  <c r="D121" i="10"/>
  <c r="E121" i="10" s="1"/>
  <c r="F121" i="10" s="1"/>
  <c r="C80" i="13"/>
  <c r="C77" i="13" s="1"/>
  <c r="E60" i="15"/>
  <c r="E23" i="17"/>
  <c r="F23" i="17" s="1"/>
  <c r="E29" i="17"/>
  <c r="E53" i="17"/>
  <c r="F53" i="17" s="1"/>
  <c r="D261" i="18"/>
  <c r="E86" i="6"/>
  <c r="C109" i="8"/>
  <c r="C106" i="8" s="1"/>
  <c r="F50" i="9"/>
  <c r="F102" i="9"/>
  <c r="D43" i="11"/>
  <c r="F32" i="12"/>
  <c r="E50" i="13"/>
  <c r="F30" i="17"/>
  <c r="C144" i="18"/>
  <c r="E219" i="18"/>
  <c r="E227" i="18"/>
  <c r="E287" i="18"/>
  <c r="E245" i="18"/>
  <c r="C247" i="18"/>
  <c r="E247" i="18" s="1"/>
  <c r="E175" i="18"/>
  <c r="F59" i="7"/>
  <c r="C86" i="8"/>
  <c r="D122" i="10"/>
  <c r="E122" i="10" s="1"/>
  <c r="F122" i="10" s="1"/>
  <c r="C27" i="13"/>
  <c r="E66" i="17"/>
  <c r="F66" i="17" s="1"/>
  <c r="E164" i="17"/>
  <c r="E39" i="18"/>
  <c r="E73" i="18"/>
  <c r="E174" i="18"/>
  <c r="E178" i="18"/>
  <c r="D101" i="22"/>
  <c r="D103" i="22" s="1"/>
  <c r="E93" i="22"/>
  <c r="E70" i="13"/>
  <c r="E72" i="13" s="1"/>
  <c r="E69" i="13" s="1"/>
  <c r="D43" i="5"/>
  <c r="C92" i="17"/>
  <c r="E92" i="17" s="1"/>
  <c r="E91" i="17"/>
  <c r="F91" i="17" s="1"/>
  <c r="D49" i="12"/>
  <c r="C35" i="5"/>
  <c r="E35" i="5" s="1"/>
  <c r="E88" i="8"/>
  <c r="E90" i="8" s="1"/>
  <c r="E86" i="8" s="1"/>
  <c r="E77" i="8"/>
  <c r="E71" i="8" s="1"/>
  <c r="D46" i="20"/>
  <c r="E43" i="20"/>
  <c r="D105" i="17"/>
  <c r="D124" i="18"/>
  <c r="D121" i="18"/>
  <c r="E113" i="22"/>
  <c r="D288" i="17"/>
  <c r="E95" i="7"/>
  <c r="F95" i="7" s="1"/>
  <c r="C21" i="8"/>
  <c r="D99" i="18"/>
  <c r="E99" i="18" s="1"/>
  <c r="D89" i="18"/>
  <c r="E89" i="18" s="1"/>
  <c r="D84" i="18"/>
  <c r="D97" i="18"/>
  <c r="D98" i="18"/>
  <c r="E98" i="18" s="1"/>
  <c r="D85" i="18"/>
  <c r="E85" i="18" s="1"/>
  <c r="D258" i="18"/>
  <c r="D100" i="18"/>
  <c r="E100" i="18" s="1"/>
  <c r="D95" i="18"/>
  <c r="D87" i="18"/>
  <c r="E87" i="18" s="1"/>
  <c r="D88" i="18"/>
  <c r="E88" i="18" s="1"/>
  <c r="D83" i="18"/>
  <c r="D101" i="18"/>
  <c r="E101" i="18" s="1"/>
  <c r="E44" i="18"/>
  <c r="D234" i="18"/>
  <c r="E234" i="18" s="1"/>
  <c r="E210" i="18"/>
  <c r="E302" i="18"/>
  <c r="C303" i="18"/>
  <c r="D140" i="17"/>
  <c r="E271" i="17"/>
  <c r="F271" i="17" s="1"/>
  <c r="D254" i="18"/>
  <c r="D111" i="18"/>
  <c r="C38" i="22"/>
  <c r="C195" i="17"/>
  <c r="D273" i="17"/>
  <c r="E273" i="17" s="1"/>
  <c r="F273" i="17" s="1"/>
  <c r="D126" i="18"/>
  <c r="D123" i="18"/>
  <c r="C48" i="22"/>
  <c r="F45" i="6"/>
  <c r="F35" i="7"/>
  <c r="F121" i="7"/>
  <c r="C188" i="7"/>
  <c r="F167" i="7"/>
  <c r="C287" i="17"/>
  <c r="C284" i="17"/>
  <c r="C279" i="17"/>
  <c r="D62" i="17"/>
  <c r="D113" i="18"/>
  <c r="D110" i="18"/>
  <c r="C56" i="22"/>
  <c r="D286" i="17"/>
  <c r="E286" i="17" s="1"/>
  <c r="F286" i="17" s="1"/>
  <c r="E116" i="10"/>
  <c r="F116" i="10" s="1"/>
  <c r="E120" i="10"/>
  <c r="F120" i="10" s="1"/>
  <c r="F29" i="11"/>
  <c r="D108" i="22"/>
  <c r="D109" i="22"/>
  <c r="D175" i="17"/>
  <c r="D125" i="18"/>
  <c r="D112" i="22"/>
  <c r="E22" i="4"/>
  <c r="F22" i="4" s="1"/>
  <c r="E51" i="6"/>
  <c r="D52" i="6"/>
  <c r="F68" i="17"/>
  <c r="E223" i="18"/>
  <c r="D115" i="18"/>
  <c r="D112" i="18"/>
  <c r="E38" i="22"/>
  <c r="E21" i="5"/>
  <c r="F21" i="5" s="1"/>
  <c r="E130" i="7"/>
  <c r="F130" i="7" s="1"/>
  <c r="E21" i="8"/>
  <c r="C24" i="8"/>
  <c r="C20" i="8" s="1"/>
  <c r="C17" i="8"/>
  <c r="D209" i="17"/>
  <c r="D122" i="18"/>
  <c r="D110" i="22"/>
  <c r="F56" i="4"/>
  <c r="F41" i="6"/>
  <c r="F49" i="6"/>
  <c r="E68" i="6"/>
  <c r="F68" i="6" s="1"/>
  <c r="E79" i="8"/>
  <c r="D188" i="7"/>
  <c r="C77" i="8"/>
  <c r="C71" i="8" s="1"/>
  <c r="C138" i="8"/>
  <c r="E24" i="9"/>
  <c r="F24" i="9" s="1"/>
  <c r="C43" i="11"/>
  <c r="E29" i="11"/>
  <c r="F223" i="17"/>
  <c r="E74" i="18"/>
  <c r="F44" i="20"/>
  <c r="C41" i="4"/>
  <c r="C43" i="4" s="1"/>
  <c r="E76" i="9"/>
  <c r="F76" i="9" s="1"/>
  <c r="E128" i="9"/>
  <c r="F128" i="9" s="1"/>
  <c r="E153" i="9"/>
  <c r="C207" i="9"/>
  <c r="F73" i="11"/>
  <c r="F35" i="17"/>
  <c r="F44" i="17"/>
  <c r="E223" i="17"/>
  <c r="E307" i="17"/>
  <c r="F307" i="17" s="1"/>
  <c r="E162" i="18"/>
  <c r="E217" i="18"/>
  <c r="F21" i="21"/>
  <c r="E202" i="9"/>
  <c r="F202" i="9" s="1"/>
  <c r="D75" i="11"/>
  <c r="E25" i="20"/>
  <c r="F25" i="20" s="1"/>
  <c r="F23" i="20"/>
  <c r="F45" i="20"/>
  <c r="D149" i="8"/>
  <c r="F29" i="4"/>
  <c r="C52" i="6"/>
  <c r="C166" i="8"/>
  <c r="C65" i="19"/>
  <c r="C114" i="19" s="1"/>
  <c r="C116" i="19" s="1"/>
  <c r="C119" i="19" s="1"/>
  <c r="C123" i="19" s="1"/>
  <c r="E40" i="20"/>
  <c r="F40" i="20" s="1"/>
  <c r="E239" i="17"/>
  <c r="E54" i="18"/>
  <c r="D283" i="18"/>
  <c r="E283" i="18" s="1"/>
  <c r="D55" i="18"/>
  <c r="D23" i="22"/>
  <c r="D33" i="22"/>
  <c r="D34" i="22"/>
  <c r="F49" i="9"/>
  <c r="F75" i="9"/>
  <c r="F101" i="9"/>
  <c r="F127" i="9"/>
  <c r="F200" i="9"/>
  <c r="E155" i="17"/>
  <c r="F230" i="17"/>
  <c r="C239" i="17"/>
  <c r="F238" i="17"/>
  <c r="D59" i="13"/>
  <c r="D61" i="13" s="1"/>
  <c r="D57" i="13" s="1"/>
  <c r="C159" i="17"/>
  <c r="E36" i="20"/>
  <c r="F36" i="20" s="1"/>
  <c r="C172" i="17"/>
  <c r="D163" i="18"/>
  <c r="E163" i="18" s="1"/>
  <c r="C31" i="17"/>
  <c r="C60" i="17"/>
  <c r="E151" i="18"/>
  <c r="F16" i="20"/>
  <c r="E171" i="17"/>
  <c r="F40" i="12"/>
  <c r="D24" i="13" l="1"/>
  <c r="D20" i="13" s="1"/>
  <c r="D17" i="13"/>
  <c r="D28" i="13" s="1"/>
  <c r="C21" i="13"/>
  <c r="C20" i="13"/>
  <c r="C22" i="13"/>
  <c r="C140" i="8"/>
  <c r="C136" i="8"/>
  <c r="C137" i="8"/>
  <c r="C135" i="8"/>
  <c r="C141" i="8" s="1"/>
  <c r="C139" i="8"/>
  <c r="F95" i="6"/>
  <c r="D193" i="17"/>
  <c r="E192" i="17"/>
  <c r="F192" i="17" s="1"/>
  <c r="C42" i="12"/>
  <c r="C49" i="12" s="1"/>
  <c r="E49" i="12" s="1"/>
  <c r="F49" i="12" s="1"/>
  <c r="F34" i="12"/>
  <c r="E268" i="17"/>
  <c r="F268" i="17" s="1"/>
  <c r="E65" i="11"/>
  <c r="F65" i="11" s="1"/>
  <c r="E284" i="17"/>
  <c r="C180" i="18"/>
  <c r="E180" i="18" s="1"/>
  <c r="C145" i="18"/>
  <c r="E144" i="18"/>
  <c r="C168" i="18"/>
  <c r="E168" i="18" s="1"/>
  <c r="E75" i="11"/>
  <c r="F75" i="11" s="1"/>
  <c r="E188" i="7"/>
  <c r="E261" i="18"/>
  <c r="D263" i="18"/>
  <c r="I33" i="14"/>
  <c r="I36" i="14" s="1"/>
  <c r="I38" i="14" s="1"/>
  <c r="I40" i="14" s="1"/>
  <c r="G36" i="14"/>
  <c r="G38" i="14" s="1"/>
  <c r="G40" i="14" s="1"/>
  <c r="C105" i="18"/>
  <c r="D127" i="18"/>
  <c r="D114" i="18"/>
  <c r="D109" i="18"/>
  <c r="E141" i="8"/>
  <c r="F65" i="4"/>
  <c r="E254" i="18"/>
  <c r="E158" i="8"/>
  <c r="C77" i="18"/>
  <c r="C259" i="18"/>
  <c r="E17" i="8"/>
  <c r="E24" i="8"/>
  <c r="E20" i="8" s="1"/>
  <c r="E65" i="4"/>
  <c r="E263" i="17"/>
  <c r="F263" i="17" s="1"/>
  <c r="D54" i="22"/>
  <c r="D46" i="22"/>
  <c r="D111" i="22"/>
  <c r="D30" i="22"/>
  <c r="D36" i="22"/>
  <c r="D40" i="22"/>
  <c r="E55" i="18"/>
  <c r="D284" i="18"/>
  <c r="E284" i="18" s="1"/>
  <c r="D235" i="18"/>
  <c r="E235" i="18" s="1"/>
  <c r="E95" i="18"/>
  <c r="E75" i="4"/>
  <c r="F75" i="4"/>
  <c r="D128" i="18"/>
  <c r="E52" i="6"/>
  <c r="F188" i="7"/>
  <c r="E258" i="18"/>
  <c r="D264" i="18"/>
  <c r="D106" i="17"/>
  <c r="F35" i="5"/>
  <c r="C43" i="5"/>
  <c r="E43" i="5" s="1"/>
  <c r="E43" i="4"/>
  <c r="F43" i="4" s="1"/>
  <c r="D50" i="5"/>
  <c r="F52" i="6"/>
  <c r="C289" i="17"/>
  <c r="E287" i="17"/>
  <c r="F287" i="17"/>
  <c r="C291" i="17"/>
  <c r="C173" i="17"/>
  <c r="F172" i="17"/>
  <c r="C207" i="17"/>
  <c r="E172" i="17"/>
  <c r="F207" i="9"/>
  <c r="F159" i="17"/>
  <c r="C160" i="17"/>
  <c r="E159" i="17"/>
  <c r="C161" i="17"/>
  <c r="D137" i="8"/>
  <c r="D135" i="8"/>
  <c r="D140" i="8"/>
  <c r="D139" i="8"/>
  <c r="D138" i="8"/>
  <c r="D136" i="8"/>
  <c r="D116" i="18"/>
  <c r="D141" i="17"/>
  <c r="F43" i="20"/>
  <c r="E46" i="20"/>
  <c r="F46" i="20" s="1"/>
  <c r="E41" i="20"/>
  <c r="F41" i="20" s="1"/>
  <c r="C28" i="8"/>
  <c r="C112" i="8"/>
  <c r="C111" i="8" s="1"/>
  <c r="D63" i="17"/>
  <c r="E207" i="9"/>
  <c r="E83" i="18"/>
  <c r="E97" i="18"/>
  <c r="D102" i="18"/>
  <c r="E102" i="18" s="1"/>
  <c r="D289" i="17"/>
  <c r="D291" i="17"/>
  <c r="E288" i="17"/>
  <c r="F288" i="17" s="1"/>
  <c r="E43" i="11"/>
  <c r="F43" i="11" s="1"/>
  <c r="C61" i="17"/>
  <c r="E60" i="17"/>
  <c r="F60" i="17" s="1"/>
  <c r="F239" i="17"/>
  <c r="E279" i="17"/>
  <c r="F279" i="17" s="1"/>
  <c r="E41" i="4"/>
  <c r="F41" i="4" s="1"/>
  <c r="E84" i="18"/>
  <c r="D90" i="18"/>
  <c r="E90" i="18" s="1"/>
  <c r="C32" i="17"/>
  <c r="E31" i="17"/>
  <c r="F31" i="17" s="1"/>
  <c r="C156" i="8"/>
  <c r="C154" i="8"/>
  <c r="C152" i="8"/>
  <c r="C157" i="8"/>
  <c r="C153" i="8"/>
  <c r="C155" i="8"/>
  <c r="D176" i="17"/>
  <c r="F284" i="17"/>
  <c r="C306" i="18"/>
  <c r="E303" i="18"/>
  <c r="D129" i="18"/>
  <c r="F92" i="17"/>
  <c r="D70" i="13" l="1"/>
  <c r="D72" i="13" s="1"/>
  <c r="D69" i="13" s="1"/>
  <c r="D22" i="13"/>
  <c r="E109" i="18"/>
  <c r="C158" i="8"/>
  <c r="E112" i="8"/>
  <c r="E111" i="8" s="1"/>
  <c r="E28" i="8"/>
  <c r="C169" i="18"/>
  <c r="E169" i="18" s="1"/>
  <c r="C181" i="18"/>
  <c r="E181" i="18" s="1"/>
  <c r="E145" i="18"/>
  <c r="C124" i="18"/>
  <c r="E124" i="18" s="1"/>
  <c r="C123" i="18"/>
  <c r="C109" i="18"/>
  <c r="C122" i="18"/>
  <c r="E122" i="18" s="1"/>
  <c r="C121" i="18"/>
  <c r="E121" i="18" s="1"/>
  <c r="C115" i="18"/>
  <c r="E115" i="18" s="1"/>
  <c r="C114" i="18"/>
  <c r="E114" i="18" s="1"/>
  <c r="C113" i="18"/>
  <c r="E113" i="18" s="1"/>
  <c r="C110" i="18"/>
  <c r="E110" i="18" s="1"/>
  <c r="C112" i="18"/>
  <c r="E112" i="18" s="1"/>
  <c r="C127" i="18"/>
  <c r="C111" i="18"/>
  <c r="C126" i="18"/>
  <c r="E126" i="18" s="1"/>
  <c r="C125" i="18"/>
  <c r="E125" i="18" s="1"/>
  <c r="E77" i="18"/>
  <c r="E259" i="18"/>
  <c r="C263" i="18"/>
  <c r="C264" i="18" s="1"/>
  <c r="C266" i="18" s="1"/>
  <c r="C267" i="18" s="1"/>
  <c r="E127" i="18"/>
  <c r="D194" i="17"/>
  <c r="D282" i="17"/>
  <c r="D266" i="17"/>
  <c r="E193" i="17"/>
  <c r="F193" i="17" s="1"/>
  <c r="E42" i="12"/>
  <c r="F42" i="12" s="1"/>
  <c r="E160" i="17"/>
  <c r="F160" i="17" s="1"/>
  <c r="C310" i="18"/>
  <c r="E310" i="18" s="1"/>
  <c r="E306" i="18"/>
  <c r="D113" i="17"/>
  <c r="D324" i="17"/>
  <c r="D70" i="17"/>
  <c r="D323" i="17"/>
  <c r="D183" i="17"/>
  <c r="D305" i="17"/>
  <c r="E291" i="17"/>
  <c r="D266" i="18"/>
  <c r="E264" i="18"/>
  <c r="E289" i="17"/>
  <c r="F289" i="17" s="1"/>
  <c r="D141" i="8"/>
  <c r="C208" i="17"/>
  <c r="C209" i="17" s="1"/>
  <c r="E207" i="17"/>
  <c r="F207" i="17"/>
  <c r="D56" i="22"/>
  <c r="D48" i="22"/>
  <c r="D38" i="22"/>
  <c r="D113" i="22"/>
  <c r="D322" i="17"/>
  <c r="D148" i="17"/>
  <c r="C175" i="17"/>
  <c r="C62" i="17"/>
  <c r="C140" i="17"/>
  <c r="C105" i="17"/>
  <c r="E32" i="17"/>
  <c r="F32" i="17" s="1"/>
  <c r="C99" i="8"/>
  <c r="C101" i="8" s="1"/>
  <c r="C98" i="8" s="1"/>
  <c r="C22" i="8"/>
  <c r="D103" i="18"/>
  <c r="E103" i="18" s="1"/>
  <c r="E161" i="17"/>
  <c r="F161" i="17" s="1"/>
  <c r="C162" i="17"/>
  <c r="D117" i="18"/>
  <c r="F173" i="17"/>
  <c r="E173" i="17"/>
  <c r="C174" i="17"/>
  <c r="C139" i="17"/>
  <c r="C104" i="17"/>
  <c r="E61" i="17"/>
  <c r="F61" i="17" s="1"/>
  <c r="D91" i="18"/>
  <c r="C305" i="17"/>
  <c r="F291" i="17"/>
  <c r="F43" i="5"/>
  <c r="C50" i="5"/>
  <c r="E50" i="5" s="1"/>
  <c r="E266" i="17" l="1"/>
  <c r="F266" i="17" s="1"/>
  <c r="D265" i="17"/>
  <c r="E265" i="17" s="1"/>
  <c r="F265" i="17" s="1"/>
  <c r="E282" i="17"/>
  <c r="F282" i="17" s="1"/>
  <c r="D281" i="17"/>
  <c r="E281" i="17" s="1"/>
  <c r="F281" i="17" s="1"/>
  <c r="E263" i="18"/>
  <c r="D196" i="17"/>
  <c r="D195" i="17"/>
  <c r="E195" i="17" s="1"/>
  <c r="F195" i="17" s="1"/>
  <c r="E194" i="17"/>
  <c r="F194" i="17" s="1"/>
  <c r="C116" i="18"/>
  <c r="E116" i="18" s="1"/>
  <c r="E111" i="18"/>
  <c r="E22" i="8"/>
  <c r="E99" i="8"/>
  <c r="E101" i="8" s="1"/>
  <c r="E98" i="8" s="1"/>
  <c r="C128" i="18"/>
  <c r="E123" i="18"/>
  <c r="C269" i="18"/>
  <c r="C268" i="18"/>
  <c r="C271" i="18" s="1"/>
  <c r="F162" i="17"/>
  <c r="E162" i="17"/>
  <c r="C197" i="17"/>
  <c r="F209" i="17"/>
  <c r="E209" i="17"/>
  <c r="C176" i="17"/>
  <c r="C323" i="17" s="1"/>
  <c r="E175" i="17"/>
  <c r="F175" i="17" s="1"/>
  <c r="E266" i="18"/>
  <c r="D267" i="18"/>
  <c r="C309" i="17"/>
  <c r="D325" i="17"/>
  <c r="F50" i="5"/>
  <c r="D309" i="17"/>
  <c r="E305" i="17"/>
  <c r="F305" i="17" s="1"/>
  <c r="D105" i="18"/>
  <c r="E105" i="18" s="1"/>
  <c r="E91" i="18"/>
  <c r="D131" i="18"/>
  <c r="C106" i="17"/>
  <c r="E105" i="17"/>
  <c r="F105" i="17" s="1"/>
  <c r="E208" i="17"/>
  <c r="F208" i="17" s="1"/>
  <c r="E104" i="17"/>
  <c r="F104" i="17" s="1"/>
  <c r="C141" i="17"/>
  <c r="E140" i="17"/>
  <c r="F140" i="17" s="1"/>
  <c r="E139" i="17"/>
  <c r="F139" i="17" s="1"/>
  <c r="C63" i="17"/>
  <c r="E62" i="17"/>
  <c r="F62" i="17" s="1"/>
  <c r="E174" i="17"/>
  <c r="F174" i="17" s="1"/>
  <c r="C210" i="17"/>
  <c r="C117" i="18" l="1"/>
  <c r="C129" i="18"/>
  <c r="E129" i="18" s="1"/>
  <c r="E128" i="18"/>
  <c r="E196" i="17"/>
  <c r="F196" i="17" s="1"/>
  <c r="D197" i="17"/>
  <c r="C183" i="17"/>
  <c r="F183" i="17" s="1"/>
  <c r="F323" i="17"/>
  <c r="E323" i="17"/>
  <c r="C70" i="17"/>
  <c r="E63" i="17"/>
  <c r="F63" i="17" s="1"/>
  <c r="C310" i="17"/>
  <c r="F210" i="17"/>
  <c r="E210" i="17"/>
  <c r="C148" i="17"/>
  <c r="C322" i="17"/>
  <c r="C211" i="17"/>
  <c r="E141" i="17"/>
  <c r="F141" i="17" s="1"/>
  <c r="D269" i="18"/>
  <c r="E269" i="18" s="1"/>
  <c r="D268" i="18"/>
  <c r="E267" i="18"/>
  <c r="E197" i="17"/>
  <c r="F197" i="17" s="1"/>
  <c r="C324" i="17"/>
  <c r="C113" i="17"/>
  <c r="E106" i="17"/>
  <c r="F106" i="17" s="1"/>
  <c r="E309" i="17"/>
  <c r="F309" i="17" s="1"/>
  <c r="D310" i="17"/>
  <c r="F176" i="17"/>
  <c r="E176" i="17"/>
  <c r="C131" i="18" l="1"/>
  <c r="E131" i="18" s="1"/>
  <c r="E117" i="18"/>
  <c r="E183" i="17"/>
  <c r="E113" i="17"/>
  <c r="F113" i="17" s="1"/>
  <c r="C325" i="17"/>
  <c r="E324" i="17"/>
  <c r="F324" i="17" s="1"/>
  <c r="E211" i="17"/>
  <c r="F211" i="17" s="1"/>
  <c r="D271" i="18"/>
  <c r="E271" i="18" s="1"/>
  <c r="E268" i="18"/>
  <c r="E322" i="17"/>
  <c r="F322" i="17" s="1"/>
  <c r="E148" i="17"/>
  <c r="F148" i="17" s="1"/>
  <c r="E310" i="17"/>
  <c r="F310" i="17" s="1"/>
  <c r="D312" i="17"/>
  <c r="E70" i="17"/>
  <c r="F70" i="17" s="1"/>
  <c r="C312" i="17"/>
  <c r="E312" i="17" l="1"/>
  <c r="F312" i="17" s="1"/>
  <c r="D313" i="17"/>
  <c r="C313" i="17"/>
  <c r="E325" i="17"/>
  <c r="F325" i="17" s="1"/>
  <c r="C256" i="17" l="1"/>
  <c r="C251" i="17"/>
  <c r="C314" i="17"/>
  <c r="C315" i="17"/>
  <c r="D314" i="17"/>
  <c r="D251" i="17"/>
  <c r="E251" i="17" s="1"/>
  <c r="E313" i="17"/>
  <c r="F313" i="17" s="1"/>
  <c r="D256" i="17"/>
  <c r="D315" i="17"/>
  <c r="E314" i="17" l="1"/>
  <c r="F314" i="17" s="1"/>
  <c r="D318" i="17"/>
  <c r="C318" i="17"/>
  <c r="F251" i="17"/>
  <c r="E315" i="17"/>
  <c r="F315" i="17" s="1"/>
  <c r="E256" i="17"/>
  <c r="F256" i="17" s="1"/>
  <c r="D257" i="17"/>
  <c r="C257" i="17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<sst xmlns="http://schemas.openxmlformats.org/spreadsheetml/2006/main" count="2333" uniqueCount="1007">
  <si>
    <t>DAY KIMBALL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</si>
  <si>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</si>
  <si>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</si>
  <si>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</si>
  <si>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</si>
  <si>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</si>
  <si>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</si>
  <si>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</si>
  <si>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</si>
  <si>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</si>
  <si>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</si>
  <si>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</si>
  <si>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</si>
  <si>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</si>
  <si>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</si>
  <si>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</si>
  <si>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</si>
  <si>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</si>
  <si>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</si>
  <si>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</si>
  <si>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</si>
  <si>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</si>
  <si>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</si>
  <si>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</si>
  <si>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</si>
  <si>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</si>
  <si>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</si>
  <si>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</si>
  <si>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</si>
  <si>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</si>
  <si>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</si>
  <si>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</si>
  <si>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</si>
  <si>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</si>
  <si>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</si>
  <si>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</si>
  <si>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</si>
  <si>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</si>
  <si>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</si>
  <si>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</si>
  <si>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</si>
  <si>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</si>
  <si>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</si>
  <si>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</si>
  <si>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</si>
  <si>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</si>
  <si>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</si>
  <si>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</si>
  <si>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</si>
  <si>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</si>
  <si>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</si>
  <si>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</si>
  <si>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</si>
  <si>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</si>
  <si>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</si>
  <si>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</si>
  <si>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</si>
  <si>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</si>
  <si>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</si>
  <si>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</si>
  <si>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</si>
  <si>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</si>
  <si>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</si>
  <si>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</si>
  <si>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</si>
  <si>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</si>
  <si>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</si>
  <si>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</si>
  <si>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</si>
  <si>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</si>
  <si>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</si>
  <si>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</si>
  <si>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</si>
  <si>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</si>
  <si>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</si>
  <si>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</si>
  <si>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</si>
  <si>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</si>
  <si>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</si>
  <si>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</si>
  <si>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</si>
  <si>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</si>
  <si>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</si>
  <si>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</si>
  <si>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</si>
  <si>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</si>
  <si>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</si>
  <si>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</si>
  <si>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</si>
  <si>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</si>
  <si>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</si>
  <si>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</si>
  <si>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</si>
  <si>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</si>
  <si>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</si>
  <si>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</si>
  <si>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</si>
  <si>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</si>
  <si>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</si>
  <si>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</si>
  <si>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</si>
  <si>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</si>
  <si>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</si>
  <si>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</si>
  <si>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</si>
  <si>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</si>
  <si>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</si>
  <si>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</si>
  <si>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</si>
  <si>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</si>
  <si>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</si>
  <si>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</si>
  <si>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</si>
  <si>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</si>
  <si>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</si>
  <si>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</si>
  <si>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</si>
  <si>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</si>
  <si>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</si>
  <si>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</si>
  <si>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</si>
  <si>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</si>
  <si>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</si>
  <si>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</si>
  <si>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</si>
  <si>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</si>
  <si>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</si>
  <si>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</si>
  <si>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</si>
  <si>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</si>
  <si>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</si>
  <si>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</si>
  <si>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</si>
  <si>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</si>
  <si>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</si>
  <si>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</si>
  <si>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</si>
  <si>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</si>
  <si>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</si>
  <si>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</si>
  <si>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</si>
  <si>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</si>
  <si>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</si>
  <si>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</si>
  <si>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</si>
  <si>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</si>
  <si>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</si>
  <si>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</si>
  <si>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</si>
  <si>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</si>
  <si>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</si>
  <si>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</si>
  <si>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</si>
  <si>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</si>
  <si>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</si>
  <si>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</si>
  <si>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</si>
  <si>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</si>
  <si>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</si>
  <si>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</si>
  <si>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</si>
  <si>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</si>
  <si>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</si>
  <si>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</si>
  <si>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</si>
  <si>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</si>
  <si>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</si>
  <si>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</si>
  <si>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</si>
  <si>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</si>
  <si>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</si>
  <si>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</si>
  <si>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</si>
  <si>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</si>
  <si>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</si>
  <si>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</si>
  <si>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</si>
  <si>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</si>
  <si>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</si>
  <si>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</si>
  <si>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</si>
  <si>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</si>
  <si>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</si>
  <si>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</si>
  <si>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</si>
  <si>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</si>
  <si>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</si>
  <si>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</si>
  <si>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</si>
  <si>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</si>
  <si>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</si>
  <si>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</si>
  <si>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</si>
  <si>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</si>
  <si>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</si>
  <si>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</si>
  <si>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</si>
  <si>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</si>
  <si>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</si>
  <si>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</si>
  <si>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</si>
  <si>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</si>
  <si>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</si>
  <si>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</si>
  <si>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</si>
  <si>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</si>
  <si>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</si>
  <si>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</si>
  <si>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</si>
  <si>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</si>
  <si>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</si>
  <si>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</si>
  <si>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</si>
  <si>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</si>
  <si>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</si>
  <si>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</si>
  <si>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</si>
  <si>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</si>
  <si>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</si>
  <si>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</si>
  <si>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</si>
  <si>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</si>
  <si>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</si>
  <si>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</si>
  <si>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</si>
  <si>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</si>
  <si>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</si>
  <si>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</si>
  <si>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</si>
  <si>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</si>
  <si>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</si>
  <si>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</si>
  <si>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</si>
  <si>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</si>
  <si>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</si>
  <si>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</si>
  <si>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</si>
  <si>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</si>
  <si>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</si>
  <si>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</si>
  <si>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</si>
  <si>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</si>
  <si>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</si>
  <si>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</si>
  <si>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</si>
  <si>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</si>
  <si>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</si>
  <si>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</si>
  <si>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</si>
  <si>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</si>
  <si>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</si>
  <si>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</si>
  <si>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</si>
  <si>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</si>
  <si>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</si>
  <si>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</si>
  <si>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</si>
  <si>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</si>
  <si>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</si>
  <si>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</si>
  <si>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</si>
  <si>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</si>
  <si>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</si>
  <si>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</si>
  <si>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</si>
  <si>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</si>
  <si>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</si>
  <si>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</si>
  <si>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</si>
  <si>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</si>
  <si>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</si>
  <si>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</si>
  <si>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</si>
  <si>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</si>
  <si>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</si>
  <si>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</si>
  <si>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</si>
  <si>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</si>
  <si>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</si>
  <si>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</si>
  <si>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</si>
  <si>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</si>
  <si>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</si>
  <si>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</si>
  <si>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</si>
  <si>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</si>
  <si>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</si>
  <si>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</si>
  <si>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</si>
  <si>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</si>
  <si>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</si>
  <si>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</si>
  <si>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</si>
  <si>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</si>
  <si>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</si>
  <si>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</si>
  <si>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</si>
  <si>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</si>
  <si>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</si>
  <si>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</si>
  <si>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</si>
  <si>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</si>
  <si>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</si>
  <si>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</si>
  <si>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</si>
  <si>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</si>
  <si>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</si>
  <si>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</si>
  <si>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</si>
  <si>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</si>
  <si>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</si>
  <si>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</si>
  <si>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</si>
  <si>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</si>
  <si>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</si>
  <si>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</si>
  <si>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</si>
  <si>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</si>
  <si>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</si>
  <si>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</si>
  <si>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</si>
  <si>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</si>
  <si>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</si>
  <si>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</si>
  <si>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</si>
  <si>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</si>
  <si>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</si>
  <si>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</si>
  <si>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</si>
  <si>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</si>
  <si>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</si>
  <si>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</si>
  <si>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</si>
  <si>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</si>
  <si>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</si>
  <si>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</si>
  <si>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</si>
  <si>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</si>
  <si>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</si>
  <si>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</si>
  <si>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</si>
  <si>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</si>
  <si>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</si>
  <si>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</si>
  <si>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</si>
  <si>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</si>
  <si>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</si>
  <si>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</si>
  <si>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</si>
  <si>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</si>
  <si>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</si>
  <si>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</si>
  <si>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</si>
  <si>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</si>
  <si>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</si>
  <si>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</si>
  <si>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</si>
  <si>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</si>
  <si>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</si>
  <si>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</si>
  <si>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</si>
  <si>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</si>
  <si>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</si>
  <si>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</si>
  <si>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</si>
  <si>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</si>
  <si>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</si>
  <si>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</si>
  <si>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</si>
  <si>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</si>
  <si>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</si>
  <si>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</si>
  <si>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</si>
  <si>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</si>
  <si>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</si>
  <si>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</si>
  <si>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</si>
  <si>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</si>
  <si>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</si>
  <si>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</si>
  <si>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</si>
  <si>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</si>
  <si>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</si>
  <si>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</si>
  <si>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</si>
  <si>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</si>
  <si>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</si>
  <si>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</si>
  <si>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</si>
  <si>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</si>
  <si>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</si>
  <si>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</si>
  <si>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</si>
  <si>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</si>
  <si>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</si>
  <si>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</si>
  <si>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</si>
  <si>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</si>
  <si>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</si>
  <si>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</si>
  <si>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</si>
  <si>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</si>
  <si>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</si>
  <si>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</si>
  <si>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</si>
  <si>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</si>
  <si>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</si>
  <si>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</si>
  <si>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</si>
  <si>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</si>
  <si>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</si>
  <si>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</si>
  <si>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</si>
  <si>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</si>
  <si>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</si>
  <si>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</si>
  <si>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</si>
  <si>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</si>
  <si>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</si>
  <si>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</si>
  <si>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</si>
  <si>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</si>
  <si>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</si>
  <si>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</si>
  <si>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</si>
  <si>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</si>
  <si>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</si>
  <si>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</si>
  <si>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</si>
  <si>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</si>
  <si>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</si>
  <si>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</si>
  <si>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</si>
  <si>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</si>
  <si>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</si>
  <si>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</si>
  <si>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</si>
  <si>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</si>
  <si>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</si>
  <si>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</si>
  <si>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</si>
  <si>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</si>
  <si>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</si>
  <si>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</si>
  <si>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</si>
  <si>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</si>
  <si>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</si>
  <si>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</si>
  <si>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</si>
  <si>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</si>
  <si>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</si>
  <si>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</si>
  <si>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</si>
  <si>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</si>
  <si>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</si>
  <si>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</si>
  <si>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</si>
  <si>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</si>
  <si>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</si>
  <si>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</si>
  <si>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</si>
  <si>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</si>
  <si>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</si>
  <si>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</si>
  <si>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</si>
  <si>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</si>
  <si>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</si>
  <si>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</si>
  <si>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</si>
  <si>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</si>
  <si>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</si>
  <si>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</si>
  <si>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</si>
  <si>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</si>
  <si>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</si>
  <si>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</si>
  <si>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</si>
  <si>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</si>
  <si>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</si>
  <si>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</si>
  <si>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</si>
  <si>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</si>
  <si>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</si>
  <si>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</si>
  <si>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</si>
  <si>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</si>
  <si>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</si>
  <si>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</si>
  <si>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</si>
  <si>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</si>
  <si>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</si>
  <si>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</si>
  <si>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</si>
  <si>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</si>
  <si>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</si>
  <si>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</si>
  <si>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</si>
  <si>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</si>
  <si>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</si>
  <si>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</si>
  <si>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</si>
  <si>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</si>
  <si>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</si>
  <si>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</si>
  <si>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</si>
  <si>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</si>
  <si>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</si>
  <si>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</si>
  <si>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</si>
  <si>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</si>
  <si>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</si>
  <si>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</si>
  <si>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</si>
  <si>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</si>
  <si>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</si>
  <si>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</si>
  <si>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</si>
  <si>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</si>
  <si>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</si>
  <si>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</si>
  <si>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</si>
  <si>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</si>
  <si>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</si>
  <si>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</si>
  <si>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</si>
  <si>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</si>
  <si>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</si>
  <si>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</si>
  <si>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</si>
  <si>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</si>
  <si>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</si>
  <si>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</si>
  <si>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</si>
  <si>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</si>
  <si>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</si>
  <si>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</si>
  <si>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</si>
  <si>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</si>
  <si>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</si>
  <si>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</si>
  <si>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</si>
  <si>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</si>
  <si>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</si>
  <si>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</si>
  <si>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</si>
  <si>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</si>
  <si>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</si>
  <si>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</si>
  <si>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</si>
  <si>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</si>
  <si>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</si>
  <si>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</si>
  <si>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</si>
  <si>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</si>
  <si>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</si>
  <si>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</si>
  <si>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</si>
  <si>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</si>
  <si>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</si>
  <si>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</si>
  <si>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</si>
  <si>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</si>
  <si>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</si>
  <si>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</si>
  <si>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</si>
  <si>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</si>
  <si>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</si>
  <si>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</si>
  <si>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</si>
  <si>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</si>
  <si>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</si>
  <si>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</si>
  <si>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</si>
  <si>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</si>
  <si>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</si>
  <si>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</si>
  <si>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</si>
  <si>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</si>
  <si>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</si>
  <si>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</si>
  <si>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</si>
  <si>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</si>
  <si>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</si>
  <si>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</si>
  <si>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</si>
  <si>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</si>
  <si>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</si>
  <si>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</si>
  <si>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</si>
  <si>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</si>
  <si>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</si>
  <si>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</si>
  <si>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</si>
  <si>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</si>
  <si>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</si>
  <si>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</si>
  <si>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</si>
  <si>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</si>
  <si>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</si>
  <si>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</si>
  <si>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</si>
  <si>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</si>
  <si>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</si>
  <si>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</si>
  <si>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</si>
  <si>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</si>
  <si>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</si>
  <si>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</si>
  <si>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</si>
  <si>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</si>
  <si>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</si>
  <si>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</si>
  <si>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</si>
  <si>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</si>
  <si>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</si>
  <si>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</si>
  <si>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</si>
  <si>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</si>
  <si>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</si>
  <si>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</si>
  <si>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Day Kimball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</si>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</sst>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topLeftCell="A12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3619557</v>
      </c>
      <c r="D13" s="22">
        <v>8332457</v>
      </c>
      <c r="E13" s="22">
        <f t="shared" ref="E13:E22" si="0">D13-C13</f>
        <v>4712900</v>
      </c>
      <c r="F13" s="23">
        <f t="shared" ref="F13:F22" si="1">IF(C13=0,0,E13/C13)</f>
        <v>1.3020654185028719</v>
      </c>
    </row>
    <row r="14" spans="1:8" ht="24" customHeight="1" x14ac:dyDescent="0.2">
      <c r="A14" s="20">
        <v>2</v>
      </c>
      <c r="B14" s="21" t="s">
        <v>17</v>
      </c>
      <c r="C14" s="22">
        <v>2841383</v>
      </c>
      <c r="D14" s="22">
        <v>3332258</v>
      </c>
      <c r="E14" s="22">
        <f t="shared" si="0"/>
        <v>490875</v>
      </c>
      <c r="F14" s="23">
        <f t="shared" si="1"/>
        <v>0.17275918100446155</v>
      </c>
    </row>
    <row r="15" spans="1:8" ht="24" customHeight="1" x14ac:dyDescent="0.2">
      <c r="A15" s="20">
        <v>3</v>
      </c>
      <c r="B15" s="21" t="s">
        <v>18</v>
      </c>
      <c r="C15" s="22">
        <v>10634409</v>
      </c>
      <c r="D15" s="22">
        <v>9475141</v>
      </c>
      <c r="E15" s="22">
        <f t="shared" si="0"/>
        <v>-1159268</v>
      </c>
      <c r="F15" s="23">
        <f t="shared" si="1"/>
        <v>-0.10901104142223607</v>
      </c>
    </row>
    <row r="16" spans="1:8" ht="24" customHeight="1" x14ac:dyDescent="0.2">
      <c r="A16" s="20">
        <v>4</v>
      </c>
      <c r="B16" s="21" t="s">
        <v>19</v>
      </c>
      <c r="C16" s="22">
        <v>654243</v>
      </c>
      <c r="D16" s="22">
        <v>733355</v>
      </c>
      <c r="E16" s="22">
        <f t="shared" si="0"/>
        <v>79112</v>
      </c>
      <c r="F16" s="23">
        <f t="shared" si="1"/>
        <v>0.12092143133361763</v>
      </c>
    </row>
    <row r="17" spans="1:11" ht="24" customHeight="1" x14ac:dyDescent="0.2">
      <c r="A17" s="20">
        <v>5</v>
      </c>
      <c r="B17" s="21" t="s">
        <v>20</v>
      </c>
      <c r="C17" s="22">
        <v>1869</v>
      </c>
      <c r="D17" s="22">
        <v>15091</v>
      </c>
      <c r="E17" s="22">
        <f t="shared" si="0"/>
        <v>13222</v>
      </c>
      <c r="F17" s="23">
        <f t="shared" si="1"/>
        <v>7.0743713215623325</v>
      </c>
    </row>
    <row r="18" spans="1:11" ht="24" customHeight="1" x14ac:dyDescent="0.2">
      <c r="A18" s="20">
        <v>6</v>
      </c>
      <c r="B18" s="21" t="s">
        <v>21</v>
      </c>
      <c r="C18" s="22">
        <v>1352274</v>
      </c>
      <c r="D18" s="22">
        <v>809012</v>
      </c>
      <c r="E18" s="22">
        <f t="shared" si="0"/>
        <v>-543262</v>
      </c>
      <c r="F18" s="23">
        <f t="shared" si="1"/>
        <v>-0.40173958827870682</v>
      </c>
    </row>
    <row r="19" spans="1:11" ht="24" customHeight="1" x14ac:dyDescent="0.2">
      <c r="A19" s="20">
        <v>7</v>
      </c>
      <c r="B19" s="21" t="s">
        <v>22</v>
      </c>
      <c r="C19" s="22">
        <v>2081986</v>
      </c>
      <c r="D19" s="22">
        <v>2506483</v>
      </c>
      <c r="E19" s="22">
        <f t="shared" si="0"/>
        <v>424497</v>
      </c>
      <c r="F19" s="23">
        <f t="shared" si="1"/>
        <v>0.20389042001243043</v>
      </c>
    </row>
    <row r="20" spans="1:11" ht="24" customHeight="1" x14ac:dyDescent="0.2">
      <c r="A20" s="20">
        <v>8</v>
      </c>
      <c r="B20" s="21" t="s">
        <v>23</v>
      </c>
      <c r="C20" s="22">
        <v>320783</v>
      </c>
      <c r="D20" s="22">
        <v>274621</v>
      </c>
      <c r="E20" s="22">
        <f t="shared" si="0"/>
        <v>-46162</v>
      </c>
      <c r="F20" s="23">
        <f t="shared" si="1"/>
        <v>-0.14390413457072226</v>
      </c>
    </row>
    <row r="21" spans="1:11" ht="24" customHeight="1" x14ac:dyDescent="0.2">
      <c r="A21" s="20">
        <v>9</v>
      </c>
      <c r="B21" s="21" t="s">
        <v>24</v>
      </c>
      <c r="C21" s="22">
        <v>3730830</v>
      </c>
      <c r="D21" s="22">
        <v>750712</v>
      </c>
      <c r="E21" s="22">
        <f t="shared" si="0"/>
        <v>-2980118</v>
      </c>
      <c r="F21" s="23">
        <f t="shared" si="1"/>
        <v>-0.79878150438374307</v>
      </c>
    </row>
    <row r="22" spans="1:11" ht="24" customHeight="1" x14ac:dyDescent="0.25">
      <c r="A22" s="24"/>
      <c r="B22" s="25" t="s">
        <v>25</v>
      </c>
      <c r="C22" s="26">
        <f>SUM(C13:C21)</f>
        <v>25237334</v>
      </c>
      <c r="D22" s="26">
        <f>SUM(D13:D21)</f>
        <v>26229130</v>
      </c>
      <c r="E22" s="26">
        <f t="shared" si="0"/>
        <v>991796</v>
      </c>
      <c r="F22" s="27">
        <f t="shared" si="1"/>
        <v>3.9298762698151871E-2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4209026</v>
      </c>
      <c r="D25" s="22">
        <v>4040534</v>
      </c>
      <c r="E25" s="22">
        <f>D25-C25</f>
        <v>-168492</v>
      </c>
      <c r="F25" s="23">
        <f>IF(C25=0,0,E25/C25)</f>
        <v>-4.0031114086726952E-2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2061464</v>
      </c>
      <c r="D27" s="22">
        <v>2261884</v>
      </c>
      <c r="E27" s="22">
        <f>D27-C27</f>
        <v>200420</v>
      </c>
      <c r="F27" s="23">
        <f>IF(C27=0,0,E27/C27)</f>
        <v>9.722216832309466E-2</v>
      </c>
    </row>
    <row r="28" spans="1:11" ht="24" customHeight="1" x14ac:dyDescent="0.2">
      <c r="A28" s="20">
        <v>4</v>
      </c>
      <c r="B28" s="21" t="s">
        <v>31</v>
      </c>
      <c r="C28" s="22">
        <v>1472779</v>
      </c>
      <c r="D28" s="22">
        <v>1780785</v>
      </c>
      <c r="E28" s="22">
        <f>D28-C28</f>
        <v>308006</v>
      </c>
      <c r="F28" s="23">
        <f>IF(C28=0,0,E28/C28)</f>
        <v>0.20913253108579088</v>
      </c>
    </row>
    <row r="29" spans="1:11" ht="24" customHeight="1" x14ac:dyDescent="0.25">
      <c r="A29" s="24"/>
      <c r="B29" s="25" t="s">
        <v>32</v>
      </c>
      <c r="C29" s="26">
        <f>SUM(C25:C28)</f>
        <v>7743269</v>
      </c>
      <c r="D29" s="26">
        <f>SUM(D25:D28)</f>
        <v>8083203</v>
      </c>
      <c r="E29" s="26">
        <f>D29-C29</f>
        <v>339934</v>
      </c>
      <c r="F29" s="27">
        <f>IF(C29=0,0,E29/C29)</f>
        <v>4.3900579974685112E-2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8384272</v>
      </c>
      <c r="D32" s="22">
        <v>8670707</v>
      </c>
      <c r="E32" s="22">
        <f>D32-C32</f>
        <v>286435</v>
      </c>
      <c r="F32" s="23">
        <f>IF(C32=0,0,E32/C32)</f>
        <v>3.4163371608173017E-2</v>
      </c>
    </row>
    <row r="33" spans="1:8" ht="24" customHeight="1" x14ac:dyDescent="0.2">
      <c r="A33" s="20">
        <v>7</v>
      </c>
      <c r="B33" s="21" t="s">
        <v>35</v>
      </c>
      <c r="C33" s="22">
        <v>48270</v>
      </c>
      <c r="D33" s="22">
        <v>9440220</v>
      </c>
      <c r="E33" s="22">
        <f>D33-C33</f>
        <v>9391950</v>
      </c>
      <c r="F33" s="23">
        <f>IF(C33=0,0,E33/C33)</f>
        <v>194.57116221255438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117636063</v>
      </c>
      <c r="D36" s="22">
        <v>113323955</v>
      </c>
      <c r="E36" s="22">
        <f>D36-C36</f>
        <v>-4312108</v>
      </c>
      <c r="F36" s="23">
        <f>IF(C36=0,0,E36/C36)</f>
        <v>-3.6656344066870038E-2</v>
      </c>
    </row>
    <row r="37" spans="1:8" ht="24" customHeight="1" x14ac:dyDescent="0.2">
      <c r="A37" s="20">
        <v>2</v>
      </c>
      <c r="B37" s="21" t="s">
        <v>39</v>
      </c>
      <c r="C37" s="22">
        <v>73223692</v>
      </c>
      <c r="D37" s="22">
        <v>78548855</v>
      </c>
      <c r="E37" s="22">
        <f>D37-C37</f>
        <v>5325163</v>
      </c>
      <c r="F37" s="23">
        <f>IF(C37=0,0,E37/C37)</f>
        <v>7.2724590286979793E-2</v>
      </c>
    </row>
    <row r="38" spans="1:8" ht="24" customHeight="1" x14ac:dyDescent="0.25">
      <c r="A38" s="24"/>
      <c r="B38" s="25" t="s">
        <v>40</v>
      </c>
      <c r="C38" s="26">
        <f>C36-C37</f>
        <v>44412371</v>
      </c>
      <c r="D38" s="26">
        <f>D36-D37</f>
        <v>34775100</v>
      </c>
      <c r="E38" s="26">
        <f>D38-C38</f>
        <v>-9637271</v>
      </c>
      <c r="F38" s="27">
        <f>IF(C38=0,0,E38/C38)</f>
        <v>-0.21699519262324454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4666369</v>
      </c>
      <c r="D40" s="22">
        <v>3192013</v>
      </c>
      <c r="E40" s="22">
        <f>D40-C40</f>
        <v>-1474356</v>
      </c>
      <c r="F40" s="23">
        <f>IF(C40=0,0,E40/C40)</f>
        <v>-0.31595358189633094</v>
      </c>
    </row>
    <row r="41" spans="1:8" ht="24" customHeight="1" x14ac:dyDescent="0.25">
      <c r="A41" s="24"/>
      <c r="B41" s="25" t="s">
        <v>42</v>
      </c>
      <c r="C41" s="26">
        <f>+C38+C40</f>
        <v>49078740</v>
      </c>
      <c r="D41" s="26">
        <f>+D38+D40</f>
        <v>37967113</v>
      </c>
      <c r="E41" s="26">
        <f>D41-C41</f>
        <v>-11111627</v>
      </c>
      <c r="F41" s="27">
        <f>IF(C41=0,0,E41/C41)</f>
        <v>-0.22640408046335339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90491885</v>
      </c>
      <c r="D43" s="26">
        <f>D22+D29+D31+D32+D33+D41</f>
        <v>90390373</v>
      </c>
      <c r="E43" s="26">
        <f>D43-C43</f>
        <v>-101512</v>
      </c>
      <c r="F43" s="27">
        <f>IF(C43=0,0,E43/C43)</f>
        <v>-1.1217801463634005E-3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9450701</v>
      </c>
      <c r="D49" s="22">
        <v>8329752</v>
      </c>
      <c r="E49" s="22">
        <f t="shared" ref="E49:E56" si="2">D49-C49</f>
        <v>-1120949</v>
      </c>
      <c r="F49" s="23">
        <f t="shared" ref="F49:F56" si="3">IF(C49=0,0,E49/C49)</f>
        <v>-0.11861014331106232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1497410</v>
      </c>
      <c r="D50" s="22">
        <v>1012317</v>
      </c>
      <c r="E50" s="22">
        <f t="shared" si="2"/>
        <v>-485093</v>
      </c>
      <c r="F50" s="23">
        <f t="shared" si="3"/>
        <v>-0.32395469510688457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4459573</v>
      </c>
      <c r="D51" s="22">
        <v>5928462</v>
      </c>
      <c r="E51" s="22">
        <f t="shared" si="2"/>
        <v>1468889</v>
      </c>
      <c r="F51" s="23">
        <f t="shared" si="3"/>
        <v>0.32937884411803553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1473425</v>
      </c>
      <c r="D53" s="22">
        <v>1616174</v>
      </c>
      <c r="E53" s="22">
        <f t="shared" si="2"/>
        <v>142749</v>
      </c>
      <c r="F53" s="23">
        <f t="shared" si="3"/>
        <v>9.6882433785228289E-2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750400</v>
      </c>
      <c r="D54" s="22">
        <v>723607</v>
      </c>
      <c r="E54" s="22">
        <f t="shared" si="2"/>
        <v>-26793</v>
      </c>
      <c r="F54" s="23">
        <f t="shared" si="3"/>
        <v>-3.5704957356076761E-2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5991333</v>
      </c>
      <c r="D55" s="22">
        <v>4456762</v>
      </c>
      <c r="E55" s="22">
        <f t="shared" si="2"/>
        <v>-1534571</v>
      </c>
      <c r="F55" s="23">
        <f t="shared" si="3"/>
        <v>-0.25613181574117144</v>
      </c>
    </row>
    <row r="56" spans="1:6" ht="24" customHeight="1" x14ac:dyDescent="0.25">
      <c r="A56" s="24"/>
      <c r="B56" s="25" t="s">
        <v>54</v>
      </c>
      <c r="C56" s="26">
        <f>SUM(C49:C55)</f>
        <v>23622842</v>
      </c>
      <c r="D56" s="26">
        <f>SUM(D49:D55)</f>
        <v>22067074</v>
      </c>
      <c r="E56" s="26">
        <f t="shared" si="2"/>
        <v>-1555768</v>
      </c>
      <c r="F56" s="27">
        <f t="shared" si="3"/>
        <v>-6.5858629541695274E-2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27705000</v>
      </c>
      <c r="D59" s="22">
        <v>25608168</v>
      </c>
      <c r="E59" s="22">
        <f>D59-C59</f>
        <v>-2096832</v>
      </c>
      <c r="F59" s="23">
        <f>IF(C59=0,0,E59/C59)</f>
        <v>-7.5684244721169469E-2</v>
      </c>
    </row>
    <row r="60" spans="1:6" ht="24" customHeight="1" x14ac:dyDescent="0.2">
      <c r="A60" s="20">
        <v>2</v>
      </c>
      <c r="B60" s="21" t="s">
        <v>57</v>
      </c>
      <c r="C60" s="22">
        <v>102336</v>
      </c>
      <c r="D60" s="22">
        <v>352566</v>
      </c>
      <c r="E60" s="22">
        <f>D60-C60</f>
        <v>250230</v>
      </c>
      <c r="F60" s="23">
        <f>IF(C60=0,0,E60/C60)</f>
        <v>2.4451805816135086</v>
      </c>
    </row>
    <row r="61" spans="1:6" ht="24" customHeight="1" x14ac:dyDescent="0.25">
      <c r="A61" s="24"/>
      <c r="B61" s="25" t="s">
        <v>58</v>
      </c>
      <c r="C61" s="26">
        <f>SUM(C59:C60)</f>
        <v>27807336</v>
      </c>
      <c r="D61" s="26">
        <f>SUM(D59:D60)</f>
        <v>25960734</v>
      </c>
      <c r="E61" s="26">
        <f>D61-C61</f>
        <v>-1846602</v>
      </c>
      <c r="F61" s="27">
        <f>IF(C61=0,0,E61/C61)</f>
        <v>-6.6407008567811024E-2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49175366</v>
      </c>
      <c r="D63" s="22">
        <v>56290353</v>
      </c>
      <c r="E63" s="22">
        <f>D63-C63</f>
        <v>7114987</v>
      </c>
      <c r="F63" s="23">
        <f>IF(C63=0,0,E63/C63)</f>
        <v>0.14468599989677758</v>
      </c>
    </row>
    <row r="64" spans="1:6" ht="24" customHeight="1" x14ac:dyDescent="0.2">
      <c r="A64" s="20">
        <v>4</v>
      </c>
      <c r="B64" s="21" t="s">
        <v>60</v>
      </c>
      <c r="C64" s="22">
        <v>512200</v>
      </c>
      <c r="D64" s="22">
        <v>723607</v>
      </c>
      <c r="E64" s="22">
        <f>D64-C64</f>
        <v>211407</v>
      </c>
      <c r="F64" s="23">
        <f>IF(C64=0,0,E64/C64)</f>
        <v>0.41274306911362751</v>
      </c>
    </row>
    <row r="65" spans="1:6" ht="24" customHeight="1" x14ac:dyDescent="0.25">
      <c r="A65" s="24"/>
      <c r="B65" s="25" t="s">
        <v>61</v>
      </c>
      <c r="C65" s="26">
        <f>SUM(C61:C64)</f>
        <v>77494902</v>
      </c>
      <c r="D65" s="26">
        <f>SUM(D61:D64)</f>
        <v>82974694</v>
      </c>
      <c r="E65" s="26">
        <f>D65-C65</f>
        <v>5479792</v>
      </c>
      <c r="F65" s="27">
        <f>IF(C65=0,0,E65/C65)</f>
        <v>7.0711645006016011E-2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-17585755</v>
      </c>
      <c r="D70" s="22">
        <v>-21133489</v>
      </c>
      <c r="E70" s="22">
        <f>D70-C70</f>
        <v>-3547734</v>
      </c>
      <c r="F70" s="23">
        <f>IF(C70=0,0,E70/C70)</f>
        <v>0.20173907802081856</v>
      </c>
    </row>
    <row r="71" spans="1:6" ht="24" customHeight="1" x14ac:dyDescent="0.2">
      <c r="A71" s="20">
        <v>2</v>
      </c>
      <c r="B71" s="21" t="s">
        <v>65</v>
      </c>
      <c r="C71" s="22">
        <v>2893106</v>
      </c>
      <c r="D71" s="22">
        <v>2306160</v>
      </c>
      <c r="E71" s="22">
        <f>D71-C71</f>
        <v>-586946</v>
      </c>
      <c r="F71" s="23">
        <f>IF(C71=0,0,E71/C71)</f>
        <v>-0.20287746110927149</v>
      </c>
    </row>
    <row r="72" spans="1:6" ht="24" customHeight="1" x14ac:dyDescent="0.2">
      <c r="A72" s="20">
        <v>3</v>
      </c>
      <c r="B72" s="21" t="s">
        <v>66</v>
      </c>
      <c r="C72" s="22">
        <v>4066790</v>
      </c>
      <c r="D72" s="22">
        <v>4175934</v>
      </c>
      <c r="E72" s="22">
        <f>D72-C72</f>
        <v>109144</v>
      </c>
      <c r="F72" s="23">
        <f>IF(C72=0,0,E72/C72)</f>
        <v>2.6837874589049349E-2</v>
      </c>
    </row>
    <row r="73" spans="1:6" ht="24" customHeight="1" x14ac:dyDescent="0.25">
      <c r="A73" s="20"/>
      <c r="B73" s="25" t="s">
        <v>67</v>
      </c>
      <c r="C73" s="26">
        <f>SUM(C70:C72)</f>
        <v>-10625859</v>
      </c>
      <c r="D73" s="26">
        <f>SUM(D70:D72)</f>
        <v>-14651395</v>
      </c>
      <c r="E73" s="26">
        <f>D73-C73</f>
        <v>-4025536</v>
      </c>
      <c r="F73" s="27">
        <f>IF(C73=0,0,E73/C73)</f>
        <v>0.37884334810013948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90491885</v>
      </c>
      <c r="D75" s="26">
        <f>D56+D65+D67+D73</f>
        <v>90390373</v>
      </c>
      <c r="E75" s="26">
        <f>D75-C75</f>
        <v>-101512</v>
      </c>
      <c r="F75" s="27">
        <f>IF(C75=0,0,E75/C75)</f>
        <v>-1.1217801463634005E-3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FILING&amp;RDAY KIMBALL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="70" zoomScaleNormal="70" zoomScaleSheetLayoutView="75" workbookViewId="0">
      <selection activeCell="K25" sqref="K25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5" width="19" style="225" customWidth="1"/>
    <col min="6" max="6" width="18.7109375" style="56" customWidth="1"/>
    <col min="7" max="16384" width="9.140625" style="56"/>
  </cols>
  <sheetData>
    <row r="1" spans="1:5" ht="24" customHeight="1" x14ac:dyDescent="0.25">
      <c r="A1" s="766" t="s">
        <v>0</v>
      </c>
      <c r="B1" s="767"/>
      <c r="C1" s="767"/>
      <c r="D1" s="767"/>
      <c r="E1" s="768"/>
    </row>
    <row r="2" spans="1:5" ht="24" customHeight="1" x14ac:dyDescent="0.25">
      <c r="A2" s="766" t="s">
        <v>1</v>
      </c>
      <c r="B2" s="767"/>
      <c r="C2" s="767"/>
      <c r="D2" s="767"/>
      <c r="E2" s="768"/>
    </row>
    <row r="3" spans="1:5" ht="24" customHeight="1" x14ac:dyDescent="0.25">
      <c r="A3" s="766" t="s">
        <v>2</v>
      </c>
      <c r="B3" s="767"/>
      <c r="C3" s="767"/>
      <c r="D3" s="767"/>
      <c r="E3" s="768"/>
    </row>
    <row r="4" spans="1:5" ht="24" customHeight="1" x14ac:dyDescent="0.25">
      <c r="A4" s="766" t="s">
        <v>503</v>
      </c>
      <c r="B4" s="767"/>
      <c r="C4" s="767"/>
      <c r="D4" s="767"/>
      <c r="E4" s="768"/>
    </row>
    <row r="5" spans="1:5" ht="24" customHeight="1" x14ac:dyDescent="0.25">
      <c r="A5" s="766"/>
      <c r="B5" s="767"/>
      <c r="C5" s="767"/>
      <c r="D5" s="767"/>
      <c r="E5" s="768"/>
    </row>
    <row r="6" spans="1:5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</row>
    <row r="7" spans="1:5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</row>
    <row r="8" spans="1:5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</row>
    <row r="9" spans="1:5" ht="24" customHeight="1" x14ac:dyDescent="0.25">
      <c r="B9" s="62"/>
      <c r="C9" s="68"/>
      <c r="D9" s="68"/>
      <c r="E9" s="73"/>
    </row>
    <row r="10" spans="1:5" ht="24" customHeight="1" x14ac:dyDescent="0.25">
      <c r="A10" s="329" t="s">
        <v>14</v>
      </c>
      <c r="B10" s="210" t="s">
        <v>505</v>
      </c>
      <c r="C10" s="79"/>
      <c r="D10" s="79"/>
      <c r="E10" s="88"/>
    </row>
    <row r="11" spans="1:5" ht="24" customHeight="1" x14ac:dyDescent="0.2">
      <c r="A11" s="85">
        <v>1</v>
      </c>
      <c r="B11" s="75" t="s">
        <v>506</v>
      </c>
      <c r="C11" s="76">
        <v>127956902</v>
      </c>
      <c r="D11" s="76">
        <v>127223508</v>
      </c>
      <c r="E11" s="76">
        <v>127013156</v>
      </c>
    </row>
    <row r="12" spans="1:5" ht="24" customHeight="1" x14ac:dyDescent="0.2">
      <c r="A12" s="85">
        <v>2</v>
      </c>
      <c r="B12" s="75" t="s">
        <v>78</v>
      </c>
      <c r="C12" s="185">
        <v>7701533</v>
      </c>
      <c r="D12" s="185">
        <v>4769849</v>
      </c>
      <c r="E12" s="185">
        <v>7117868</v>
      </c>
    </row>
    <row r="13" spans="1:5" s="225" customFormat="1" ht="24" customHeight="1" x14ac:dyDescent="0.2">
      <c r="A13" s="85">
        <v>3</v>
      </c>
      <c r="B13" s="75" t="s">
        <v>80</v>
      </c>
      <c r="C13" s="76">
        <f>+C11+C12</f>
        <v>135658435</v>
      </c>
      <c r="D13" s="76">
        <f>+D11+D12</f>
        <v>131993357</v>
      </c>
      <c r="E13" s="76">
        <f>+E11+E12</f>
        <v>134131024</v>
      </c>
    </row>
    <row r="14" spans="1:5" s="225" customFormat="1" ht="24" customHeight="1" x14ac:dyDescent="0.2">
      <c r="A14" s="85">
        <v>4</v>
      </c>
      <c r="B14" s="75" t="s">
        <v>91</v>
      </c>
      <c r="C14" s="185">
        <v>141577219</v>
      </c>
      <c r="D14" s="185">
        <v>139595408</v>
      </c>
      <c r="E14" s="185">
        <v>133792367</v>
      </c>
    </row>
    <row r="15" spans="1:5" s="225" customFormat="1" ht="24" customHeight="1" x14ac:dyDescent="0.2">
      <c r="A15" s="85">
        <v>5</v>
      </c>
      <c r="B15" s="75" t="s">
        <v>92</v>
      </c>
      <c r="C15" s="76">
        <f>+C13-C14</f>
        <v>-5918784</v>
      </c>
      <c r="D15" s="76">
        <f>+D13-D14</f>
        <v>-7602051</v>
      </c>
      <c r="E15" s="76">
        <f>+E13-E14</f>
        <v>338657</v>
      </c>
    </row>
    <row r="16" spans="1:5" s="225" customFormat="1" ht="24" customHeight="1" x14ac:dyDescent="0.2">
      <c r="A16" s="85">
        <v>6</v>
      </c>
      <c r="B16" s="75" t="s">
        <v>97</v>
      </c>
      <c r="C16" s="185">
        <v>519164</v>
      </c>
      <c r="D16" s="185">
        <v>1280830</v>
      </c>
      <c r="E16" s="185">
        <v>641978</v>
      </c>
    </row>
    <row r="17" spans="1:13" s="225" customFormat="1" ht="24" customHeight="1" x14ac:dyDescent="0.2">
      <c r="A17" s="85">
        <v>7</v>
      </c>
      <c r="B17" s="330" t="s">
        <v>321</v>
      </c>
      <c r="C17" s="76">
        <f>C15+C16</f>
        <v>-5399620</v>
      </c>
      <c r="D17" s="76">
        <f>D15+D16</f>
        <v>-6321221</v>
      </c>
      <c r="E17" s="76">
        <f>E15+E16</f>
        <v>980635</v>
      </c>
    </row>
    <row r="18" spans="1:13" ht="24" customHeight="1" x14ac:dyDescent="0.25">
      <c r="A18" s="85"/>
      <c r="B18" s="330"/>
      <c r="C18" s="187"/>
      <c r="D18" s="187"/>
      <c r="E18" s="188"/>
    </row>
    <row r="19" spans="1:13" ht="24" customHeight="1" x14ac:dyDescent="0.25">
      <c r="A19" s="329" t="s">
        <v>26</v>
      </c>
      <c r="B19" s="72" t="s">
        <v>507</v>
      </c>
      <c r="C19" s="79"/>
      <c r="D19" s="79"/>
      <c r="E19" s="88"/>
      <c r="G19" s="331"/>
      <c r="H19" s="331"/>
      <c r="I19" s="331"/>
      <c r="J19" s="331"/>
      <c r="K19" s="331"/>
      <c r="L19" s="331"/>
      <c r="M19" s="331"/>
    </row>
    <row r="20" spans="1:13" ht="24" customHeight="1" x14ac:dyDescent="0.2">
      <c r="A20" s="332">
        <v>1</v>
      </c>
      <c r="B20" s="330" t="s">
        <v>508</v>
      </c>
      <c r="C20" s="189">
        <f>IF(+C27=0,0,+C24/+C27)</f>
        <v>-4.3463712412788243E-2</v>
      </c>
      <c r="D20" s="189">
        <f>IF(+D27=0,0,+D24/+D27)</f>
        <v>-5.7040685605532902E-2</v>
      </c>
      <c r="E20" s="189">
        <f>IF(+E27=0,0,+E24/+E27)</f>
        <v>2.5127955523317645E-3</v>
      </c>
      <c r="G20" s="331"/>
      <c r="H20" s="331"/>
      <c r="I20" s="331"/>
      <c r="J20" s="331"/>
      <c r="K20" s="331"/>
      <c r="L20" s="331"/>
      <c r="M20" s="331"/>
    </row>
    <row r="21" spans="1:13" ht="24" customHeight="1" x14ac:dyDescent="0.2">
      <c r="A21" s="332">
        <v>2</v>
      </c>
      <c r="B21" s="330" t="s">
        <v>509</v>
      </c>
      <c r="C21" s="189">
        <f>IF(+C27=0,0,+C26/+C27)</f>
        <v>3.8124038300895581E-3</v>
      </c>
      <c r="D21" s="189">
        <f>IF(+D27=0,0,+D26/+D27)</f>
        <v>9.6104881885342129E-3</v>
      </c>
      <c r="E21" s="189">
        <f>IF(+E27=0,0,+E26/+E27)</f>
        <v>4.7634020944343144E-3</v>
      </c>
      <c r="G21" s="331"/>
      <c r="H21" s="331"/>
      <c r="I21" s="331"/>
      <c r="J21" s="331"/>
      <c r="K21" s="331"/>
      <c r="L21" s="331"/>
      <c r="M21" s="331"/>
    </row>
    <row r="22" spans="1:13" ht="24" customHeight="1" x14ac:dyDescent="0.2">
      <c r="A22" s="332">
        <v>3</v>
      </c>
      <c r="B22" s="330" t="s">
        <v>510</v>
      </c>
      <c r="C22" s="189">
        <f>IF(+C27=0,0,+C28/+C27)</f>
        <v>-3.9651308582698684E-2</v>
      </c>
      <c r="D22" s="189">
        <f>IF(+D27=0,0,+D28/+D27)</f>
        <v>-4.7430197416998686E-2</v>
      </c>
      <c r="E22" s="189">
        <f>IF(+E27=0,0,+E28/+E27)</f>
        <v>7.2761976467660789E-3</v>
      </c>
      <c r="G22" s="331"/>
      <c r="H22" s="331"/>
      <c r="I22" s="331"/>
      <c r="J22" s="331"/>
      <c r="K22" s="331"/>
      <c r="L22" s="331"/>
      <c r="M22" s="331"/>
    </row>
    <row r="23" spans="1:13" ht="24" customHeight="1" x14ac:dyDescent="0.2">
      <c r="A23" s="226"/>
      <c r="B23" s="75"/>
      <c r="C23" s="189"/>
      <c r="D23" s="189"/>
      <c r="E23" s="189"/>
      <c r="G23" s="331"/>
      <c r="H23" s="331"/>
      <c r="I23" s="331"/>
      <c r="J23" s="331"/>
      <c r="K23" s="331"/>
      <c r="L23" s="331"/>
      <c r="M23" s="331"/>
    </row>
    <row r="24" spans="1:13" ht="24" customHeight="1" x14ac:dyDescent="0.2">
      <c r="A24" s="226">
        <v>4</v>
      </c>
      <c r="B24" s="75" t="s">
        <v>92</v>
      </c>
      <c r="C24" s="76">
        <f>+C15</f>
        <v>-5918784</v>
      </c>
      <c r="D24" s="76">
        <f>+D15</f>
        <v>-7602051</v>
      </c>
      <c r="E24" s="76">
        <f>+E15</f>
        <v>338657</v>
      </c>
      <c r="G24" s="331"/>
      <c r="H24" s="331"/>
      <c r="I24" s="331"/>
      <c r="J24" s="331"/>
      <c r="K24" s="331"/>
      <c r="L24" s="331"/>
      <c r="M24" s="331"/>
    </row>
    <row r="25" spans="1:13" ht="24" customHeight="1" x14ac:dyDescent="0.2">
      <c r="A25" s="226">
        <v>5</v>
      </c>
      <c r="B25" s="75" t="s">
        <v>80</v>
      </c>
      <c r="C25" s="76">
        <f>+C13</f>
        <v>135658435</v>
      </c>
      <c r="D25" s="76">
        <f>+D13</f>
        <v>131993357</v>
      </c>
      <c r="E25" s="76">
        <f>+E13</f>
        <v>134131024</v>
      </c>
      <c r="G25" s="331"/>
      <c r="H25" s="331"/>
      <c r="I25" s="331"/>
      <c r="J25" s="331"/>
      <c r="K25" s="331"/>
      <c r="L25" s="331"/>
      <c r="M25" s="331"/>
    </row>
    <row r="26" spans="1:13" ht="24" customHeight="1" x14ac:dyDescent="0.2">
      <c r="A26" s="226">
        <v>6</v>
      </c>
      <c r="B26" s="75" t="s">
        <v>97</v>
      </c>
      <c r="C26" s="76">
        <f>+C16</f>
        <v>519164</v>
      </c>
      <c r="D26" s="76">
        <f>+D16</f>
        <v>1280830</v>
      </c>
      <c r="E26" s="76">
        <f>+E16</f>
        <v>641978</v>
      </c>
      <c r="G26" s="331"/>
      <c r="H26" s="331"/>
      <c r="I26" s="331"/>
      <c r="J26" s="331"/>
      <c r="K26" s="331"/>
      <c r="L26" s="331"/>
      <c r="M26" s="331"/>
    </row>
    <row r="27" spans="1:13" ht="24" customHeight="1" x14ac:dyDescent="0.2">
      <c r="A27" s="226">
        <v>7</v>
      </c>
      <c r="B27" s="75" t="s">
        <v>326</v>
      </c>
      <c r="C27" s="76">
        <f>SUM(C25:C26)</f>
        <v>136177599</v>
      </c>
      <c r="D27" s="76">
        <f>SUM(D25:D26)</f>
        <v>133274187</v>
      </c>
      <c r="E27" s="76">
        <f>SUM(E25:E26)</f>
        <v>134773002</v>
      </c>
      <c r="G27" s="331"/>
      <c r="H27" s="331"/>
      <c r="I27" s="331"/>
      <c r="J27" s="331"/>
      <c r="K27" s="331"/>
      <c r="L27" s="331"/>
      <c r="M27" s="331"/>
    </row>
    <row r="28" spans="1:13" ht="24" customHeight="1" x14ac:dyDescent="0.2">
      <c r="A28" s="226">
        <v>8</v>
      </c>
      <c r="B28" s="330" t="s">
        <v>321</v>
      </c>
      <c r="C28" s="76">
        <f>+C17</f>
        <v>-5399620</v>
      </c>
      <c r="D28" s="76">
        <f>+D17</f>
        <v>-6321221</v>
      </c>
      <c r="E28" s="76">
        <f>+E17</f>
        <v>980635</v>
      </c>
      <c r="G28" s="331"/>
      <c r="H28" s="331"/>
      <c r="I28" s="331"/>
      <c r="J28" s="331"/>
      <c r="K28" s="331"/>
      <c r="L28" s="331"/>
      <c r="M28" s="331"/>
    </row>
    <row r="29" spans="1:13" ht="24" customHeight="1" x14ac:dyDescent="0.2">
      <c r="A29" s="85"/>
      <c r="E29" s="56"/>
      <c r="G29" s="331"/>
      <c r="H29" s="331"/>
      <c r="I29" s="331"/>
      <c r="J29" s="331"/>
      <c r="K29" s="331"/>
      <c r="L29" s="331"/>
      <c r="M29" s="331"/>
    </row>
    <row r="30" spans="1:13" ht="24" customHeight="1" x14ac:dyDescent="0.25">
      <c r="A30" s="179" t="s">
        <v>36</v>
      </c>
      <c r="B30" s="191" t="s">
        <v>511</v>
      </c>
      <c r="C30" s="79"/>
      <c r="D30" s="79"/>
      <c r="E30" s="88"/>
      <c r="G30" s="331"/>
      <c r="H30" s="331"/>
      <c r="I30" s="331"/>
      <c r="J30" s="331"/>
      <c r="K30" s="331"/>
      <c r="L30" s="331"/>
      <c r="M30" s="331"/>
    </row>
    <row r="31" spans="1:13" ht="24" customHeight="1" x14ac:dyDescent="0.2">
      <c r="A31" s="85">
        <v>1</v>
      </c>
      <c r="B31" s="75" t="s">
        <v>512</v>
      </c>
      <c r="C31" s="76">
        <v>-1617411</v>
      </c>
      <c r="D31" s="76">
        <v>-16231755</v>
      </c>
      <c r="E31" s="76">
        <v>-19667186</v>
      </c>
      <c r="G31" s="331"/>
      <c r="H31" s="331"/>
      <c r="I31" s="331"/>
      <c r="J31" s="331"/>
      <c r="K31" s="331"/>
      <c r="L31" s="331"/>
      <c r="M31" s="331"/>
    </row>
    <row r="32" spans="1:13" ht="24" customHeight="1" x14ac:dyDescent="0.2">
      <c r="A32" s="74">
        <v>2</v>
      </c>
      <c r="B32" s="75" t="s">
        <v>513</v>
      </c>
      <c r="C32" s="76">
        <v>5928751</v>
      </c>
      <c r="D32" s="76">
        <v>-9291859</v>
      </c>
      <c r="E32" s="76">
        <v>-13185092</v>
      </c>
      <c r="G32" s="331"/>
      <c r="H32" s="331"/>
      <c r="I32" s="331"/>
      <c r="J32" s="331"/>
      <c r="K32" s="331"/>
      <c r="L32" s="331"/>
      <c r="M32" s="331"/>
    </row>
    <row r="33" spans="1:13" ht="24" customHeight="1" x14ac:dyDescent="0.2">
      <c r="A33" s="74">
        <v>3</v>
      </c>
      <c r="B33" s="330" t="s">
        <v>514</v>
      </c>
      <c r="C33" s="76">
        <v>-11198652</v>
      </c>
      <c r="D33" s="76">
        <f>+D32-C32</f>
        <v>-15220610</v>
      </c>
      <c r="E33" s="76">
        <f>+E32-D32</f>
        <v>-3893233</v>
      </c>
      <c r="G33" s="331"/>
      <c r="H33" s="331"/>
      <c r="I33" s="331"/>
      <c r="J33" s="331"/>
      <c r="K33" s="331"/>
      <c r="L33" s="331"/>
      <c r="M33" s="331"/>
    </row>
    <row r="34" spans="1:13" ht="24" customHeight="1" x14ac:dyDescent="0.2">
      <c r="A34" s="74">
        <v>4</v>
      </c>
      <c r="B34" s="330" t="s">
        <v>515</v>
      </c>
      <c r="C34" s="193">
        <v>0.34610000000000002</v>
      </c>
      <c r="D34" s="193">
        <f>IF(C32=0,0,+D33/C32)</f>
        <v>-2.5672540472689778</v>
      </c>
      <c r="E34" s="193">
        <f>IF(D32=0,0,+E33/D32)</f>
        <v>0.41899398172098823</v>
      </c>
    </row>
    <row r="35" spans="1:13" ht="24" customHeight="1" x14ac:dyDescent="0.2">
      <c r="E35" s="56"/>
    </row>
    <row r="36" spans="1:13" ht="15.75" customHeight="1" x14ac:dyDescent="0.25">
      <c r="A36" s="333" t="s">
        <v>170</v>
      </c>
      <c r="B36" s="334" t="s">
        <v>352</v>
      </c>
      <c r="C36" s="335"/>
      <c r="D36" s="335"/>
      <c r="E36" s="336"/>
    </row>
    <row r="37" spans="1:13" ht="24" customHeight="1" x14ac:dyDescent="0.25">
      <c r="A37" s="333"/>
      <c r="B37" s="334"/>
      <c r="C37" s="335"/>
      <c r="D37" s="335"/>
      <c r="E37" s="336"/>
    </row>
    <row r="38" spans="1:13" ht="24" customHeight="1" x14ac:dyDescent="0.25">
      <c r="A38" s="333">
        <v>1</v>
      </c>
      <c r="B38" s="337" t="s">
        <v>353</v>
      </c>
      <c r="C38" s="338">
        <f>IF(+C40=0,0,+C39/+C40)</f>
        <v>0.97939444292486788</v>
      </c>
      <c r="D38" s="338">
        <f>IF(+D40=0,0,+D39/+D40)</f>
        <v>1.1015206957699233</v>
      </c>
      <c r="E38" s="338">
        <f>IF(+E40=0,0,+E39/+E40)</f>
        <v>1.2257873218549684</v>
      </c>
    </row>
    <row r="39" spans="1:13" ht="24" customHeight="1" x14ac:dyDescent="0.2">
      <c r="A39" s="339">
        <v>2</v>
      </c>
      <c r="B39" s="340" t="s">
        <v>25</v>
      </c>
      <c r="C39" s="341">
        <v>29798215</v>
      </c>
      <c r="D39" s="341">
        <v>28894083</v>
      </c>
      <c r="E39" s="341">
        <v>29450852</v>
      </c>
    </row>
    <row r="40" spans="1:13" ht="24" customHeight="1" x14ac:dyDescent="0.2">
      <c r="A40" s="339">
        <v>3</v>
      </c>
      <c r="B40" s="340" t="s">
        <v>54</v>
      </c>
      <c r="C40" s="341">
        <v>30425142</v>
      </c>
      <c r="D40" s="341">
        <v>26231085</v>
      </c>
      <c r="E40" s="341">
        <v>24026070</v>
      </c>
    </row>
    <row r="41" spans="1:13" ht="24" customHeight="1" x14ac:dyDescent="0.25">
      <c r="A41" s="339"/>
      <c r="B41" s="342"/>
      <c r="C41" s="335"/>
      <c r="D41" s="335"/>
      <c r="E41" s="336"/>
    </row>
    <row r="42" spans="1:13" ht="24" customHeight="1" x14ac:dyDescent="0.25">
      <c r="A42" s="333">
        <v>4</v>
      </c>
      <c r="B42" s="337" t="s">
        <v>354</v>
      </c>
      <c r="C42" s="343">
        <f>IF((C48/365)=0,0,+C45/(C48/365))</f>
        <v>27.004889239622891</v>
      </c>
      <c r="D42" s="343">
        <f>IF((D48/365)=0,0,+D45/(D48/365))</f>
        <v>21.1649850552587</v>
      </c>
      <c r="E42" s="343">
        <f>IF((E48/365)=0,0,+E45/(E48/365))</f>
        <v>36.889284362421293</v>
      </c>
    </row>
    <row r="43" spans="1:13" ht="24" customHeight="1" x14ac:dyDescent="0.2">
      <c r="A43" s="339">
        <v>5</v>
      </c>
      <c r="B43" s="344" t="s">
        <v>16</v>
      </c>
      <c r="C43" s="345">
        <v>7060282</v>
      </c>
      <c r="D43" s="345">
        <v>4911198</v>
      </c>
      <c r="E43" s="345">
        <v>9604840</v>
      </c>
    </row>
    <row r="44" spans="1:13" ht="24" customHeight="1" x14ac:dyDescent="0.2">
      <c r="A44" s="339">
        <v>6</v>
      </c>
      <c r="B44" s="346" t="s">
        <v>17</v>
      </c>
      <c r="C44" s="345">
        <v>3023883</v>
      </c>
      <c r="D44" s="345">
        <v>2841383</v>
      </c>
      <c r="E44" s="345">
        <v>3332258</v>
      </c>
    </row>
    <row r="45" spans="1:13" ht="24" customHeight="1" x14ac:dyDescent="0.2">
      <c r="A45" s="339">
        <v>7</v>
      </c>
      <c r="B45" s="340" t="s">
        <v>355</v>
      </c>
      <c r="C45" s="341">
        <f>+C43+C44</f>
        <v>10084165</v>
      </c>
      <c r="D45" s="341">
        <f>+D43+D44</f>
        <v>7752581</v>
      </c>
      <c r="E45" s="341">
        <f>+E43+E44</f>
        <v>12937098</v>
      </c>
    </row>
    <row r="46" spans="1:13" ht="24" customHeight="1" x14ac:dyDescent="0.2">
      <c r="A46" s="339">
        <v>8</v>
      </c>
      <c r="B46" s="340" t="s">
        <v>334</v>
      </c>
      <c r="C46" s="341">
        <f>+C14</f>
        <v>141577219</v>
      </c>
      <c r="D46" s="341">
        <f>+D14</f>
        <v>139595408</v>
      </c>
      <c r="E46" s="341">
        <f>+E14</f>
        <v>133792367</v>
      </c>
    </row>
    <row r="47" spans="1:13" ht="24" customHeight="1" x14ac:dyDescent="0.2">
      <c r="A47" s="339">
        <v>9</v>
      </c>
      <c r="B47" s="340" t="s">
        <v>356</v>
      </c>
      <c r="C47" s="341">
        <v>5278929</v>
      </c>
      <c r="D47" s="341">
        <v>5898547</v>
      </c>
      <c r="E47" s="341">
        <v>5786610</v>
      </c>
    </row>
    <row r="48" spans="1:13" ht="24" customHeight="1" x14ac:dyDescent="0.2">
      <c r="A48" s="339">
        <v>10</v>
      </c>
      <c r="B48" s="340" t="s">
        <v>357</v>
      </c>
      <c r="C48" s="341">
        <f>+C46-C47</f>
        <v>136298290</v>
      </c>
      <c r="D48" s="341">
        <f>+D46-D47</f>
        <v>133696861</v>
      </c>
      <c r="E48" s="341">
        <f>+E46-E47</f>
        <v>128005757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39.866007892251098</v>
      </c>
      <c r="D50" s="350">
        <f>IF((D55/365)=0,0,+D54/(D55/365))</f>
        <v>34.651353231039664</v>
      </c>
      <c r="E50" s="350">
        <f>IF((E55/365)=0,0,+E54/(E55/365))</f>
        <v>16.850373436906018</v>
      </c>
    </row>
    <row r="51" spans="1:5" ht="24" customHeight="1" x14ac:dyDescent="0.2">
      <c r="A51" s="339">
        <v>12</v>
      </c>
      <c r="B51" s="344" t="s">
        <v>359</v>
      </c>
      <c r="C51" s="351">
        <v>14709950</v>
      </c>
      <c r="D51" s="351">
        <v>15185290</v>
      </c>
      <c r="E51" s="351">
        <v>10982888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1352274</v>
      </c>
      <c r="E52" s="341">
        <v>809012</v>
      </c>
    </row>
    <row r="53" spans="1:5" ht="24" customHeight="1" x14ac:dyDescent="0.2">
      <c r="A53" s="339">
        <v>14</v>
      </c>
      <c r="B53" s="344" t="s">
        <v>49</v>
      </c>
      <c r="C53" s="341">
        <v>734249</v>
      </c>
      <c r="D53" s="341">
        <v>4459573</v>
      </c>
      <c r="E53" s="341">
        <v>5928286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13975701</v>
      </c>
      <c r="D54" s="352">
        <f>+D51+D52-D53</f>
        <v>12077991</v>
      </c>
      <c r="E54" s="352">
        <f>+E51+E52-E53</f>
        <v>5863614</v>
      </c>
    </row>
    <row r="55" spans="1:5" ht="24" customHeight="1" x14ac:dyDescent="0.2">
      <c r="A55" s="339">
        <v>16</v>
      </c>
      <c r="B55" s="340" t="s">
        <v>75</v>
      </c>
      <c r="C55" s="341">
        <f>+C11</f>
        <v>127956902</v>
      </c>
      <c r="D55" s="341">
        <f>+D11</f>
        <v>127223508</v>
      </c>
      <c r="E55" s="341">
        <f>+E11</f>
        <v>127013156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81.477007745291601</v>
      </c>
      <c r="D57" s="355">
        <f>IF((D61/365)=0,0,+D58/(D61/365))</f>
        <v>71.612347166475359</v>
      </c>
      <c r="E57" s="355">
        <f>IF((E61/365)=0,0,+E58/(E61/365))</f>
        <v>68.508758945896474</v>
      </c>
    </row>
    <row r="58" spans="1:5" ht="24" customHeight="1" x14ac:dyDescent="0.2">
      <c r="A58" s="339">
        <v>18</v>
      </c>
      <c r="B58" s="340" t="s">
        <v>54</v>
      </c>
      <c r="C58" s="353">
        <f>+C40</f>
        <v>30425142</v>
      </c>
      <c r="D58" s="353">
        <f>+D40</f>
        <v>26231085</v>
      </c>
      <c r="E58" s="353">
        <f>+E40</f>
        <v>24026070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141577219</v>
      </c>
      <c r="D59" s="353">
        <f t="shared" si="0"/>
        <v>139595408</v>
      </c>
      <c r="E59" s="353">
        <f t="shared" si="0"/>
        <v>133792367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5278929</v>
      </c>
      <c r="D60" s="356">
        <f t="shared" si="0"/>
        <v>5898547</v>
      </c>
      <c r="E60" s="356">
        <f t="shared" si="0"/>
        <v>5786610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136298290</v>
      </c>
      <c r="D61" s="353">
        <f>+D59-D60</f>
        <v>133696861</v>
      </c>
      <c r="E61" s="353">
        <f>+E59-E60</f>
        <v>128005757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5.9319728324044636</v>
      </c>
      <c r="D65" s="357">
        <f>IF(D67=0,0,(D66/D67)*100)</f>
        <v>-9.8395137402020598</v>
      </c>
      <c r="E65" s="357">
        <f>IF(E67=0,0,(E66/E67)*100)</f>
        <v>-14.054253110290571</v>
      </c>
    </row>
    <row r="66" spans="1:5" ht="24" customHeight="1" x14ac:dyDescent="0.2">
      <c r="A66" s="339">
        <v>2</v>
      </c>
      <c r="B66" s="340" t="s">
        <v>67</v>
      </c>
      <c r="C66" s="353">
        <f>+C32</f>
        <v>5928751</v>
      </c>
      <c r="D66" s="353">
        <f>+D32</f>
        <v>-9291859</v>
      </c>
      <c r="E66" s="353">
        <f>+E32</f>
        <v>-13185092</v>
      </c>
    </row>
    <row r="67" spans="1:5" ht="24" customHeight="1" x14ac:dyDescent="0.2">
      <c r="A67" s="339">
        <v>3</v>
      </c>
      <c r="B67" s="340" t="s">
        <v>43</v>
      </c>
      <c r="C67" s="353">
        <v>99945687</v>
      </c>
      <c r="D67" s="353">
        <v>94434128</v>
      </c>
      <c r="E67" s="353">
        <v>93815672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-0.2011959700192649</v>
      </c>
      <c r="D69" s="357">
        <f>IF(D75=0,0,(D72/D75)*100)</f>
        <v>-0.78217311345940321</v>
      </c>
      <c r="E69" s="357">
        <f>IF(E75=0,0,(E72/E75)*100)</f>
        <v>13.538062965577877</v>
      </c>
    </row>
    <row r="70" spans="1:5" ht="24" customHeight="1" x14ac:dyDescent="0.2">
      <c r="A70" s="339">
        <v>5</v>
      </c>
      <c r="B70" s="340" t="s">
        <v>366</v>
      </c>
      <c r="C70" s="353">
        <f>+C28</f>
        <v>-5399620</v>
      </c>
      <c r="D70" s="353">
        <f>+D28</f>
        <v>-6321221</v>
      </c>
      <c r="E70" s="353">
        <f>+E28</f>
        <v>980635</v>
      </c>
    </row>
    <row r="71" spans="1:5" ht="24" customHeight="1" x14ac:dyDescent="0.2">
      <c r="A71" s="339">
        <v>6</v>
      </c>
      <c r="B71" s="340" t="s">
        <v>356</v>
      </c>
      <c r="C71" s="356">
        <f>+C47</f>
        <v>5278929</v>
      </c>
      <c r="D71" s="356">
        <f>+D47</f>
        <v>5898547</v>
      </c>
      <c r="E71" s="356">
        <f>+E47</f>
        <v>5786610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-120691</v>
      </c>
      <c r="D72" s="353">
        <f>+D70+D71</f>
        <v>-422674</v>
      </c>
      <c r="E72" s="353">
        <f>+E70+E71</f>
        <v>6767245</v>
      </c>
    </row>
    <row r="73" spans="1:5" ht="24" customHeight="1" x14ac:dyDescent="0.2">
      <c r="A73" s="339">
        <v>8</v>
      </c>
      <c r="B73" s="340" t="s">
        <v>54</v>
      </c>
      <c r="C73" s="341">
        <f>+C40</f>
        <v>30425142</v>
      </c>
      <c r="D73" s="341">
        <f>+D40</f>
        <v>26231085</v>
      </c>
      <c r="E73" s="341">
        <f>+E40</f>
        <v>24026070</v>
      </c>
    </row>
    <row r="74" spans="1:5" ht="24" customHeight="1" x14ac:dyDescent="0.2">
      <c r="A74" s="339">
        <v>9</v>
      </c>
      <c r="B74" s="340" t="s">
        <v>58</v>
      </c>
      <c r="C74" s="353">
        <v>29561646</v>
      </c>
      <c r="D74" s="353">
        <v>27807336</v>
      </c>
      <c r="E74" s="353">
        <v>25960734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59986788</v>
      </c>
      <c r="D75" s="341">
        <f>+D73+D74</f>
        <v>54038421</v>
      </c>
      <c r="E75" s="341">
        <f>+E73+E74</f>
        <v>49986804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83.294774076491734</v>
      </c>
      <c r="D77" s="359">
        <f>IF(D80=0,0,(D78/D80)*100)</f>
        <v>150.18428096667452</v>
      </c>
      <c r="E77" s="359">
        <f>IF(E80=0,0,(E78/E80)*100)</f>
        <v>203.20492700092879</v>
      </c>
    </row>
    <row r="78" spans="1:5" ht="24" customHeight="1" x14ac:dyDescent="0.2">
      <c r="A78" s="339">
        <v>12</v>
      </c>
      <c r="B78" s="340" t="s">
        <v>58</v>
      </c>
      <c r="C78" s="341">
        <f>+C74</f>
        <v>29561646</v>
      </c>
      <c r="D78" s="341">
        <f>+D74</f>
        <v>27807336</v>
      </c>
      <c r="E78" s="341">
        <f>+E74</f>
        <v>25960734</v>
      </c>
    </row>
    <row r="79" spans="1:5" ht="24" customHeight="1" x14ac:dyDescent="0.2">
      <c r="A79" s="339">
        <v>13</v>
      </c>
      <c r="B79" s="340" t="s">
        <v>67</v>
      </c>
      <c r="C79" s="341">
        <f>+C32</f>
        <v>5928751</v>
      </c>
      <c r="D79" s="341">
        <f>+D32</f>
        <v>-9291859</v>
      </c>
      <c r="E79" s="341">
        <f>+E32</f>
        <v>-13185092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35490397</v>
      </c>
      <c r="D80" s="341">
        <f>+D78+D79</f>
        <v>18515477</v>
      </c>
      <c r="E80" s="341">
        <f>+E78+E79</f>
        <v>12775642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&amp;L&amp;8OFFICE OF HEALTH CARE ACCESS&amp;C&amp;8TWELVE MONTHS ACTUAL FILING&amp;R&amp;8DAY KIMBALL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9059</v>
      </c>
      <c r="D11" s="376">
        <v>2614</v>
      </c>
      <c r="E11" s="376">
        <v>2601</v>
      </c>
      <c r="F11" s="377">
        <v>36</v>
      </c>
      <c r="G11" s="377">
        <v>71</v>
      </c>
      <c r="H11" s="378">
        <f>IF(F11=0,0,$C11/(F11*365))</f>
        <v>0.68942161339421615</v>
      </c>
      <c r="I11" s="378">
        <f>IF(G11=0,0,$C11/(G11*365))</f>
        <v>0.34956588848157438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776</v>
      </c>
      <c r="D13" s="376">
        <v>237</v>
      </c>
      <c r="E13" s="376">
        <v>0</v>
      </c>
      <c r="F13" s="377">
        <v>6</v>
      </c>
      <c r="G13" s="377">
        <v>9</v>
      </c>
      <c r="H13" s="378">
        <f>IF(F13=0,0,$C13/(F13*365))</f>
        <v>0.35433789954337902</v>
      </c>
      <c r="I13" s="378">
        <f>IF(G13=0,0,$C13/(G13*365))</f>
        <v>0.23622526636225266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3849</v>
      </c>
      <c r="D16" s="376">
        <v>494</v>
      </c>
      <c r="E16" s="376">
        <v>498</v>
      </c>
      <c r="F16" s="377">
        <v>12</v>
      </c>
      <c r="G16" s="377">
        <v>15</v>
      </c>
      <c r="H16" s="378">
        <f t="shared" si="0"/>
        <v>0.87876712328767126</v>
      </c>
      <c r="I16" s="378">
        <f t="shared" si="0"/>
        <v>0.70301369863013696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3849</v>
      </c>
      <c r="D17" s="381">
        <f>SUM(D15:D16)</f>
        <v>494</v>
      </c>
      <c r="E17" s="381">
        <f>SUM(E15:E16)</f>
        <v>498</v>
      </c>
      <c r="F17" s="381">
        <f>SUM(F15:F16)</f>
        <v>12</v>
      </c>
      <c r="G17" s="381">
        <f>SUM(G15:G16)</f>
        <v>15</v>
      </c>
      <c r="H17" s="382">
        <f t="shared" si="0"/>
        <v>0.87876712328767126</v>
      </c>
      <c r="I17" s="382">
        <f t="shared" si="0"/>
        <v>0.70301369863013696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1346</v>
      </c>
      <c r="D21" s="376">
        <v>501</v>
      </c>
      <c r="E21" s="376">
        <v>502</v>
      </c>
      <c r="F21" s="377">
        <v>5</v>
      </c>
      <c r="G21" s="377">
        <v>8</v>
      </c>
      <c r="H21" s="378">
        <f>IF(F21=0,0,$C21/(F21*365))</f>
        <v>0.7375342465753425</v>
      </c>
      <c r="I21" s="378">
        <f>IF(G21=0,0,$C21/(G21*365))</f>
        <v>0.46095890410958906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1195</v>
      </c>
      <c r="D23" s="376">
        <v>507</v>
      </c>
      <c r="E23" s="376">
        <v>510</v>
      </c>
      <c r="F23" s="377">
        <v>5</v>
      </c>
      <c r="G23" s="377">
        <v>18</v>
      </c>
      <c r="H23" s="378">
        <f>IF(F23=0,0,$C23/(F23*365))</f>
        <v>0.65479452054794518</v>
      </c>
      <c r="I23" s="378">
        <f>IF(G23=0,0,$C23/(G23*365))</f>
        <v>0.18188736681887366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12</v>
      </c>
      <c r="D27" s="376">
        <v>2</v>
      </c>
      <c r="E27" s="376">
        <v>2</v>
      </c>
      <c r="F27" s="377">
        <v>1</v>
      </c>
      <c r="G27" s="377">
        <v>1</v>
      </c>
      <c r="H27" s="378">
        <f>IF(F27=0,0,$C27/(F27*365))</f>
        <v>3.287671232876712E-2</v>
      </c>
      <c r="I27" s="378">
        <f>IF(G27=0,0,$C27/(G27*365))</f>
        <v>3.287671232876712E-2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15042</v>
      </c>
      <c r="D31" s="384">
        <f>SUM(D10:D29)-D13-D17-D23</f>
        <v>3611</v>
      </c>
      <c r="E31" s="384">
        <f>SUM(E10:E29)-E17-E23</f>
        <v>3603</v>
      </c>
      <c r="F31" s="384">
        <f>SUM(F10:F29)-F17-F23</f>
        <v>60</v>
      </c>
      <c r="G31" s="384">
        <f>SUM(G10:G29)-G17-G23</f>
        <v>104</v>
      </c>
      <c r="H31" s="385">
        <f>IF(F31=0,0,$C31/(F31*365))</f>
        <v>0.68684931506849312</v>
      </c>
      <c r="I31" s="385">
        <f>IF(G31=0,0,$C31/(G31*365))</f>
        <v>0.39625922023182297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16237</v>
      </c>
      <c r="D33" s="384">
        <f>SUM(D10:D29)-D13-D17</f>
        <v>4118</v>
      </c>
      <c r="E33" s="384">
        <f>SUM(E10:E29)-E17</f>
        <v>4113</v>
      </c>
      <c r="F33" s="384">
        <f>SUM(F10:F29)-F17</f>
        <v>65</v>
      </c>
      <c r="G33" s="384">
        <f>SUM(G10:G29)-G17</f>
        <v>122</v>
      </c>
      <c r="H33" s="385">
        <f>IF(F33=0,0,$C33/(F33*365))</f>
        <v>0.68438356164383563</v>
      </c>
      <c r="I33" s="385">
        <f>IF(G33=0,0,$C33/(G33*365))</f>
        <v>0.36463058612171567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16237</v>
      </c>
      <c r="D36" s="384">
        <f t="shared" si="1"/>
        <v>4118</v>
      </c>
      <c r="E36" s="384">
        <f t="shared" si="1"/>
        <v>4113</v>
      </c>
      <c r="F36" s="384">
        <f t="shared" si="1"/>
        <v>65</v>
      </c>
      <c r="G36" s="384">
        <f t="shared" si="1"/>
        <v>122</v>
      </c>
      <c r="H36" s="387">
        <f t="shared" si="1"/>
        <v>0.68438356164383563</v>
      </c>
      <c r="I36" s="387">
        <f t="shared" si="1"/>
        <v>0.36463058612171567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16760</v>
      </c>
      <c r="D37" s="384">
        <v>4451</v>
      </c>
      <c r="E37" s="384">
        <v>4165</v>
      </c>
      <c r="F37" s="386">
        <v>65</v>
      </c>
      <c r="G37" s="386">
        <v>122</v>
      </c>
      <c r="H37" s="385">
        <f>IF(F37=0,0,$C37/(F37*365))</f>
        <v>0.70642781875658589</v>
      </c>
      <c r="I37" s="385">
        <f>IF(G37=0,0,$C37/(G37*365))</f>
        <v>0.37637547720637771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-523</v>
      </c>
      <c r="D38" s="384">
        <f t="shared" si="2"/>
        <v>-333</v>
      </c>
      <c r="E38" s="384">
        <f t="shared" si="2"/>
        <v>-52</v>
      </c>
      <c r="F38" s="384">
        <f t="shared" si="2"/>
        <v>0</v>
      </c>
      <c r="G38" s="384">
        <f t="shared" si="2"/>
        <v>0</v>
      </c>
      <c r="H38" s="387">
        <f t="shared" si="2"/>
        <v>-2.2044257112750265E-2</v>
      </c>
      <c r="I38" s="387">
        <f t="shared" si="2"/>
        <v>-1.1744891084662035E-2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-3.1205250596658712E-2</v>
      </c>
      <c r="D40" s="389">
        <f t="shared" si="3"/>
        <v>-7.4814648393619412E-2</v>
      </c>
      <c r="E40" s="389">
        <f t="shared" si="3"/>
        <v>-1.248499399759904E-2</v>
      </c>
      <c r="F40" s="389">
        <f t="shared" si="3"/>
        <v>0</v>
      </c>
      <c r="G40" s="389">
        <f t="shared" si="3"/>
        <v>0</v>
      </c>
      <c r="H40" s="389">
        <f t="shared" si="3"/>
        <v>-3.1205250596658712E-2</v>
      </c>
      <c r="I40" s="389">
        <f t="shared" si="3"/>
        <v>-3.1205250596658737E-2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FILING&amp;RDAY KIMBALL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1297</v>
      </c>
      <c r="D12" s="409">
        <v>1344</v>
      </c>
      <c r="E12" s="409">
        <f>+D12-C12</f>
        <v>47</v>
      </c>
      <c r="F12" s="410">
        <f>IF(C12=0,0,+E12/C12)</f>
        <v>3.6237471087124135E-2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3195</v>
      </c>
      <c r="D13" s="409">
        <v>3351</v>
      </c>
      <c r="E13" s="409">
        <f>+D13-C13</f>
        <v>156</v>
      </c>
      <c r="F13" s="410">
        <f>IF(C13=0,0,+E13/C13)</f>
        <v>4.8826291079812206E-2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3277</v>
      </c>
      <c r="D14" s="409">
        <v>3561</v>
      </c>
      <c r="E14" s="409">
        <f>+D14-C14</f>
        <v>284</v>
      </c>
      <c r="F14" s="410">
        <f>IF(C14=0,0,+E14/C14)</f>
        <v>8.6664632285627097E-2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7769</v>
      </c>
      <c r="D16" s="401">
        <f>SUM(D12:D15)</f>
        <v>8256</v>
      </c>
      <c r="E16" s="401">
        <f>+D16-C16</f>
        <v>487</v>
      </c>
      <c r="F16" s="402">
        <f>IF(C16=0,0,+E16/C16)</f>
        <v>6.2685030248423215E-2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435</v>
      </c>
      <c r="D19" s="409">
        <v>433</v>
      </c>
      <c r="E19" s="409">
        <f>+D19-C19</f>
        <v>-2</v>
      </c>
      <c r="F19" s="410">
        <f>IF(C19=0,0,+E19/C19)</f>
        <v>-4.5977011494252873E-3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4389</v>
      </c>
      <c r="D20" s="409">
        <v>4382</v>
      </c>
      <c r="E20" s="409">
        <f>+D20-C20</f>
        <v>-7</v>
      </c>
      <c r="F20" s="410">
        <f>IF(C20=0,0,+E20/C20)</f>
        <v>-1.594896331738437E-3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176</v>
      </c>
      <c r="D21" s="409">
        <v>152</v>
      </c>
      <c r="E21" s="409">
        <f>+D21-C21</f>
        <v>-24</v>
      </c>
      <c r="F21" s="410">
        <f>IF(C21=0,0,+E21/C21)</f>
        <v>-0.13636363636363635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5000</v>
      </c>
      <c r="D23" s="401">
        <f>SUM(D19:D22)</f>
        <v>4967</v>
      </c>
      <c r="E23" s="401">
        <f>+D23-C23</f>
        <v>-33</v>
      </c>
      <c r="F23" s="402">
        <f>IF(C23=0,0,+E23/C23)</f>
        <v>-6.6E-3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1</v>
      </c>
      <c r="D26" s="409">
        <v>0</v>
      </c>
      <c r="E26" s="409">
        <f>+D26-C26</f>
        <v>-1</v>
      </c>
      <c r="F26" s="410">
        <f>IF(C26=0,0,+E26/C26)</f>
        <v>-1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156</v>
      </c>
      <c r="D27" s="409">
        <v>157</v>
      </c>
      <c r="E27" s="409">
        <f>+D27-C27</f>
        <v>1</v>
      </c>
      <c r="F27" s="410">
        <f>IF(C27=0,0,+E27/C27)</f>
        <v>6.41025641025641E-3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157</v>
      </c>
      <c r="D30" s="401">
        <f>SUM(D26:D29)</f>
        <v>157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553</v>
      </c>
      <c r="D63" s="409">
        <v>504</v>
      </c>
      <c r="E63" s="409">
        <f>+D63-C63</f>
        <v>-49</v>
      </c>
      <c r="F63" s="410">
        <f>IF(C63=0,0,+E63/C63)</f>
        <v>-8.8607594936708861E-2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2961</v>
      </c>
      <c r="D64" s="409">
        <v>2801</v>
      </c>
      <c r="E64" s="409">
        <f>+D64-C64</f>
        <v>-160</v>
      </c>
      <c r="F64" s="410">
        <f>IF(C64=0,0,+E64/C64)</f>
        <v>-5.4035798716649777E-2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3514</v>
      </c>
      <c r="D65" s="401">
        <f>SUM(D63:D64)</f>
        <v>3305</v>
      </c>
      <c r="E65" s="401">
        <f>+D65-C65</f>
        <v>-209</v>
      </c>
      <c r="F65" s="402">
        <f>IF(C65=0,0,+E65/C65)</f>
        <v>-5.9476380193511667E-2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142</v>
      </c>
      <c r="D68" s="409">
        <v>121</v>
      </c>
      <c r="E68" s="409">
        <f>+D68-C68</f>
        <v>-21</v>
      </c>
      <c r="F68" s="410">
        <f>IF(C68=0,0,+E68/C68)</f>
        <v>-0.14788732394366197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806</v>
      </c>
      <c r="D69" s="409">
        <v>847</v>
      </c>
      <c r="E69" s="409">
        <f>+D69-C69</f>
        <v>41</v>
      </c>
      <c r="F69" s="412">
        <f>IF(C69=0,0,+E69/C69)</f>
        <v>5.0868486352357321E-2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948</v>
      </c>
      <c r="D70" s="401">
        <f>SUM(D68:D69)</f>
        <v>968</v>
      </c>
      <c r="E70" s="401">
        <f>+D70-C70</f>
        <v>20</v>
      </c>
      <c r="F70" s="402">
        <f>IF(C70=0,0,+E70/C70)</f>
        <v>2.1097046413502109E-2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2870</v>
      </c>
      <c r="D73" s="376">
        <v>2653</v>
      </c>
      <c r="E73" s="409">
        <f>+D73-C73</f>
        <v>-217</v>
      </c>
      <c r="F73" s="410">
        <f>IF(C73=0,0,+E73/C73)</f>
        <v>-7.5609756097560973E-2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19151</v>
      </c>
      <c r="D74" s="376">
        <v>20719</v>
      </c>
      <c r="E74" s="409">
        <f>+D74-C74</f>
        <v>1568</v>
      </c>
      <c r="F74" s="410">
        <f>IF(C74=0,0,+E74/C74)</f>
        <v>8.1875620072058897E-2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22021</v>
      </c>
      <c r="D75" s="401">
        <f>SUM(D73:D74)</f>
        <v>23372</v>
      </c>
      <c r="E75" s="401">
        <f>SUM(E73:E74)</f>
        <v>1351</v>
      </c>
      <c r="F75" s="402">
        <f>IF(C75=0,0,+E75/C75)</f>
        <v>6.1350529040461378E-2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11071</v>
      </c>
      <c r="D81" s="376">
        <v>10202</v>
      </c>
      <c r="E81" s="409">
        <f t="shared" si="0"/>
        <v>-869</v>
      </c>
      <c r="F81" s="410">
        <f t="shared" si="1"/>
        <v>-7.8493361033330322E-2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10883</v>
      </c>
      <c r="D91" s="376">
        <v>10846</v>
      </c>
      <c r="E91" s="409">
        <f t="shared" si="0"/>
        <v>-37</v>
      </c>
      <c r="F91" s="410">
        <f t="shared" si="1"/>
        <v>-3.3997978498575762E-3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21954</v>
      </c>
      <c r="D92" s="381">
        <f>SUM(D79:D91)</f>
        <v>21048</v>
      </c>
      <c r="E92" s="401">
        <f t="shared" si="0"/>
        <v>-906</v>
      </c>
      <c r="F92" s="402">
        <f t="shared" si="1"/>
        <v>-4.1268106039901616E-2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63762</v>
      </c>
      <c r="D95" s="414">
        <v>54027</v>
      </c>
      <c r="E95" s="415">
        <f t="shared" ref="E95:E100" si="2">+D95-C95</f>
        <v>-9735</v>
      </c>
      <c r="F95" s="412">
        <f t="shared" ref="F95:F100" si="3">IF(C95=0,0,+E95/C95)</f>
        <v>-0.15267714312599981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3331</v>
      </c>
      <c r="D96" s="414">
        <v>3262</v>
      </c>
      <c r="E96" s="409">
        <f t="shared" si="2"/>
        <v>-69</v>
      </c>
      <c r="F96" s="410">
        <f t="shared" si="3"/>
        <v>-2.0714500150105074E-2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980</v>
      </c>
      <c r="D97" s="414">
        <v>1033</v>
      </c>
      <c r="E97" s="409">
        <f t="shared" si="2"/>
        <v>53</v>
      </c>
      <c r="F97" s="410">
        <f t="shared" si="3"/>
        <v>5.4081632653061228E-2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3093</v>
      </c>
      <c r="D98" s="414">
        <v>3326</v>
      </c>
      <c r="E98" s="409">
        <f t="shared" si="2"/>
        <v>233</v>
      </c>
      <c r="F98" s="410">
        <f t="shared" si="3"/>
        <v>7.5331393469123833E-2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50007</v>
      </c>
      <c r="D99" s="414">
        <v>79139</v>
      </c>
      <c r="E99" s="409">
        <f t="shared" si="2"/>
        <v>29132</v>
      </c>
      <c r="F99" s="410">
        <f t="shared" si="3"/>
        <v>0.58255844181814542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121173</v>
      </c>
      <c r="D100" s="381">
        <f>SUM(D95:D99)</f>
        <v>140787</v>
      </c>
      <c r="E100" s="401">
        <f t="shared" si="2"/>
        <v>19614</v>
      </c>
      <c r="F100" s="402">
        <f t="shared" si="3"/>
        <v>0.16186774281399322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271.10000000000002</v>
      </c>
      <c r="D104" s="416">
        <v>256.89999999999998</v>
      </c>
      <c r="E104" s="417">
        <f>+D104-C104</f>
        <v>-14.200000000000045</v>
      </c>
      <c r="F104" s="410">
        <f>IF(C104=0,0,+E104/C104)</f>
        <v>-5.2379195868683309E-2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4.2</v>
      </c>
      <c r="D105" s="416">
        <v>3.6</v>
      </c>
      <c r="E105" s="417">
        <f>+D105-C105</f>
        <v>-0.60000000000000009</v>
      </c>
      <c r="F105" s="410">
        <f>IF(C105=0,0,+E105/C105)</f>
        <v>-0.14285714285714288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482.8</v>
      </c>
      <c r="D106" s="416">
        <v>441.7</v>
      </c>
      <c r="E106" s="417">
        <f>+D106-C106</f>
        <v>-41.100000000000023</v>
      </c>
      <c r="F106" s="410">
        <f>IF(C106=0,0,+E106/C106)</f>
        <v>-8.512841756420883E-2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758.1</v>
      </c>
      <c r="D107" s="418">
        <f>SUM(D104:D106)</f>
        <v>702.2</v>
      </c>
      <c r="E107" s="418">
        <f>+D107-C107</f>
        <v>-55.899999999999977</v>
      </c>
      <c r="F107" s="402">
        <f>IF(C107=0,0,+E107/C107)</f>
        <v>-7.3736974013982298E-2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64" orientation="portrait" horizontalDpi="1200" verticalDpi="1200" r:id="rId1"/>
  <headerFooter>
    <oddHeader>&amp;LOFFICE OF HEALTH CARE ACCESS&amp;CTWELVE MONTHS ACTUAL FILING&amp;RDAY KIMBALL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2961</v>
      </c>
      <c r="D12" s="409">
        <v>2801</v>
      </c>
      <c r="E12" s="409">
        <f>+D12-C12</f>
        <v>-160</v>
      </c>
      <c r="F12" s="410">
        <f>IF(C12=0,0,+E12/C12)</f>
        <v>-5.4035798716649777E-2</v>
      </c>
    </row>
    <row r="13" spans="1:6" ht="15.75" customHeight="1" x14ac:dyDescent="0.25">
      <c r="A13" s="374"/>
      <c r="B13" s="399" t="s">
        <v>621</v>
      </c>
      <c r="C13" s="401">
        <f>SUM(C11:C12)</f>
        <v>2961</v>
      </c>
      <c r="D13" s="401">
        <f>SUM(D11:D12)</f>
        <v>2801</v>
      </c>
      <c r="E13" s="401">
        <f>+D13-C13</f>
        <v>-160</v>
      </c>
      <c r="F13" s="402">
        <f>IF(C13=0,0,+E13/C13)</f>
        <v>-5.4035798716649777E-2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806</v>
      </c>
      <c r="D16" s="409">
        <v>847</v>
      </c>
      <c r="E16" s="409">
        <f>+D16-C16</f>
        <v>41</v>
      </c>
      <c r="F16" s="410">
        <f>IF(C16=0,0,+E16/C16)</f>
        <v>5.0868486352357321E-2</v>
      </c>
    </row>
    <row r="17" spans="1:6" ht="15.75" customHeight="1" x14ac:dyDescent="0.25">
      <c r="A17" s="374"/>
      <c r="B17" s="399" t="s">
        <v>622</v>
      </c>
      <c r="C17" s="401">
        <f>SUM(C15:C16)</f>
        <v>806</v>
      </c>
      <c r="D17" s="401">
        <f>SUM(D15:D16)</f>
        <v>847</v>
      </c>
      <c r="E17" s="401">
        <f>+D17-C17</f>
        <v>41</v>
      </c>
      <c r="F17" s="402">
        <f>IF(C17=0,0,+E17/C17)</f>
        <v>5.0868486352357321E-2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19151</v>
      </c>
      <c r="D20" s="409">
        <v>20719</v>
      </c>
      <c r="E20" s="409">
        <f>+D20-C20</f>
        <v>1568</v>
      </c>
      <c r="F20" s="410">
        <f>IF(C20=0,0,+E20/C20)</f>
        <v>8.1875620072058897E-2</v>
      </c>
    </row>
    <row r="21" spans="1:6" ht="15.75" customHeight="1" x14ac:dyDescent="0.25">
      <c r="A21" s="374"/>
      <c r="B21" s="399" t="s">
        <v>624</v>
      </c>
      <c r="C21" s="401">
        <f>SUM(C19:C20)</f>
        <v>19151</v>
      </c>
      <c r="D21" s="401">
        <f>SUM(D19:D20)</f>
        <v>20719</v>
      </c>
      <c r="E21" s="401">
        <f>+D21-C21</f>
        <v>1568</v>
      </c>
      <c r="F21" s="402">
        <f>IF(C21=0,0,+E21/C21)</f>
        <v>8.1875620072058897E-2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5" orientation="portrait" horizontalDpi="1200" verticalDpi="1200" r:id="rId1"/>
  <headerFooter>
    <oddHeader>&amp;LOFFICE OF HEALTH CARE ACCESS&amp;CTWELVE MONTHS ACTUAL FILING&amp;RDAY KIMBALL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40141677</v>
      </c>
      <c r="D15" s="448">
        <v>36440914</v>
      </c>
      <c r="E15" s="448">
        <f t="shared" ref="E15:E24" si="0">D15-C15</f>
        <v>-3700763</v>
      </c>
      <c r="F15" s="449">
        <f t="shared" ref="F15:F24" si="1">IF(C15=0,0,E15/C15)</f>
        <v>-9.2192535952097865E-2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18892725</v>
      </c>
      <c r="D16" s="448">
        <v>16417693</v>
      </c>
      <c r="E16" s="448">
        <f t="shared" si="0"/>
        <v>-2475032</v>
      </c>
      <c r="F16" s="449">
        <f t="shared" si="1"/>
        <v>-0.13100450040954917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0.47065111405285831</v>
      </c>
      <c r="D17" s="453">
        <f>IF(LN_IA1=0,0,LN_IA2/LN_IA1)</f>
        <v>0.45052912229369441</v>
      </c>
      <c r="E17" s="454">
        <f t="shared" si="0"/>
        <v>-2.0121991759163904E-2</v>
      </c>
      <c r="F17" s="449">
        <f t="shared" si="1"/>
        <v>-4.2753519875667445E-2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2105</v>
      </c>
      <c r="D18" s="456">
        <v>1903</v>
      </c>
      <c r="E18" s="456">
        <f t="shared" si="0"/>
        <v>-202</v>
      </c>
      <c r="F18" s="449">
        <f t="shared" si="1"/>
        <v>-9.5961995249406171E-2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1.2448999999999999</v>
      </c>
      <c r="D19" s="459">
        <v>1.2315</v>
      </c>
      <c r="E19" s="460">
        <f t="shared" si="0"/>
        <v>-1.3399999999999856E-2</v>
      </c>
      <c r="F19" s="449">
        <f t="shared" si="1"/>
        <v>-1.076391678046418E-2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2620.5144999999998</v>
      </c>
      <c r="D20" s="463">
        <f>LN_IA4*LN_IA5</f>
        <v>2343.5445</v>
      </c>
      <c r="E20" s="463">
        <f t="shared" si="0"/>
        <v>-276.9699999999998</v>
      </c>
      <c r="F20" s="449">
        <f t="shared" si="1"/>
        <v>-0.10569298509891849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7209.5479723542849</v>
      </c>
      <c r="D21" s="465">
        <f>IF(LN_IA6=0,0,LN_IA2/LN_IA6)</f>
        <v>7005.4965886075561</v>
      </c>
      <c r="E21" s="465">
        <f t="shared" si="0"/>
        <v>-204.05138374672879</v>
      </c>
      <c r="F21" s="449">
        <f t="shared" si="1"/>
        <v>-2.8302937233954713E-2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8940</v>
      </c>
      <c r="D22" s="456">
        <v>8118</v>
      </c>
      <c r="E22" s="456">
        <f t="shared" si="0"/>
        <v>-822</v>
      </c>
      <c r="F22" s="449">
        <f t="shared" si="1"/>
        <v>-9.1946308724832213E-2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2113.280201342282</v>
      </c>
      <c r="D23" s="465">
        <f>IF(LN_IA8=0,0,LN_IA2/LN_IA8)</f>
        <v>2022.3814979058882</v>
      </c>
      <c r="E23" s="465">
        <f t="shared" si="0"/>
        <v>-90.898703436393816</v>
      </c>
      <c r="F23" s="449">
        <f t="shared" si="1"/>
        <v>-4.301308618642153E-2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4.2470308788598574</v>
      </c>
      <c r="D24" s="466">
        <f>IF(LN_IA4=0,0,LN_IA8/LN_IA4)</f>
        <v>4.2658959537572256</v>
      </c>
      <c r="E24" s="466">
        <f t="shared" si="0"/>
        <v>1.8865074897368217E-2</v>
      </c>
      <c r="F24" s="449">
        <f t="shared" si="1"/>
        <v>4.4419443690111964E-3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65465511</v>
      </c>
      <c r="D27" s="448">
        <v>73647351</v>
      </c>
      <c r="E27" s="448">
        <f t="shared" ref="E27:E32" si="2">D27-C27</f>
        <v>8181840</v>
      </c>
      <c r="F27" s="449">
        <f t="shared" ref="F27:F32" si="3">IF(C27=0,0,E27/C27)</f>
        <v>0.12497939563933137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22486839</v>
      </c>
      <c r="D28" s="448">
        <v>25071301</v>
      </c>
      <c r="E28" s="448">
        <f t="shared" si="2"/>
        <v>2584462</v>
      </c>
      <c r="F28" s="449">
        <f t="shared" si="3"/>
        <v>0.1149322054558224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0.34349138434129078</v>
      </c>
      <c r="D29" s="453">
        <f>IF(LN_IA11=0,0,LN_IA12/LN_IA11)</f>
        <v>0.34042366303168187</v>
      </c>
      <c r="E29" s="454">
        <f t="shared" si="2"/>
        <v>-3.0677213096089173E-3</v>
      </c>
      <c r="F29" s="449">
        <f t="shared" si="3"/>
        <v>-8.9309992898128979E-3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1.6308613862843846</v>
      </c>
      <c r="D30" s="453">
        <f>IF(LN_IA1=0,0,LN_IA11/LN_IA1)</f>
        <v>2.0210072392805514</v>
      </c>
      <c r="E30" s="454">
        <f t="shared" si="2"/>
        <v>0.39014585299616678</v>
      </c>
      <c r="F30" s="449">
        <f t="shared" si="3"/>
        <v>0.23922686273481636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3432.9632181286297</v>
      </c>
      <c r="D31" s="463">
        <f>LN_IA14*LN_IA4</f>
        <v>3845.9767763508894</v>
      </c>
      <c r="E31" s="463">
        <f t="shared" si="2"/>
        <v>413.01355822225969</v>
      </c>
      <c r="F31" s="449">
        <f t="shared" si="3"/>
        <v>0.12030818042012138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6550.2708800527089</v>
      </c>
      <c r="D32" s="465">
        <f>IF(LN_IA15=0,0,LN_IA12/LN_IA15)</f>
        <v>6518.8383752509189</v>
      </c>
      <c r="E32" s="465">
        <f t="shared" si="2"/>
        <v>-31.432504801789946</v>
      </c>
      <c r="F32" s="449">
        <f t="shared" si="3"/>
        <v>-4.798657242940923E-3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105607188</v>
      </c>
      <c r="D35" s="448">
        <f>LN_IA1+LN_IA11</f>
        <v>110088265</v>
      </c>
      <c r="E35" s="448">
        <f>D35-C35</f>
        <v>4481077</v>
      </c>
      <c r="F35" s="449">
        <f>IF(C35=0,0,E35/C35)</f>
        <v>4.2431553049211007E-2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41379564</v>
      </c>
      <c r="D36" s="448">
        <f>LN_IA2+LN_IA12</f>
        <v>41488994</v>
      </c>
      <c r="E36" s="448">
        <f>D36-C36</f>
        <v>109430</v>
      </c>
      <c r="F36" s="449">
        <f>IF(C36=0,0,E36/C36)</f>
        <v>2.6445421222901235E-3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64227624</v>
      </c>
      <c r="D37" s="448">
        <f>LN_IA17-LN_IA18</f>
        <v>68599271</v>
      </c>
      <c r="E37" s="448">
        <f>D37-C37</f>
        <v>4371647</v>
      </c>
      <c r="F37" s="449">
        <f>IF(C37=0,0,E37/C37)</f>
        <v>6.8064903039228103E-2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15491458</v>
      </c>
      <c r="D42" s="448">
        <v>16230097</v>
      </c>
      <c r="E42" s="448">
        <f t="shared" ref="E42:E53" si="4">D42-C42</f>
        <v>738639</v>
      </c>
      <c r="F42" s="449">
        <f t="shared" ref="F42:F53" si="5">IF(C42=0,0,E42/C42)</f>
        <v>4.768040554994888E-2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9252473</v>
      </c>
      <c r="D43" s="448">
        <v>9693885</v>
      </c>
      <c r="E43" s="448">
        <f t="shared" si="4"/>
        <v>441412</v>
      </c>
      <c r="F43" s="449">
        <f t="shared" si="5"/>
        <v>4.7707461561898097E-2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0.59726289158838375</v>
      </c>
      <c r="D44" s="453">
        <f>IF(LN_IB1=0,0,LN_IB2/LN_IB1)</f>
        <v>0.59727831571185308</v>
      </c>
      <c r="E44" s="454">
        <f t="shared" si="4"/>
        <v>1.5424123469331974E-5</v>
      </c>
      <c r="F44" s="449">
        <f t="shared" si="5"/>
        <v>2.5824680700172869E-5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1033</v>
      </c>
      <c r="D45" s="456">
        <v>1089</v>
      </c>
      <c r="E45" s="456">
        <f t="shared" si="4"/>
        <v>56</v>
      </c>
      <c r="F45" s="449">
        <f t="shared" si="5"/>
        <v>5.4211035818005807E-2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1.0525</v>
      </c>
      <c r="D46" s="459">
        <v>1.0461</v>
      </c>
      <c r="E46" s="460">
        <f t="shared" si="4"/>
        <v>-6.3999999999999613E-3</v>
      </c>
      <c r="F46" s="449">
        <f t="shared" si="5"/>
        <v>-6.0807600950118397E-3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1087.2325000000001</v>
      </c>
      <c r="D47" s="463">
        <f>LN_IB4*LN_IB5</f>
        <v>1139.2029</v>
      </c>
      <c r="E47" s="463">
        <f t="shared" si="4"/>
        <v>51.970399999999927</v>
      </c>
      <c r="F47" s="449">
        <f t="shared" si="5"/>
        <v>4.7800631419682472E-2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8510.1144419431894</v>
      </c>
      <c r="D48" s="465">
        <f>IF(LN_IB6=0,0,LN_IB2/LN_IB6)</f>
        <v>8509.3577272319089</v>
      </c>
      <c r="E48" s="465">
        <f t="shared" si="4"/>
        <v>-0.75671471128043777</v>
      </c>
      <c r="F48" s="449">
        <f t="shared" si="5"/>
        <v>-8.8919451840843922E-5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-1300.5664695889045</v>
      </c>
      <c r="D49" s="465">
        <f>LN_IA7-LN_IB7</f>
        <v>-1503.8611386243529</v>
      </c>
      <c r="E49" s="465">
        <f t="shared" si="4"/>
        <v>-203.29466903544835</v>
      </c>
      <c r="F49" s="449">
        <f t="shared" si="5"/>
        <v>0.15631240216404138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-1414018.1341473188</v>
      </c>
      <c r="D50" s="479">
        <f>LN_IB8*LN_IB6</f>
        <v>-1713202.9703181647</v>
      </c>
      <c r="E50" s="479">
        <f t="shared" si="4"/>
        <v>-299184.8361708459</v>
      </c>
      <c r="F50" s="449">
        <f t="shared" si="5"/>
        <v>0.21158486510589225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3059</v>
      </c>
      <c r="D51" s="456">
        <v>3566</v>
      </c>
      <c r="E51" s="456">
        <f t="shared" si="4"/>
        <v>507</v>
      </c>
      <c r="F51" s="449">
        <f t="shared" si="5"/>
        <v>0.16574043805165087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3024.6724419745015</v>
      </c>
      <c r="D52" s="465">
        <f>IF(LN_IB10=0,0,LN_IB2/LN_IB10)</f>
        <v>2718.4197980931017</v>
      </c>
      <c r="E52" s="465">
        <f t="shared" si="4"/>
        <v>-306.25264388139976</v>
      </c>
      <c r="F52" s="449">
        <f t="shared" si="5"/>
        <v>-0.10125150731412044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2.9612778315585673</v>
      </c>
      <c r="D53" s="466">
        <f>IF(LN_IB4=0,0,LN_IB10/LN_IB4)</f>
        <v>3.2745638200183653</v>
      </c>
      <c r="E53" s="466">
        <f t="shared" si="4"/>
        <v>0.31328598845979805</v>
      </c>
      <c r="F53" s="449">
        <f t="shared" si="5"/>
        <v>0.10579418963026198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66919018</v>
      </c>
      <c r="D56" s="448">
        <v>67976089</v>
      </c>
      <c r="E56" s="448">
        <f t="shared" ref="E56:E63" si="6">D56-C56</f>
        <v>1057071</v>
      </c>
      <c r="F56" s="449">
        <f t="shared" ref="F56:F63" si="7">IF(C56=0,0,E56/C56)</f>
        <v>1.5796271846069229E-2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35695776</v>
      </c>
      <c r="D57" s="448">
        <v>36311368</v>
      </c>
      <c r="E57" s="448">
        <f t="shared" si="6"/>
        <v>615592</v>
      </c>
      <c r="F57" s="449">
        <f t="shared" si="7"/>
        <v>1.724551386696286E-2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0.53341751069927534</v>
      </c>
      <c r="D58" s="453">
        <f>IF(LN_IB13=0,0,LN_IB14/LN_IB13)</f>
        <v>0.53417854033938317</v>
      </c>
      <c r="E58" s="454">
        <f t="shared" si="6"/>
        <v>7.6102964010782426E-4</v>
      </c>
      <c r="F58" s="449">
        <f t="shared" si="7"/>
        <v>1.4267053946357411E-3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4.3197365929017142</v>
      </c>
      <c r="D59" s="453">
        <f>IF(LN_IB1=0,0,LN_IB13/LN_IB1)</f>
        <v>4.1882737361335547</v>
      </c>
      <c r="E59" s="454">
        <f t="shared" si="6"/>
        <v>-0.1314628567681595</v>
      </c>
      <c r="F59" s="449">
        <f t="shared" si="7"/>
        <v>-3.0433072466543941E-2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4462.2879004674705</v>
      </c>
      <c r="D60" s="463">
        <f>LN_IB16*LN_IB4</f>
        <v>4561.0300986494412</v>
      </c>
      <c r="E60" s="463">
        <f t="shared" si="6"/>
        <v>98.742198181970707</v>
      </c>
      <c r="F60" s="449">
        <f t="shared" si="7"/>
        <v>2.2128154969926178E-2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7999.4336529161419</v>
      </c>
      <c r="D61" s="465">
        <f>IF(LN_IB17=0,0,LN_IB14/LN_IB17)</f>
        <v>7961.220867793023</v>
      </c>
      <c r="E61" s="465">
        <f t="shared" si="6"/>
        <v>-38.21278512311892</v>
      </c>
      <c r="F61" s="449">
        <f t="shared" si="7"/>
        <v>-4.7769363158838996E-3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-1449.162772863433</v>
      </c>
      <c r="D62" s="465">
        <f>LN_IA16-LN_IB18</f>
        <v>-1442.382492542104</v>
      </c>
      <c r="E62" s="465">
        <f t="shared" si="6"/>
        <v>6.7802803213289735</v>
      </c>
      <c r="F62" s="449">
        <f t="shared" si="7"/>
        <v>-4.6787568990139502E-3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-6466581.507156386</v>
      </c>
      <c r="D63" s="448">
        <f>LN_IB19*LN_IB17</f>
        <v>-6578749.9622495398</v>
      </c>
      <c r="E63" s="448">
        <f t="shared" si="6"/>
        <v>-112168.45509315375</v>
      </c>
      <c r="F63" s="449">
        <f t="shared" si="7"/>
        <v>1.73458658131843E-2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82410476</v>
      </c>
      <c r="D66" s="448">
        <f>LN_IB1+LN_IB13</f>
        <v>84206186</v>
      </c>
      <c r="E66" s="448">
        <f>D66-C66</f>
        <v>1795710</v>
      </c>
      <c r="F66" s="449">
        <f>IF(C66=0,0,E66/C66)</f>
        <v>2.1789826817648766E-2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44948249</v>
      </c>
      <c r="D67" s="448">
        <f>LN_IB2+LN_IB14</f>
        <v>46005253</v>
      </c>
      <c r="E67" s="448">
        <f>D67-C67</f>
        <v>1057004</v>
      </c>
      <c r="F67" s="449">
        <f>IF(C67=0,0,E67/C67)</f>
        <v>2.3516021725340178E-2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37462227</v>
      </c>
      <c r="D68" s="448">
        <f>LN_IB21-LN_IB22</f>
        <v>38200933</v>
      </c>
      <c r="E68" s="448">
        <f>D68-C68</f>
        <v>738706</v>
      </c>
      <c r="F68" s="449">
        <f>IF(C68=0,0,E68/C68)</f>
        <v>1.9718688907629543E-2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-7880599.6413037051</v>
      </c>
      <c r="D70" s="441">
        <f>LN_IB9+LN_IB20</f>
        <v>-8291952.9325677045</v>
      </c>
      <c r="E70" s="448">
        <f>D70-C70</f>
        <v>-411353.29126399942</v>
      </c>
      <c r="F70" s="449">
        <f>IF(C70=0,0,E70/C70)</f>
        <v>5.2198222214972001E-2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84758645</v>
      </c>
      <c r="D73" s="488">
        <v>84206186</v>
      </c>
      <c r="E73" s="488">
        <f>D73-C73</f>
        <v>-552459</v>
      </c>
      <c r="F73" s="489">
        <f>IF(C73=0,0,E73/C73)</f>
        <v>-6.5180253884426775E-3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44970813</v>
      </c>
      <c r="D74" s="488">
        <v>46005254</v>
      </c>
      <c r="E74" s="488">
        <f>D74-C74</f>
        <v>1034441</v>
      </c>
      <c r="F74" s="489">
        <f>IF(C74=0,0,E74/C74)</f>
        <v>2.3002497197460052E-2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39787832</v>
      </c>
      <c r="D76" s="441">
        <f>LN_IB32-LN_IB33</f>
        <v>38200932</v>
      </c>
      <c r="E76" s="488">
        <f>D76-C76</f>
        <v>-1586900</v>
      </c>
      <c r="F76" s="489">
        <f>IF(E76=0,0,E76/C76)</f>
        <v>-3.9884052993890196E-2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0.4694250598272306</v>
      </c>
      <c r="D77" s="453">
        <f>IF(LN_IB32=0,0,LN_IB34/LN_IB32)</f>
        <v>0.45365944967511057</v>
      </c>
      <c r="E77" s="493">
        <f>D77-C77</f>
        <v>-1.5765610152120024E-2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359681</v>
      </c>
      <c r="D83" s="448">
        <v>263850</v>
      </c>
      <c r="E83" s="448">
        <f t="shared" ref="E83:E95" si="8">D83-C83</f>
        <v>-95831</v>
      </c>
      <c r="F83" s="449">
        <f t="shared" ref="F83:F95" si="9">IF(C83=0,0,E83/C83)</f>
        <v>-0.2664333117401253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3422</v>
      </c>
      <c r="D84" s="448">
        <v>3875</v>
      </c>
      <c r="E84" s="448">
        <f t="shared" si="8"/>
        <v>453</v>
      </c>
      <c r="F84" s="449">
        <f t="shared" si="9"/>
        <v>0.13237872589129165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9.5139860042648908E-3</v>
      </c>
      <c r="D85" s="453">
        <f>IF(LN_IC1=0,0,LN_IC2/LN_IC1)</f>
        <v>1.468637483418609E-2</v>
      </c>
      <c r="E85" s="454">
        <f t="shared" si="8"/>
        <v>5.1723888299211995E-3</v>
      </c>
      <c r="F85" s="449">
        <f t="shared" si="9"/>
        <v>0.5436615975262673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23</v>
      </c>
      <c r="D86" s="456">
        <v>22</v>
      </c>
      <c r="E86" s="456">
        <f t="shared" si="8"/>
        <v>-1</v>
      </c>
      <c r="F86" s="449">
        <f t="shared" si="9"/>
        <v>-4.3478260869565216E-2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1.0710999999999999</v>
      </c>
      <c r="D87" s="459">
        <v>0.84660000000000002</v>
      </c>
      <c r="E87" s="460">
        <f t="shared" si="8"/>
        <v>-0.22449999999999992</v>
      </c>
      <c r="F87" s="449">
        <f t="shared" si="9"/>
        <v>-0.20959760993371293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24.635299999999997</v>
      </c>
      <c r="D88" s="463">
        <f>LN_IC4*LN_IC5</f>
        <v>18.6252</v>
      </c>
      <c r="E88" s="463">
        <f t="shared" si="8"/>
        <v>-6.0100999999999978</v>
      </c>
      <c r="F88" s="449">
        <f t="shared" si="9"/>
        <v>-0.24396293124094282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138.90636606820297</v>
      </c>
      <c r="D89" s="465">
        <f>IF(LN_IC6=0,0,LN_IC2/LN_IC6)</f>
        <v>208.05145716556063</v>
      </c>
      <c r="E89" s="465">
        <f t="shared" si="8"/>
        <v>69.145091097357664</v>
      </c>
      <c r="F89" s="449">
        <f t="shared" si="9"/>
        <v>0.49778201715684833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8371.2080758749871</v>
      </c>
      <c r="D90" s="465">
        <f>LN_IB7-LN_IC7</f>
        <v>8301.3062700663486</v>
      </c>
      <c r="E90" s="465">
        <f t="shared" si="8"/>
        <v>-69.901805808638528</v>
      </c>
      <c r="F90" s="449">
        <f t="shared" si="9"/>
        <v>-8.3502650005903897E-3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7070.6416062860817</v>
      </c>
      <c r="D91" s="465">
        <f>LN_IA7-LN_IC7</f>
        <v>6797.4451314419957</v>
      </c>
      <c r="E91" s="465">
        <f t="shared" si="8"/>
        <v>-273.19647484408597</v>
      </c>
      <c r="F91" s="449">
        <f t="shared" si="9"/>
        <v>-3.8638144889312935E-2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174187.37716333949</v>
      </c>
      <c r="D92" s="441">
        <f>LN_IC9*LN_IC6</f>
        <v>126603.77506213346</v>
      </c>
      <c r="E92" s="441">
        <f t="shared" si="8"/>
        <v>-47583.602101206037</v>
      </c>
      <c r="F92" s="449">
        <f t="shared" si="9"/>
        <v>-0.27317480104534675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87</v>
      </c>
      <c r="D93" s="456">
        <v>72</v>
      </c>
      <c r="E93" s="456">
        <f t="shared" si="8"/>
        <v>-15</v>
      </c>
      <c r="F93" s="449">
        <f t="shared" si="9"/>
        <v>-0.17241379310344829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39.333333333333336</v>
      </c>
      <c r="D94" s="499">
        <f>IF(LN_IC11=0,0,LN_IC2/LN_IC11)</f>
        <v>53.819444444444443</v>
      </c>
      <c r="E94" s="499">
        <f t="shared" si="8"/>
        <v>14.486111111111107</v>
      </c>
      <c r="F94" s="449">
        <f t="shared" si="9"/>
        <v>0.36829096045197729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3.7826086956521738</v>
      </c>
      <c r="D95" s="466">
        <f>IF(LN_IC4=0,0,LN_IC11/LN_IC4)</f>
        <v>3.2727272727272729</v>
      </c>
      <c r="E95" s="466">
        <f t="shared" si="8"/>
        <v>-0.50988142292490091</v>
      </c>
      <c r="F95" s="449">
        <f t="shared" si="9"/>
        <v>-0.13479623824451403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2348169</v>
      </c>
      <c r="D98" s="448">
        <v>1962996</v>
      </c>
      <c r="E98" s="448">
        <f t="shared" ref="E98:E106" si="10">D98-C98</f>
        <v>-385173</v>
      </c>
      <c r="F98" s="449">
        <f t="shared" ref="F98:F106" si="11">IF(C98=0,0,E98/C98)</f>
        <v>-0.16403120899730811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22564</v>
      </c>
      <c r="D99" s="448">
        <v>40007</v>
      </c>
      <c r="E99" s="448">
        <f t="shared" si="10"/>
        <v>17443</v>
      </c>
      <c r="F99" s="449">
        <f t="shared" si="11"/>
        <v>0.77304555929799679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9.6091891171376509E-3</v>
      </c>
      <c r="D100" s="453">
        <f>IF(LN_IC14=0,0,LN_IC15/LN_IC14)</f>
        <v>2.0380581519269525E-2</v>
      </c>
      <c r="E100" s="454">
        <f t="shared" si="10"/>
        <v>1.0771392402131874E-2</v>
      </c>
      <c r="F100" s="449">
        <f t="shared" si="11"/>
        <v>1.1209470716859422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6.5284766223403512</v>
      </c>
      <c r="D101" s="453">
        <f>IF(LN_IC1=0,0,LN_IC14/LN_IC1)</f>
        <v>7.4398180784536665</v>
      </c>
      <c r="E101" s="454">
        <f t="shared" si="10"/>
        <v>0.9113414561133153</v>
      </c>
      <c r="F101" s="449">
        <f t="shared" si="11"/>
        <v>0.13959481037195082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150.15496231382807</v>
      </c>
      <c r="D102" s="463">
        <f>LN_IC17*LN_IC4</f>
        <v>163.67599772598066</v>
      </c>
      <c r="E102" s="463">
        <f t="shared" si="10"/>
        <v>13.5210354121526</v>
      </c>
      <c r="F102" s="449">
        <f t="shared" si="11"/>
        <v>9.0047209920996532E-2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150.27142394961686</v>
      </c>
      <c r="D103" s="465">
        <f>IF(LN_IC18=0,0,LN_IC15/LN_IC18)</f>
        <v>244.42801972087565</v>
      </c>
      <c r="E103" s="465">
        <f t="shared" si="10"/>
        <v>94.156595771258793</v>
      </c>
      <c r="F103" s="449">
        <f t="shared" si="11"/>
        <v>0.62657685204891456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7849.1622289665247</v>
      </c>
      <c r="D104" s="465">
        <f>LN_IB18-LN_IC19</f>
        <v>7716.7928480721475</v>
      </c>
      <c r="E104" s="465">
        <f t="shared" si="10"/>
        <v>-132.36938089437717</v>
      </c>
      <c r="F104" s="449">
        <f t="shared" si="11"/>
        <v>-1.6864141297256108E-2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6399.9994561030917</v>
      </c>
      <c r="D105" s="465">
        <f>LN_IA16-LN_IC19</f>
        <v>6274.4103555300435</v>
      </c>
      <c r="E105" s="465">
        <f t="shared" si="10"/>
        <v>-125.5891005730482</v>
      </c>
      <c r="F105" s="449">
        <f t="shared" si="11"/>
        <v>-1.9623298632203072E-2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960991.6771396799</v>
      </c>
      <c r="D106" s="448">
        <f>LN_IC21*LN_IC18</f>
        <v>1026970.3750836049</v>
      </c>
      <c r="E106" s="448">
        <f t="shared" si="10"/>
        <v>65978.697943925043</v>
      </c>
      <c r="F106" s="449">
        <f t="shared" si="11"/>
        <v>6.8656887997517027E-2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2707850</v>
      </c>
      <c r="D109" s="448">
        <f>LN_IC1+LN_IC14</f>
        <v>2226846</v>
      </c>
      <c r="E109" s="448">
        <f>D109-C109</f>
        <v>-481004</v>
      </c>
      <c r="F109" s="449">
        <f>IF(C109=0,0,E109/C109)</f>
        <v>-0.1776331776132356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25986</v>
      </c>
      <c r="D110" s="448">
        <f>LN_IC2+LN_IC15</f>
        <v>43882</v>
      </c>
      <c r="E110" s="448">
        <f>D110-C110</f>
        <v>17896</v>
      </c>
      <c r="F110" s="449">
        <f>IF(C110=0,0,E110/C110)</f>
        <v>0.68867851920264755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2681864</v>
      </c>
      <c r="D111" s="448">
        <f>LN_IC23-LN_IC24</f>
        <v>2182964</v>
      </c>
      <c r="E111" s="448">
        <f>D111-C111</f>
        <v>-498900</v>
      </c>
      <c r="F111" s="449">
        <f>IF(C111=0,0,E111/C111)</f>
        <v>-0.18602733024493412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1135179.0543030193</v>
      </c>
      <c r="D113" s="448">
        <f>LN_IC10+LN_IC22</f>
        <v>1153574.1501457384</v>
      </c>
      <c r="E113" s="448">
        <f>D113-C113</f>
        <v>18395.095842719078</v>
      </c>
      <c r="F113" s="449">
        <f>IF(C113=0,0,E113/C113)</f>
        <v>1.6204576514154724E-2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16026406</v>
      </c>
      <c r="D118" s="448">
        <v>15576711</v>
      </c>
      <c r="E118" s="448">
        <f t="shared" ref="E118:E130" si="12">D118-C118</f>
        <v>-449695</v>
      </c>
      <c r="F118" s="449">
        <f t="shared" ref="F118:F130" si="13">IF(C118=0,0,E118/C118)</f>
        <v>-2.805962859046501E-2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5779014</v>
      </c>
      <c r="D119" s="448">
        <v>5891931</v>
      </c>
      <c r="E119" s="448">
        <f t="shared" si="12"/>
        <v>112917</v>
      </c>
      <c r="F119" s="449">
        <f t="shared" si="13"/>
        <v>1.9539146297274934E-2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0.36059326089704702</v>
      </c>
      <c r="D120" s="453">
        <f>IF(LN_ID1=0,0,LN_1D2/LN_ID1)</f>
        <v>0.37825257206094404</v>
      </c>
      <c r="E120" s="454">
        <f t="shared" si="12"/>
        <v>1.7659311163897018E-2</v>
      </c>
      <c r="F120" s="449">
        <f t="shared" si="13"/>
        <v>4.8972937319921042E-2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1259</v>
      </c>
      <c r="D121" s="456">
        <v>1096</v>
      </c>
      <c r="E121" s="456">
        <f t="shared" si="12"/>
        <v>-163</v>
      </c>
      <c r="F121" s="449">
        <f t="shared" si="13"/>
        <v>-0.12946783161239078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1.1313</v>
      </c>
      <c r="D122" s="459">
        <v>1.0474000000000001</v>
      </c>
      <c r="E122" s="460">
        <f t="shared" si="12"/>
        <v>-8.3899999999999864E-2</v>
      </c>
      <c r="F122" s="449">
        <f t="shared" si="13"/>
        <v>-7.4162467957217246E-2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1424.3066999999999</v>
      </c>
      <c r="D123" s="463">
        <f>LN_ID4*LN_ID5</f>
        <v>1147.9504000000002</v>
      </c>
      <c r="E123" s="463">
        <f t="shared" si="12"/>
        <v>-276.35629999999969</v>
      </c>
      <c r="F123" s="449">
        <f t="shared" si="13"/>
        <v>-0.1940286456561636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4057.4224638555729</v>
      </c>
      <c r="D124" s="465">
        <f>IF(LN_ID6=0,0,LN_1D2/LN_ID6)</f>
        <v>5132.5658321126066</v>
      </c>
      <c r="E124" s="465">
        <f t="shared" si="12"/>
        <v>1075.1433682570337</v>
      </c>
      <c r="F124" s="449">
        <f t="shared" si="13"/>
        <v>0.26498186418462738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4452.691978087616</v>
      </c>
      <c r="D125" s="465">
        <f>LN_IB7-LN_ID7</f>
        <v>3376.7918951193024</v>
      </c>
      <c r="E125" s="465">
        <f t="shared" si="12"/>
        <v>-1075.9000829683137</v>
      </c>
      <c r="F125" s="449">
        <f t="shared" si="13"/>
        <v>-0.2416291286850705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3152.125508498712</v>
      </c>
      <c r="D126" s="465">
        <f>LN_IA7-LN_ID7</f>
        <v>1872.9307564949495</v>
      </c>
      <c r="E126" s="465">
        <f t="shared" si="12"/>
        <v>-1279.1947520037625</v>
      </c>
      <c r="F126" s="449">
        <f t="shared" si="13"/>
        <v>-0.4058197392695238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4489593.4809956215</v>
      </c>
      <c r="D127" s="479">
        <f>LN_ID9*LN_ID6</f>
        <v>2150031.6110906801</v>
      </c>
      <c r="E127" s="479">
        <f t="shared" si="12"/>
        <v>-2339561.8699049414</v>
      </c>
      <c r="F127" s="449">
        <f t="shared" si="13"/>
        <v>-0.52110773053468429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4556</v>
      </c>
      <c r="D128" s="456">
        <v>4439</v>
      </c>
      <c r="E128" s="456">
        <f t="shared" si="12"/>
        <v>-117</v>
      </c>
      <c r="F128" s="449">
        <f t="shared" si="13"/>
        <v>-2.5680421422300263E-2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1268.4402985074628</v>
      </c>
      <c r="D129" s="465">
        <f>IF(LN_ID11=0,0,LN_1D2/LN_ID11)</f>
        <v>1327.3104302770894</v>
      </c>
      <c r="E129" s="465">
        <f t="shared" si="12"/>
        <v>58.870131769626596</v>
      </c>
      <c r="F129" s="449">
        <f t="shared" si="13"/>
        <v>4.6411432874607805E-2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3.6187450357426529</v>
      </c>
      <c r="D130" s="466">
        <f>IF(LN_ID4=0,0,LN_ID11/LN_ID4)</f>
        <v>4.0501824817518246</v>
      </c>
      <c r="E130" s="466">
        <f t="shared" si="12"/>
        <v>0.43143744600917167</v>
      </c>
      <c r="F130" s="449">
        <f t="shared" si="13"/>
        <v>0.11922294655960208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38094883</v>
      </c>
      <c r="D133" s="448">
        <v>37158495</v>
      </c>
      <c r="E133" s="448">
        <f t="shared" ref="E133:E141" si="14">D133-C133</f>
        <v>-936388</v>
      </c>
      <c r="F133" s="449">
        <f t="shared" ref="F133:F141" si="15">IF(C133=0,0,E133/C133)</f>
        <v>-2.4580414120185117E-2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11763165</v>
      </c>
      <c r="D134" s="448">
        <v>11071714</v>
      </c>
      <c r="E134" s="448">
        <f t="shared" si="14"/>
        <v>-691451</v>
      </c>
      <c r="F134" s="449">
        <f t="shared" si="15"/>
        <v>-5.8781033845907965E-2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0.3087859595211252</v>
      </c>
      <c r="D135" s="453">
        <f>IF(LN_ID14=0,0,LN_ID15/LN_ID14)</f>
        <v>0.29795916115547738</v>
      </c>
      <c r="E135" s="454">
        <f t="shared" si="14"/>
        <v>-1.0826798365647816E-2</v>
      </c>
      <c r="F135" s="449">
        <f t="shared" si="15"/>
        <v>-3.5062469752311115E-2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2.3770072341858803</v>
      </c>
      <c r="D136" s="453">
        <f>IF(LN_ID1=0,0,LN_ID14/LN_ID1)</f>
        <v>2.3855161079896776</v>
      </c>
      <c r="E136" s="454">
        <f t="shared" si="14"/>
        <v>8.5088738037972789E-3</v>
      </c>
      <c r="F136" s="449">
        <f t="shared" si="15"/>
        <v>3.5796583541789469E-3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2992.6521078400233</v>
      </c>
      <c r="D137" s="463">
        <f>LN_ID17*LN_ID4</f>
        <v>2614.5256543566866</v>
      </c>
      <c r="E137" s="463">
        <f t="shared" si="14"/>
        <v>-378.12645348333672</v>
      </c>
      <c r="F137" s="449">
        <f t="shared" si="15"/>
        <v>-0.12635162386324059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3930.6824101549787</v>
      </c>
      <c r="D138" s="465">
        <f>IF(LN_ID18=0,0,LN_ID15/LN_ID18)</f>
        <v>4234.6931962785557</v>
      </c>
      <c r="E138" s="465">
        <f t="shared" si="14"/>
        <v>304.01078612357696</v>
      </c>
      <c r="F138" s="449">
        <f t="shared" si="15"/>
        <v>7.7343004191374104E-2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4068.7512427611632</v>
      </c>
      <c r="D139" s="465">
        <f>LN_IB18-LN_ID19</f>
        <v>3726.5276715144673</v>
      </c>
      <c r="E139" s="465">
        <f t="shared" si="14"/>
        <v>-342.22357124669588</v>
      </c>
      <c r="F139" s="449">
        <f t="shared" si="15"/>
        <v>-8.4110222234784218E-2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2619.5884698977302</v>
      </c>
      <c r="D140" s="465">
        <f>LN_IA16-LN_ID19</f>
        <v>2284.1451789723633</v>
      </c>
      <c r="E140" s="465">
        <f t="shared" si="14"/>
        <v>-335.44329092536691</v>
      </c>
      <c r="F140" s="449">
        <f t="shared" si="15"/>
        <v>-0.12805190386964208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7839516.9561128635</v>
      </c>
      <c r="D141" s="441">
        <f>LN_ID21*LN_ID18</f>
        <v>5971956.1686983891</v>
      </c>
      <c r="E141" s="441">
        <f t="shared" si="14"/>
        <v>-1867560.7874144744</v>
      </c>
      <c r="F141" s="449">
        <f t="shared" si="15"/>
        <v>-0.23822396174017377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54121289</v>
      </c>
      <c r="D144" s="448">
        <f>LN_ID1+LN_ID14</f>
        <v>52735206</v>
      </c>
      <c r="E144" s="448">
        <f>D144-C144</f>
        <v>-1386083</v>
      </c>
      <c r="F144" s="449">
        <f>IF(C144=0,0,E144/C144)</f>
        <v>-2.5610679745635769E-2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17542179</v>
      </c>
      <c r="D145" s="448">
        <f>LN_1D2+LN_ID15</f>
        <v>16963645</v>
      </c>
      <c r="E145" s="448">
        <f>D145-C145</f>
        <v>-578534</v>
      </c>
      <c r="F145" s="449">
        <f>IF(C145=0,0,E145/C145)</f>
        <v>-3.2979597346486998E-2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36579110</v>
      </c>
      <c r="D146" s="448">
        <f>LN_ID23-LN_ID24</f>
        <v>35771561</v>
      </c>
      <c r="E146" s="448">
        <f>D146-C146</f>
        <v>-807549</v>
      </c>
      <c r="F146" s="449">
        <f>IF(C146=0,0,E146/C146)</f>
        <v>-2.2076780982369447E-2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12329110.437108485</v>
      </c>
      <c r="D148" s="448">
        <f>LN_ID10+LN_ID22</f>
        <v>8121987.7797890697</v>
      </c>
      <c r="E148" s="448">
        <f>D148-C148</f>
        <v>-4207122.6573194154</v>
      </c>
      <c r="F148" s="503">
        <f>IF(C148=0,0,E148/C148)</f>
        <v>-0.34123489109617394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8510.1144419431894</v>
      </c>
      <c r="D160" s="465">
        <f>LN_IB7-LN_IE7</f>
        <v>8509.3577272319089</v>
      </c>
      <c r="E160" s="465">
        <f t="shared" si="16"/>
        <v>-0.75671471128043777</v>
      </c>
      <c r="F160" s="449">
        <f t="shared" si="17"/>
        <v>-8.8919451840843922E-5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7209.5479723542849</v>
      </c>
      <c r="D161" s="465">
        <f>LN_IA7-LN_IE7</f>
        <v>7005.4965886075561</v>
      </c>
      <c r="E161" s="465">
        <f t="shared" si="16"/>
        <v>-204.05138374672879</v>
      </c>
      <c r="F161" s="449">
        <f t="shared" si="17"/>
        <v>-2.8302937233954713E-2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7999.4336529161419</v>
      </c>
      <c r="D174" s="465">
        <f>LN_IB18-LN_IE19</f>
        <v>7961.220867793023</v>
      </c>
      <c r="E174" s="465">
        <f t="shared" si="18"/>
        <v>-38.21278512311892</v>
      </c>
      <c r="F174" s="449">
        <f t="shared" si="19"/>
        <v>-4.7769363158838996E-3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6550.2708800527089</v>
      </c>
      <c r="D175" s="465">
        <f>LN_IA16-LN_IE19</f>
        <v>6518.8383752509189</v>
      </c>
      <c r="E175" s="465">
        <f t="shared" si="18"/>
        <v>-31.432504801789946</v>
      </c>
      <c r="F175" s="449">
        <f t="shared" si="19"/>
        <v>-4.798657242940923E-3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16026406</v>
      </c>
      <c r="D188" s="448">
        <f>LN_ID1+LN_IE1</f>
        <v>15576711</v>
      </c>
      <c r="E188" s="448">
        <f t="shared" ref="E188:E200" si="20">D188-C188</f>
        <v>-449695</v>
      </c>
      <c r="F188" s="449">
        <f t="shared" ref="F188:F200" si="21">IF(C188=0,0,E188/C188)</f>
        <v>-2.805962859046501E-2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5779014</v>
      </c>
      <c r="D189" s="448">
        <f>LN_1D2+LN_IE2</f>
        <v>5891931</v>
      </c>
      <c r="E189" s="448">
        <f t="shared" si="20"/>
        <v>112917</v>
      </c>
      <c r="F189" s="449">
        <f t="shared" si="21"/>
        <v>1.9539146297274934E-2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0.36059326089704702</v>
      </c>
      <c r="D190" s="453">
        <f>IF(LN_IF1=0,0,LN_IF2/LN_IF1)</f>
        <v>0.37825257206094404</v>
      </c>
      <c r="E190" s="454">
        <f t="shared" si="20"/>
        <v>1.7659311163897018E-2</v>
      </c>
      <c r="F190" s="449">
        <f t="shared" si="21"/>
        <v>4.8972937319921042E-2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1259</v>
      </c>
      <c r="D191" s="456">
        <f>LN_ID4+LN_IE4</f>
        <v>1096</v>
      </c>
      <c r="E191" s="456">
        <f t="shared" si="20"/>
        <v>-163</v>
      </c>
      <c r="F191" s="449">
        <f t="shared" si="21"/>
        <v>-0.12946783161239078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1.1313</v>
      </c>
      <c r="D192" s="459">
        <f>IF((LN_ID4+LN_IE4)=0,0,(LN_ID6+LN_IE6)/(LN_ID4+LN_IE4))</f>
        <v>1.0474000000000001</v>
      </c>
      <c r="E192" s="460">
        <f t="shared" si="20"/>
        <v>-8.3899999999999864E-2</v>
      </c>
      <c r="F192" s="449">
        <f t="shared" si="21"/>
        <v>-7.4162467957217246E-2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1424.3066999999999</v>
      </c>
      <c r="D193" s="463">
        <f>LN_IF4*LN_IF5</f>
        <v>1147.9504000000002</v>
      </c>
      <c r="E193" s="463">
        <f t="shared" si="20"/>
        <v>-276.35629999999969</v>
      </c>
      <c r="F193" s="449">
        <f t="shared" si="21"/>
        <v>-0.1940286456561636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4057.4224638555729</v>
      </c>
      <c r="D194" s="465">
        <f>IF(LN_IF6=0,0,LN_IF2/LN_IF6)</f>
        <v>5132.5658321126066</v>
      </c>
      <c r="E194" s="465">
        <f t="shared" si="20"/>
        <v>1075.1433682570337</v>
      </c>
      <c r="F194" s="449">
        <f t="shared" si="21"/>
        <v>0.26498186418462738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4452.691978087616</v>
      </c>
      <c r="D195" s="465">
        <f>LN_IB7-LN_IF7</f>
        <v>3376.7918951193024</v>
      </c>
      <c r="E195" s="465">
        <f t="shared" si="20"/>
        <v>-1075.9000829683137</v>
      </c>
      <c r="F195" s="449">
        <f t="shared" si="21"/>
        <v>-0.2416291286850705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3152.125508498712</v>
      </c>
      <c r="D196" s="465">
        <f>LN_IA7-LN_IF7</f>
        <v>1872.9307564949495</v>
      </c>
      <c r="E196" s="465">
        <f t="shared" si="20"/>
        <v>-1279.1947520037625</v>
      </c>
      <c r="F196" s="449">
        <f t="shared" si="21"/>
        <v>-0.4058197392695238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4489593.4809956215</v>
      </c>
      <c r="D197" s="479">
        <f>LN_IF9*LN_IF6</f>
        <v>2150031.6110906801</v>
      </c>
      <c r="E197" s="479">
        <f t="shared" si="20"/>
        <v>-2339561.8699049414</v>
      </c>
      <c r="F197" s="449">
        <f t="shared" si="21"/>
        <v>-0.52110773053468429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4556</v>
      </c>
      <c r="D198" s="456">
        <f>LN_ID11+LN_IE11</f>
        <v>4439</v>
      </c>
      <c r="E198" s="456">
        <f t="shared" si="20"/>
        <v>-117</v>
      </c>
      <c r="F198" s="449">
        <f t="shared" si="21"/>
        <v>-2.5680421422300263E-2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1268.4402985074628</v>
      </c>
      <c r="D199" s="519">
        <f>IF(LN_IF11=0,0,LN_IF2/LN_IF11)</f>
        <v>1327.3104302770894</v>
      </c>
      <c r="E199" s="519">
        <f t="shared" si="20"/>
        <v>58.870131769626596</v>
      </c>
      <c r="F199" s="449">
        <f t="shared" si="21"/>
        <v>4.6411432874607805E-2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3.6187450357426529</v>
      </c>
      <c r="D200" s="466">
        <f>IF(LN_IF4=0,0,LN_IF11/LN_IF4)</f>
        <v>4.0501824817518246</v>
      </c>
      <c r="E200" s="466">
        <f t="shared" si="20"/>
        <v>0.43143744600917167</v>
      </c>
      <c r="F200" s="449">
        <f t="shared" si="21"/>
        <v>0.11922294655960208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38094883</v>
      </c>
      <c r="D203" s="448">
        <f>LN_ID14+LN_IE14</f>
        <v>37158495</v>
      </c>
      <c r="E203" s="448">
        <f t="shared" ref="E203:E211" si="22">D203-C203</f>
        <v>-936388</v>
      </c>
      <c r="F203" s="449">
        <f t="shared" ref="F203:F211" si="23">IF(C203=0,0,E203/C203)</f>
        <v>-2.4580414120185117E-2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11763165</v>
      </c>
      <c r="D204" s="448">
        <f>LN_ID15+LN_IE15</f>
        <v>11071714</v>
      </c>
      <c r="E204" s="448">
        <f t="shared" si="22"/>
        <v>-691451</v>
      </c>
      <c r="F204" s="449">
        <f t="shared" si="23"/>
        <v>-5.8781033845907965E-2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0.3087859595211252</v>
      </c>
      <c r="D205" s="453">
        <f>IF(LN_IF14=0,0,LN_IF15/LN_IF14)</f>
        <v>0.29795916115547738</v>
      </c>
      <c r="E205" s="454">
        <f t="shared" si="22"/>
        <v>-1.0826798365647816E-2</v>
      </c>
      <c r="F205" s="449">
        <f t="shared" si="23"/>
        <v>-3.5062469752311115E-2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2.3770072341858803</v>
      </c>
      <c r="D206" s="453">
        <f>IF(LN_IF1=0,0,LN_IF14/LN_IF1)</f>
        <v>2.3855161079896776</v>
      </c>
      <c r="E206" s="454">
        <f t="shared" si="22"/>
        <v>8.5088738037972789E-3</v>
      </c>
      <c r="F206" s="449">
        <f t="shared" si="23"/>
        <v>3.5796583541789469E-3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2992.6521078400233</v>
      </c>
      <c r="D207" s="463">
        <f>LN_ID18+LN_IE18</f>
        <v>2614.5256543566866</v>
      </c>
      <c r="E207" s="463">
        <f t="shared" si="22"/>
        <v>-378.12645348333672</v>
      </c>
      <c r="F207" s="449">
        <f t="shared" si="23"/>
        <v>-0.12635162386324059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3930.6824101549787</v>
      </c>
      <c r="D208" s="465">
        <f>IF(LN_IF18=0,0,LN_IF15/LN_IF18)</f>
        <v>4234.6931962785557</v>
      </c>
      <c r="E208" s="465">
        <f t="shared" si="22"/>
        <v>304.01078612357696</v>
      </c>
      <c r="F208" s="449">
        <f t="shared" si="23"/>
        <v>7.7343004191374104E-2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4068.7512427611632</v>
      </c>
      <c r="D209" s="465">
        <f>LN_IB18-LN_IF19</f>
        <v>3726.5276715144673</v>
      </c>
      <c r="E209" s="465">
        <f t="shared" si="22"/>
        <v>-342.22357124669588</v>
      </c>
      <c r="F209" s="449">
        <f t="shared" si="23"/>
        <v>-8.4110222234784218E-2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2619.5884698977302</v>
      </c>
      <c r="D210" s="465">
        <f>LN_IA16-LN_IF19</f>
        <v>2284.1451789723633</v>
      </c>
      <c r="E210" s="465">
        <f t="shared" si="22"/>
        <v>-335.44329092536691</v>
      </c>
      <c r="F210" s="449">
        <f t="shared" si="23"/>
        <v>-0.12805190386964208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7839516.9561128635</v>
      </c>
      <c r="D211" s="441">
        <f>LN_IF21*LN_IF18</f>
        <v>5971956.1686983891</v>
      </c>
      <c r="E211" s="441">
        <f t="shared" si="22"/>
        <v>-1867560.7874144744</v>
      </c>
      <c r="F211" s="449">
        <f t="shared" si="23"/>
        <v>-0.23822396174017377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54121289</v>
      </c>
      <c r="D214" s="448">
        <f>LN_IF1+LN_IF14</f>
        <v>52735206</v>
      </c>
      <c r="E214" s="448">
        <f>D214-C214</f>
        <v>-1386083</v>
      </c>
      <c r="F214" s="449">
        <f>IF(C214=0,0,E214/C214)</f>
        <v>-2.5610679745635769E-2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17542179</v>
      </c>
      <c r="D215" s="448">
        <f>LN_IF2+LN_IF15</f>
        <v>16963645</v>
      </c>
      <c r="E215" s="448">
        <f>D215-C215</f>
        <v>-578534</v>
      </c>
      <c r="F215" s="449">
        <f>IF(C215=0,0,E215/C215)</f>
        <v>-3.2979597346486998E-2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36579110</v>
      </c>
      <c r="D216" s="448">
        <f>LN_IF23-LN_IF24</f>
        <v>35771561</v>
      </c>
      <c r="E216" s="448">
        <f>D216-C216</f>
        <v>-807549</v>
      </c>
      <c r="F216" s="449">
        <f>IF(C216=0,0,E216/C216)</f>
        <v>-2.2076780982369447E-2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327155</v>
      </c>
      <c r="D221" s="448">
        <v>393648</v>
      </c>
      <c r="E221" s="448">
        <f t="shared" ref="E221:E230" si="24">D221-C221</f>
        <v>66493</v>
      </c>
      <c r="F221" s="449">
        <f t="shared" ref="F221:F230" si="25">IF(C221=0,0,E221/C221)</f>
        <v>0.20324616771866547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103952</v>
      </c>
      <c r="D222" s="448">
        <v>143321</v>
      </c>
      <c r="E222" s="448">
        <f t="shared" si="24"/>
        <v>39369</v>
      </c>
      <c r="F222" s="449">
        <f t="shared" si="25"/>
        <v>0.37872287209481298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0.31774541119652766</v>
      </c>
      <c r="D223" s="453">
        <f>IF(LN_IG1=0,0,LN_IG2/LN_IG1)</f>
        <v>0.36408415640369063</v>
      </c>
      <c r="E223" s="454">
        <f t="shared" si="24"/>
        <v>4.6338745207162968E-2</v>
      </c>
      <c r="F223" s="449">
        <f t="shared" si="25"/>
        <v>0.14583608000086001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54</v>
      </c>
      <c r="D224" s="456">
        <v>30</v>
      </c>
      <c r="E224" s="456">
        <f t="shared" si="24"/>
        <v>-24</v>
      </c>
      <c r="F224" s="449">
        <f t="shared" si="25"/>
        <v>-0.44444444444444442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0.72760000000000002</v>
      </c>
      <c r="D225" s="459">
        <v>1.0713999999999999</v>
      </c>
      <c r="E225" s="460">
        <f t="shared" si="24"/>
        <v>0.34379999999999988</v>
      </c>
      <c r="F225" s="449">
        <f t="shared" si="25"/>
        <v>0.47251236943375463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39.290399999999998</v>
      </c>
      <c r="D226" s="463">
        <f>LN_IG3*LN_IG4</f>
        <v>32.141999999999996</v>
      </c>
      <c r="E226" s="463">
        <f t="shared" si="24"/>
        <v>-7.1484000000000023</v>
      </c>
      <c r="F226" s="449">
        <f t="shared" si="25"/>
        <v>-0.18193757253680296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2645.735345020667</v>
      </c>
      <c r="D227" s="465">
        <f>IF(LN_IG5=0,0,LN_IG2/LN_IG5)</f>
        <v>4458.9944620745446</v>
      </c>
      <c r="E227" s="465">
        <f t="shared" si="24"/>
        <v>1813.2591170538776</v>
      </c>
      <c r="F227" s="449">
        <f t="shared" si="25"/>
        <v>0.68535166242779033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205</v>
      </c>
      <c r="D228" s="456">
        <v>114</v>
      </c>
      <c r="E228" s="456">
        <f t="shared" si="24"/>
        <v>-91</v>
      </c>
      <c r="F228" s="449">
        <f t="shared" si="25"/>
        <v>-0.44390243902439025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507.08292682926827</v>
      </c>
      <c r="D229" s="465">
        <f>IF(LN_IG6=0,0,LN_IG2/LN_IG6)</f>
        <v>1257.2017543859649</v>
      </c>
      <c r="E229" s="465">
        <f t="shared" si="24"/>
        <v>750.11882755669671</v>
      </c>
      <c r="F229" s="449">
        <f t="shared" si="25"/>
        <v>1.479282357714357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3.7962962962962963</v>
      </c>
      <c r="D230" s="466">
        <f>IF(LN_IG3=0,0,LN_IG6/LN_IG3)</f>
        <v>3.8</v>
      </c>
      <c r="E230" s="466">
        <f t="shared" si="24"/>
        <v>3.7037037037035425E-3</v>
      </c>
      <c r="F230" s="449">
        <f t="shared" si="25"/>
        <v>9.7560975609751847E-4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1101740</v>
      </c>
      <c r="D233" s="448">
        <v>1171366</v>
      </c>
      <c r="E233" s="448">
        <f>D233-C233</f>
        <v>69626</v>
      </c>
      <c r="F233" s="449">
        <f>IF(C233=0,0,E233/C233)</f>
        <v>6.3196398424310629E-2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342063</v>
      </c>
      <c r="D234" s="448">
        <v>355465</v>
      </c>
      <c r="E234" s="448">
        <f>D234-C234</f>
        <v>13402</v>
      </c>
      <c r="F234" s="449">
        <f>IF(C234=0,0,E234/C234)</f>
        <v>3.9179917149764806E-2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1428895</v>
      </c>
      <c r="D237" s="448">
        <f>LN_IG1+LN_IG9</f>
        <v>1565014</v>
      </c>
      <c r="E237" s="448">
        <f>D237-C237</f>
        <v>136119</v>
      </c>
      <c r="F237" s="449">
        <f>IF(C237=0,0,E237/C237)</f>
        <v>9.5261723219690744E-2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446015</v>
      </c>
      <c r="D238" s="448">
        <f>LN_IG2+LN_IG10</f>
        <v>498786</v>
      </c>
      <c r="E238" s="448">
        <f>D238-C238</f>
        <v>52771</v>
      </c>
      <c r="F238" s="449">
        <f>IF(C238=0,0,E238/C238)</f>
        <v>0.11831664854321043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982880</v>
      </c>
      <c r="D239" s="448">
        <f>LN_IG13-LN_IG14</f>
        <v>1066228</v>
      </c>
      <c r="E239" s="448">
        <f>D239-C239</f>
        <v>83348</v>
      </c>
      <c r="F239" s="449">
        <f>IF(C239=0,0,E239/C239)</f>
        <v>8.4799772098323289E-2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3119124</v>
      </c>
      <c r="D243" s="448">
        <v>5599876</v>
      </c>
      <c r="E243" s="441">
        <f>D243-C243</f>
        <v>2480752</v>
      </c>
      <c r="F243" s="503">
        <f>IF(C243=0,0,E243/C243)</f>
        <v>0.79533612642523988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111527723</v>
      </c>
      <c r="D244" s="448">
        <v>108420147</v>
      </c>
      <c r="E244" s="441">
        <f>D244-C244</f>
        <v>-3107576</v>
      </c>
      <c r="F244" s="503">
        <f>IF(C244=0,0,E244/C244)</f>
        <v>-2.7863708828700824E-2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477319</v>
      </c>
      <c r="D248" s="441">
        <v>344715</v>
      </c>
      <c r="E248" s="441">
        <f>D248-C248</f>
        <v>-132604</v>
      </c>
      <c r="F248" s="449">
        <f>IF(C248=0,0,E248/C248)</f>
        <v>-0.27781001803825117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4093658</v>
      </c>
      <c r="D249" s="441">
        <v>3341545</v>
      </c>
      <c r="E249" s="441">
        <f>D249-C249</f>
        <v>-752113</v>
      </c>
      <c r="F249" s="449">
        <f>IF(C249=0,0,E249/C249)</f>
        <v>-0.18372638847700518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4570977</v>
      </c>
      <c r="D250" s="441">
        <f>LN_IH4+LN_IH5</f>
        <v>3686260</v>
      </c>
      <c r="E250" s="441">
        <f>D250-C250</f>
        <v>-884717</v>
      </c>
      <c r="F250" s="449">
        <f>IF(C250=0,0,E250/C250)</f>
        <v>-0.1935509629560595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1808232.8666786635</v>
      </c>
      <c r="D251" s="441">
        <f>LN_IH6*LN_III10</f>
        <v>1490062.1537994272</v>
      </c>
      <c r="E251" s="441">
        <f>D251-C251</f>
        <v>-318170.71287923632</v>
      </c>
      <c r="F251" s="449">
        <f>IF(C251=0,0,E251/C251)</f>
        <v>-0.17595671372993446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54121289</v>
      </c>
      <c r="D254" s="441">
        <f>LN_IF23</f>
        <v>52735206</v>
      </c>
      <c r="E254" s="441">
        <f>D254-C254</f>
        <v>-1386083</v>
      </c>
      <c r="F254" s="449">
        <f>IF(C254=0,0,E254/C254)</f>
        <v>-2.5610679745635769E-2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17542179</v>
      </c>
      <c r="D255" s="441">
        <f>LN_IF24</f>
        <v>16963645</v>
      </c>
      <c r="E255" s="441">
        <f>D255-C255</f>
        <v>-578534</v>
      </c>
      <c r="F255" s="449">
        <f>IF(C255=0,0,E255/C255)</f>
        <v>-3.2979597346486998E-2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21409841.606469344</v>
      </c>
      <c r="D256" s="441">
        <f>LN_IH8*LN_III10</f>
        <v>21316655.535262428</v>
      </c>
      <c r="E256" s="441">
        <f>D256-C256</f>
        <v>-93186.071206916124</v>
      </c>
      <c r="F256" s="449">
        <f>IF(C256=0,0,E256/C256)</f>
        <v>-4.3524876512285073E-3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3867662.6064693443</v>
      </c>
      <c r="D257" s="441">
        <f>LN_IH10-LN_IH9</f>
        <v>4353010.5352624282</v>
      </c>
      <c r="E257" s="441">
        <f>D257-C257</f>
        <v>485347.92879308388</v>
      </c>
      <c r="F257" s="449">
        <f>IF(C257=0,0,E257/C257)</f>
        <v>0.12548869386415823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71986696</v>
      </c>
      <c r="D261" s="448">
        <f>LN_IA1+LN_IB1+LN_IF1+LN_IG1</f>
        <v>68641370</v>
      </c>
      <c r="E261" s="448">
        <f t="shared" ref="E261:E274" si="26">D261-C261</f>
        <v>-3345326</v>
      </c>
      <c r="F261" s="503">
        <f t="shared" ref="F261:F274" si="27">IF(C261=0,0,E261/C261)</f>
        <v>-4.6471448002003035E-2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34028164</v>
      </c>
      <c r="D262" s="448">
        <f>+LN_IA2+LN_IB2+LN_IF2+LN_IG2</f>
        <v>32146830</v>
      </c>
      <c r="E262" s="448">
        <f t="shared" si="26"/>
        <v>-1881334</v>
      </c>
      <c r="F262" s="503">
        <f t="shared" si="27"/>
        <v>-5.5287555332106664E-2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0.47270073347997527</v>
      </c>
      <c r="D263" s="453">
        <f>IF(LN_IIA1=0,0,LN_IIA2/LN_IIA1)</f>
        <v>0.46833025040147069</v>
      </c>
      <c r="E263" s="454">
        <f t="shared" si="26"/>
        <v>-4.3704830785045723E-3</v>
      </c>
      <c r="F263" s="458">
        <f t="shared" si="27"/>
        <v>-9.2457717303070699E-3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4451</v>
      </c>
      <c r="D264" s="456">
        <f>LN_IA4+LN_IB4+LN_IF4+LN_IG3</f>
        <v>4118</v>
      </c>
      <c r="E264" s="456">
        <f t="shared" si="26"/>
        <v>-333</v>
      </c>
      <c r="F264" s="503">
        <f t="shared" si="27"/>
        <v>-7.4814648393619412E-2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1.1618387104021566</v>
      </c>
      <c r="D265" s="525">
        <f>IF(LN_IIA4=0,0,LN_IIA6/LN_IIA4)</f>
        <v>1.132306896551724</v>
      </c>
      <c r="E265" s="525">
        <f t="shared" si="26"/>
        <v>-2.9531813850432576E-2</v>
      </c>
      <c r="F265" s="503">
        <f t="shared" si="27"/>
        <v>-2.54181699972886E-2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5171.3440999999993</v>
      </c>
      <c r="D266" s="463">
        <f>LN_IA6+LN_IB6+LN_IF6+LN_IG5</f>
        <v>4662.8397999999997</v>
      </c>
      <c r="E266" s="463">
        <f t="shared" si="26"/>
        <v>-508.5042999999996</v>
      </c>
      <c r="F266" s="503">
        <f t="shared" si="27"/>
        <v>-9.8331166939751635E-2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171581152</v>
      </c>
      <c r="D267" s="448">
        <f>LN_IA11+LN_IB13+LN_IF14+LN_IG9</f>
        <v>179953301</v>
      </c>
      <c r="E267" s="448">
        <f t="shared" si="26"/>
        <v>8372149</v>
      </c>
      <c r="F267" s="503">
        <f t="shared" si="27"/>
        <v>4.8794106476217153E-2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2.383511975601714</v>
      </c>
      <c r="D268" s="453">
        <f>IF(LN_IIA1=0,0,LN_IIA7/LN_IIA1)</f>
        <v>2.6216449496855905</v>
      </c>
      <c r="E268" s="454">
        <f t="shared" si="26"/>
        <v>0.23813297408387646</v>
      </c>
      <c r="F268" s="458">
        <f t="shared" si="27"/>
        <v>9.9908444564773019E-2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70287843</v>
      </c>
      <c r="D269" s="448">
        <f>LN_IA12+LN_IB14+LN_IF15+LN_IG10</f>
        <v>72809848</v>
      </c>
      <c r="E269" s="448">
        <f t="shared" si="26"/>
        <v>2522005</v>
      </c>
      <c r="F269" s="503">
        <f t="shared" si="27"/>
        <v>3.5881098243404623E-2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0.40964780910201604</v>
      </c>
      <c r="D270" s="453">
        <f>IF(LN_IIA7=0,0,LN_IIA9/LN_IIA7)</f>
        <v>0.40460412560034115</v>
      </c>
      <c r="E270" s="454">
        <f t="shared" si="26"/>
        <v>-5.0436835016748893E-3</v>
      </c>
      <c r="F270" s="458">
        <f t="shared" si="27"/>
        <v>-1.2312243321235103E-2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243567848</v>
      </c>
      <c r="D271" s="441">
        <f>LN_IIA1+LN_IIA7</f>
        <v>248594671</v>
      </c>
      <c r="E271" s="441">
        <f t="shared" si="26"/>
        <v>5026823</v>
      </c>
      <c r="F271" s="503">
        <f t="shared" si="27"/>
        <v>2.0638286380064416E-2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104316007</v>
      </c>
      <c r="D272" s="441">
        <f>LN_IIA2+LN_IIA9</f>
        <v>104956678</v>
      </c>
      <c r="E272" s="441">
        <f t="shared" si="26"/>
        <v>640671</v>
      </c>
      <c r="F272" s="503">
        <f t="shared" si="27"/>
        <v>6.1416365371423772E-3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0.42828315747158879</v>
      </c>
      <c r="D273" s="453">
        <f>IF(LN_IIA11=0,0,LN_IIA12/LN_IIA11)</f>
        <v>0.42220003179392368</v>
      </c>
      <c r="E273" s="454">
        <f t="shared" si="26"/>
        <v>-6.0831256776651133E-3</v>
      </c>
      <c r="F273" s="458">
        <f t="shared" si="27"/>
        <v>-1.4203513660395697E-2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16760</v>
      </c>
      <c r="D274" s="508">
        <f>LN_IA8+LN_IB10+LN_IF11+LN_IG6</f>
        <v>16237</v>
      </c>
      <c r="E274" s="528">
        <f t="shared" si="26"/>
        <v>-523</v>
      </c>
      <c r="F274" s="458">
        <f t="shared" si="27"/>
        <v>-3.1205250596658712E-2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56495238</v>
      </c>
      <c r="D277" s="448">
        <f>LN_IA1+LN_IF1+LN_IG1</f>
        <v>52411273</v>
      </c>
      <c r="E277" s="448">
        <f t="shared" ref="E277:E291" si="28">D277-C277</f>
        <v>-4083965</v>
      </c>
      <c r="F277" s="503">
        <f t="shared" ref="F277:F291" si="29">IF(C277=0,0,E277/C277)</f>
        <v>-7.2288659090169682E-2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24775691</v>
      </c>
      <c r="D278" s="448">
        <f>LN_IA2+LN_IF2+LN_IG2</f>
        <v>22452945</v>
      </c>
      <c r="E278" s="448">
        <f t="shared" si="28"/>
        <v>-2322746</v>
      </c>
      <c r="F278" s="503">
        <f t="shared" si="29"/>
        <v>-9.3751007792275104E-2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0.43854476725985292</v>
      </c>
      <c r="D279" s="453">
        <f>IF(D277=0,0,LN_IIB2/D277)</f>
        <v>0.42839915374694293</v>
      </c>
      <c r="E279" s="454">
        <f t="shared" si="28"/>
        <v>-1.014561351290999E-2</v>
      </c>
      <c r="F279" s="458">
        <f t="shared" si="29"/>
        <v>-2.3134727102782561E-2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3418</v>
      </c>
      <c r="D280" s="456">
        <f>LN_IA4+LN_IF4+LN_IG3</f>
        <v>3029</v>
      </c>
      <c r="E280" s="456">
        <f t="shared" si="28"/>
        <v>-389</v>
      </c>
      <c r="F280" s="503">
        <f t="shared" si="29"/>
        <v>-0.11380924517261556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1.1948834406085429</v>
      </c>
      <c r="D281" s="525">
        <f>IF(LN_IIB4=0,0,LN_IIB6/LN_IIB4)</f>
        <v>1.1633003961703532</v>
      </c>
      <c r="E281" s="525">
        <f t="shared" si="28"/>
        <v>-3.1583044438189711E-2</v>
      </c>
      <c r="F281" s="503">
        <f t="shared" si="29"/>
        <v>-2.6431904037522491E-2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4084.1115999999993</v>
      </c>
      <c r="D282" s="463">
        <f>LN_IA6+LN_IF6+LN_IG5</f>
        <v>3523.6369</v>
      </c>
      <c r="E282" s="463">
        <f t="shared" si="28"/>
        <v>-560.4746999999993</v>
      </c>
      <c r="F282" s="503">
        <f t="shared" si="29"/>
        <v>-0.13723295416315251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104662134</v>
      </c>
      <c r="D283" s="448">
        <f>LN_IA11+LN_IF14+LN_IG9</f>
        <v>111977212</v>
      </c>
      <c r="E283" s="448">
        <f t="shared" si="28"/>
        <v>7315078</v>
      </c>
      <c r="F283" s="503">
        <f t="shared" si="29"/>
        <v>6.9892306992326375E-2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1.8525832920643683</v>
      </c>
      <c r="D284" s="453">
        <f>IF(D277=0,0,LN_IIB7/D277)</f>
        <v>2.1365100595820294</v>
      </c>
      <c r="E284" s="454">
        <f t="shared" si="28"/>
        <v>0.2839267675176611</v>
      </c>
      <c r="F284" s="458">
        <f t="shared" si="29"/>
        <v>0.15325992020648971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34592067</v>
      </c>
      <c r="D285" s="448">
        <f>LN_IA12+LN_IF15+LN_IG10</f>
        <v>36498480</v>
      </c>
      <c r="E285" s="448">
        <f t="shared" si="28"/>
        <v>1906413</v>
      </c>
      <c r="F285" s="503">
        <f t="shared" si="29"/>
        <v>5.511127739201014E-2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0.33051176846824087</v>
      </c>
      <c r="D286" s="453">
        <f>IF(LN_IIB7=0,0,LN_IIB9/LN_IIB7)</f>
        <v>0.32594560400378608</v>
      </c>
      <c r="E286" s="454">
        <f t="shared" si="28"/>
        <v>-4.5661644644547916E-3</v>
      </c>
      <c r="F286" s="458">
        <f t="shared" si="29"/>
        <v>-1.3815436846974354E-2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161157372</v>
      </c>
      <c r="D287" s="441">
        <f>D277+LN_IIB7</f>
        <v>164388485</v>
      </c>
      <c r="E287" s="441">
        <f t="shared" si="28"/>
        <v>3231113</v>
      </c>
      <c r="F287" s="503">
        <f t="shared" si="29"/>
        <v>2.0049427214536609E-2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59367758</v>
      </c>
      <c r="D288" s="441">
        <f>LN_IIB2+LN_IIB9</f>
        <v>58951425</v>
      </c>
      <c r="E288" s="441">
        <f t="shared" si="28"/>
        <v>-416333</v>
      </c>
      <c r="F288" s="503">
        <f t="shared" si="29"/>
        <v>-7.0127795629405442E-3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0.36838375597239198</v>
      </c>
      <c r="D289" s="453">
        <f>IF(LN_IIB11=0,0,LN_IIB12/LN_IIB11)</f>
        <v>0.35861042821825384</v>
      </c>
      <c r="E289" s="454">
        <f t="shared" si="28"/>
        <v>-9.7733277541381391E-3</v>
      </c>
      <c r="F289" s="458">
        <f t="shared" si="29"/>
        <v>-2.6530289665841259E-2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13701</v>
      </c>
      <c r="D290" s="508">
        <f>LN_IA8+LN_IF11+LN_IG6</f>
        <v>12671</v>
      </c>
      <c r="E290" s="528">
        <f t="shared" si="28"/>
        <v>-1030</v>
      </c>
      <c r="F290" s="458">
        <f t="shared" si="29"/>
        <v>-7.5176994379972259E-2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101789614</v>
      </c>
      <c r="D291" s="516">
        <f>LN_IIB11-LN_IIB12</f>
        <v>105437060</v>
      </c>
      <c r="E291" s="441">
        <f t="shared" si="28"/>
        <v>3647446</v>
      </c>
      <c r="F291" s="503">
        <f t="shared" si="29"/>
        <v>3.583318431682038E-2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4.2470308788598574</v>
      </c>
      <c r="D294" s="466">
        <f>IF(LN_IA4=0,0,LN_IA8/LN_IA4)</f>
        <v>4.2658959537572256</v>
      </c>
      <c r="E294" s="466">
        <f t="shared" ref="E294:E300" si="30">D294-C294</f>
        <v>1.8865074897368217E-2</v>
      </c>
      <c r="F294" s="503">
        <f t="shared" ref="F294:F300" si="31">IF(C294=0,0,E294/C294)</f>
        <v>4.4419443690111964E-3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2.9612778315585673</v>
      </c>
      <c r="D295" s="466">
        <f>IF(LN_IB4=0,0,(LN_IB10)/(LN_IB4))</f>
        <v>3.2745638200183653</v>
      </c>
      <c r="E295" s="466">
        <f t="shared" si="30"/>
        <v>0.31328598845979805</v>
      </c>
      <c r="F295" s="503">
        <f t="shared" si="31"/>
        <v>0.10579418963026198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3.7826086956521738</v>
      </c>
      <c r="D296" s="466">
        <f>IF(LN_IC4=0,0,LN_IC11/LN_IC4)</f>
        <v>3.2727272727272729</v>
      </c>
      <c r="E296" s="466">
        <f t="shared" si="30"/>
        <v>-0.50988142292490091</v>
      </c>
      <c r="F296" s="503">
        <f t="shared" si="31"/>
        <v>-0.13479623824451403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3.6187450357426529</v>
      </c>
      <c r="D297" s="466">
        <f>IF(LN_ID4=0,0,LN_ID11/LN_ID4)</f>
        <v>4.0501824817518246</v>
      </c>
      <c r="E297" s="466">
        <f t="shared" si="30"/>
        <v>0.43143744600917167</v>
      </c>
      <c r="F297" s="503">
        <f t="shared" si="31"/>
        <v>0.11922294655960208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3.7962962962962963</v>
      </c>
      <c r="D299" s="466">
        <f>IF(LN_IG3=0,0,LN_IG6/LN_IG3)</f>
        <v>3.8</v>
      </c>
      <c r="E299" s="466">
        <f t="shared" si="30"/>
        <v>3.7037037037035425E-3</v>
      </c>
      <c r="F299" s="503">
        <f t="shared" si="31"/>
        <v>9.7560975609751847E-4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3.7654459671983824</v>
      </c>
      <c r="D300" s="466">
        <f>IF(LN_IIA4=0,0,LN_IIA14/LN_IIA4)</f>
        <v>3.942933462846042</v>
      </c>
      <c r="E300" s="466">
        <f t="shared" si="30"/>
        <v>0.17748749564765953</v>
      </c>
      <c r="F300" s="503">
        <f t="shared" si="31"/>
        <v>4.7135849828623663E-2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243567848</v>
      </c>
      <c r="D304" s="441">
        <f>LN_IIA11</f>
        <v>248594671</v>
      </c>
      <c r="E304" s="441">
        <f t="shared" ref="E304:E316" si="32">D304-C304</f>
        <v>5026823</v>
      </c>
      <c r="F304" s="449">
        <f>IF(C304=0,0,E304/C304)</f>
        <v>2.0638286380064416E-2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101789614</v>
      </c>
      <c r="D305" s="441">
        <f>LN_IIB14</f>
        <v>105437060</v>
      </c>
      <c r="E305" s="441">
        <f t="shared" si="32"/>
        <v>3647446</v>
      </c>
      <c r="F305" s="449">
        <f>IF(C305=0,0,E305/C305)</f>
        <v>3.583318431682038E-2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4570977</v>
      </c>
      <c r="D306" s="441">
        <f>LN_IH6</f>
        <v>3686260</v>
      </c>
      <c r="E306" s="441">
        <f t="shared" si="32"/>
        <v>-884717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39787832</v>
      </c>
      <c r="D307" s="441">
        <f>LN_IB32-LN_IB33</f>
        <v>38200932</v>
      </c>
      <c r="E307" s="441">
        <f t="shared" si="32"/>
        <v>-1586900</v>
      </c>
      <c r="F307" s="449">
        <f t="shared" ref="F307:F316" si="33">IF(C307=0,0,E307/C307)</f>
        <v>-3.9884052993890196E-2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1066416</v>
      </c>
      <c r="D308" s="441">
        <v>783337</v>
      </c>
      <c r="E308" s="441">
        <f t="shared" si="32"/>
        <v>-283079</v>
      </c>
      <c r="F308" s="449">
        <f t="shared" si="33"/>
        <v>-0.26544894300160538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147214839</v>
      </c>
      <c r="D309" s="441">
        <f>LN_III2+LN_III3+LN_III4+LN_III5</f>
        <v>148107589</v>
      </c>
      <c r="E309" s="441">
        <f t="shared" si="32"/>
        <v>892750</v>
      </c>
      <c r="F309" s="449">
        <f t="shared" si="33"/>
        <v>6.0642663882545158E-3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96353009</v>
      </c>
      <c r="D310" s="441">
        <f>LN_III1-LN_III6</f>
        <v>100487082</v>
      </c>
      <c r="E310" s="441">
        <f t="shared" si="32"/>
        <v>4134073</v>
      </c>
      <c r="F310" s="449">
        <f t="shared" si="33"/>
        <v>4.2905489334536508E-2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96353009</v>
      </c>
      <c r="D312" s="441">
        <f>LN_III7+LN_III8</f>
        <v>100487082</v>
      </c>
      <c r="E312" s="441">
        <f t="shared" si="32"/>
        <v>4134073</v>
      </c>
      <c r="F312" s="449">
        <f t="shared" si="33"/>
        <v>4.2905489334536508E-2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0.39559001646227132</v>
      </c>
      <c r="D313" s="532">
        <f>IF(LN_III1=0,0,LN_III9/LN_III1)</f>
        <v>0.40422057961170055</v>
      </c>
      <c r="E313" s="532">
        <f t="shared" si="32"/>
        <v>8.6305631494292268E-3</v>
      </c>
      <c r="F313" s="449">
        <f t="shared" si="33"/>
        <v>2.1816938725126678E-2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1808232.8666786635</v>
      </c>
      <c r="D314" s="441">
        <f>D313*LN_III5</f>
        <v>1490062.1537994272</v>
      </c>
      <c r="E314" s="441">
        <f t="shared" si="32"/>
        <v>-318170.71287923632</v>
      </c>
      <c r="F314" s="449">
        <f t="shared" si="33"/>
        <v>-0.17595671372993446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3867662.6064693443</v>
      </c>
      <c r="D315" s="441">
        <f>D313*LN_IH8-LN_IH9</f>
        <v>4353010.5352624282</v>
      </c>
      <c r="E315" s="441">
        <f t="shared" si="32"/>
        <v>485347.92879308388</v>
      </c>
      <c r="F315" s="449">
        <f t="shared" si="33"/>
        <v>0.12548869386415823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5675895.4731480079</v>
      </c>
      <c r="D318" s="441">
        <f>D314+D315+D316</f>
        <v>5843072.6890618559</v>
      </c>
      <c r="E318" s="441">
        <f>D318-C318</f>
        <v>167177.21591384802</v>
      </c>
      <c r="F318" s="449">
        <f>IF(C318=0,0,E318/C318)</f>
        <v>2.945389264209387E-2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7839516.9561128635</v>
      </c>
      <c r="D322" s="441">
        <f>LN_ID22</f>
        <v>5971956.1686983891</v>
      </c>
      <c r="E322" s="441">
        <f>LN_IV2-C322</f>
        <v>-1867560.7874144744</v>
      </c>
      <c r="F322" s="449">
        <f>IF(C322=0,0,E322/C322)</f>
        <v>-0.23822396174017377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1135179.0543030193</v>
      </c>
      <c r="D324" s="441">
        <f>LN_IC10+LN_IC22</f>
        <v>1153574.1501457384</v>
      </c>
      <c r="E324" s="441">
        <f>LN_IV1-C324</f>
        <v>18395.095842719078</v>
      </c>
      <c r="F324" s="449">
        <f>IF(C324=0,0,E324/C324)</f>
        <v>1.6204576514154724E-2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8974696.0104158819</v>
      </c>
      <c r="D325" s="516">
        <f>LN_IV1+LN_IV2+LN_IV3</f>
        <v>7125530.3188441275</v>
      </c>
      <c r="E325" s="441">
        <f>LN_IV4-C325</f>
        <v>-1849165.6915717544</v>
      </c>
      <c r="F325" s="449">
        <f>IF(C325=0,0,E325/C325)</f>
        <v>-0.20604215334153309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2788324</v>
      </c>
      <c r="D329" s="518">
        <v>1868314</v>
      </c>
      <c r="E329" s="518">
        <f t="shared" ref="E329:E335" si="34">D329-C329</f>
        <v>-920010</v>
      </c>
      <c r="F329" s="542">
        <f t="shared" ref="F329:F335" si="35">IF(C329=0,0,E329/C329)</f>
        <v>-0.3299508952331221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1955218</v>
      </c>
      <c r="D330" s="516">
        <v>2679420</v>
      </c>
      <c r="E330" s="518">
        <f t="shared" si="34"/>
        <v>724202</v>
      </c>
      <c r="F330" s="543">
        <f t="shared" si="35"/>
        <v>0.37039450332392604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106271224</v>
      </c>
      <c r="D331" s="516">
        <v>107636099</v>
      </c>
      <c r="E331" s="518">
        <f t="shared" si="34"/>
        <v>1364875</v>
      </c>
      <c r="F331" s="542">
        <f t="shared" si="35"/>
        <v>1.2843316832409872E-2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243567848</v>
      </c>
      <c r="D333" s="516">
        <v>248594671</v>
      </c>
      <c r="E333" s="518">
        <f t="shared" si="34"/>
        <v>5026823</v>
      </c>
      <c r="F333" s="542">
        <f t="shared" si="35"/>
        <v>2.0638286380064416E-2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78428</v>
      </c>
      <c r="D334" s="516">
        <v>118818</v>
      </c>
      <c r="E334" s="516">
        <f t="shared" si="34"/>
        <v>40390</v>
      </c>
      <c r="F334" s="543">
        <f t="shared" si="35"/>
        <v>0.51499464476972512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4649405</v>
      </c>
      <c r="D335" s="516">
        <v>3805078</v>
      </c>
      <c r="E335" s="516">
        <f t="shared" si="34"/>
        <v>-844327</v>
      </c>
      <c r="F335" s="542">
        <f t="shared" si="35"/>
        <v>-0.18159893577780384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15491458</v>
      </c>
      <c r="D14" s="589">
        <v>16230097</v>
      </c>
      <c r="E14" s="590">
        <f t="shared" ref="E14:E22" si="0">D14-C14</f>
        <v>738639</v>
      </c>
    </row>
    <row r="15" spans="1:5" s="421" customFormat="1" x14ac:dyDescent="0.2">
      <c r="A15" s="588">
        <v>2</v>
      </c>
      <c r="B15" s="587" t="s">
        <v>634</v>
      </c>
      <c r="C15" s="589">
        <v>40141677</v>
      </c>
      <c r="D15" s="591">
        <v>36440914</v>
      </c>
      <c r="E15" s="590">
        <f t="shared" si="0"/>
        <v>-3700763</v>
      </c>
    </row>
    <row r="16" spans="1:5" s="421" customFormat="1" x14ac:dyDescent="0.2">
      <c r="A16" s="588">
        <v>3</v>
      </c>
      <c r="B16" s="587" t="s">
        <v>776</v>
      </c>
      <c r="C16" s="589">
        <v>16026406</v>
      </c>
      <c r="D16" s="591">
        <v>15576711</v>
      </c>
      <c r="E16" s="590">
        <f t="shared" si="0"/>
        <v>-449695</v>
      </c>
    </row>
    <row r="17" spans="1:5" s="421" customFormat="1" x14ac:dyDescent="0.2">
      <c r="A17" s="588">
        <v>4</v>
      </c>
      <c r="B17" s="587" t="s">
        <v>115</v>
      </c>
      <c r="C17" s="589">
        <v>16026406</v>
      </c>
      <c r="D17" s="591">
        <v>15576711</v>
      </c>
      <c r="E17" s="590">
        <f t="shared" si="0"/>
        <v>-449695</v>
      </c>
    </row>
    <row r="18" spans="1:5" s="421" customFormat="1" x14ac:dyDescent="0.2">
      <c r="A18" s="588">
        <v>5</v>
      </c>
      <c r="B18" s="587" t="s">
        <v>742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327155</v>
      </c>
      <c r="D19" s="591">
        <v>393648</v>
      </c>
      <c r="E19" s="590">
        <f t="shared" si="0"/>
        <v>66493</v>
      </c>
    </row>
    <row r="20" spans="1:5" s="421" customFormat="1" x14ac:dyDescent="0.2">
      <c r="A20" s="588">
        <v>7</v>
      </c>
      <c r="B20" s="587" t="s">
        <v>757</v>
      </c>
      <c r="C20" s="589">
        <v>359681</v>
      </c>
      <c r="D20" s="591">
        <v>263850</v>
      </c>
      <c r="E20" s="590">
        <f t="shared" si="0"/>
        <v>-95831</v>
      </c>
    </row>
    <row r="21" spans="1:5" s="421" customFormat="1" x14ac:dyDescent="0.2">
      <c r="A21" s="588"/>
      <c r="B21" s="592" t="s">
        <v>777</v>
      </c>
      <c r="C21" s="593">
        <f>SUM(C15+C16+C19)</f>
        <v>56495238</v>
      </c>
      <c r="D21" s="593">
        <f>SUM(D15+D16+D19)</f>
        <v>52411273</v>
      </c>
      <c r="E21" s="593">
        <f t="shared" si="0"/>
        <v>-4083965</v>
      </c>
    </row>
    <row r="22" spans="1:5" s="421" customFormat="1" x14ac:dyDescent="0.2">
      <c r="A22" s="588"/>
      <c r="B22" s="592" t="s">
        <v>465</v>
      </c>
      <c r="C22" s="593">
        <f>SUM(C14+C21)</f>
        <v>71986696</v>
      </c>
      <c r="D22" s="593">
        <f>SUM(D14+D21)</f>
        <v>68641370</v>
      </c>
      <c r="E22" s="593">
        <f t="shared" si="0"/>
        <v>-3345326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66919018</v>
      </c>
      <c r="D25" s="589">
        <v>67976089</v>
      </c>
      <c r="E25" s="590">
        <f t="shared" ref="E25:E33" si="1">D25-C25</f>
        <v>1057071</v>
      </c>
    </row>
    <row r="26" spans="1:5" s="421" customFormat="1" x14ac:dyDescent="0.2">
      <c r="A26" s="588">
        <v>2</v>
      </c>
      <c r="B26" s="587" t="s">
        <v>634</v>
      </c>
      <c r="C26" s="589">
        <v>65465511</v>
      </c>
      <c r="D26" s="591">
        <v>73647351</v>
      </c>
      <c r="E26" s="590">
        <f t="shared" si="1"/>
        <v>8181840</v>
      </c>
    </row>
    <row r="27" spans="1:5" s="421" customFormat="1" x14ac:dyDescent="0.2">
      <c r="A27" s="588">
        <v>3</v>
      </c>
      <c r="B27" s="587" t="s">
        <v>776</v>
      </c>
      <c r="C27" s="589">
        <v>38094883</v>
      </c>
      <c r="D27" s="591">
        <v>37158495</v>
      </c>
      <c r="E27" s="590">
        <f t="shared" si="1"/>
        <v>-936388</v>
      </c>
    </row>
    <row r="28" spans="1:5" s="421" customFormat="1" x14ac:dyDescent="0.2">
      <c r="A28" s="588">
        <v>4</v>
      </c>
      <c r="B28" s="587" t="s">
        <v>115</v>
      </c>
      <c r="C28" s="589">
        <v>38094883</v>
      </c>
      <c r="D28" s="591">
        <v>37158495</v>
      </c>
      <c r="E28" s="590">
        <f t="shared" si="1"/>
        <v>-936388</v>
      </c>
    </row>
    <row r="29" spans="1:5" s="421" customFormat="1" x14ac:dyDescent="0.2">
      <c r="A29" s="588">
        <v>5</v>
      </c>
      <c r="B29" s="587" t="s">
        <v>742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1101740</v>
      </c>
      <c r="D30" s="591">
        <v>1171366</v>
      </c>
      <c r="E30" s="590">
        <f t="shared" si="1"/>
        <v>69626</v>
      </c>
    </row>
    <row r="31" spans="1:5" s="421" customFormat="1" x14ac:dyDescent="0.2">
      <c r="A31" s="588">
        <v>7</v>
      </c>
      <c r="B31" s="587" t="s">
        <v>757</v>
      </c>
      <c r="C31" s="590">
        <v>2348169</v>
      </c>
      <c r="D31" s="594">
        <v>1962996</v>
      </c>
      <c r="E31" s="590">
        <f t="shared" si="1"/>
        <v>-385173</v>
      </c>
    </row>
    <row r="32" spans="1:5" s="421" customFormat="1" x14ac:dyDescent="0.2">
      <c r="A32" s="588"/>
      <c r="B32" s="592" t="s">
        <v>779</v>
      </c>
      <c r="C32" s="593">
        <f>SUM(C26+C27+C30)</f>
        <v>104662134</v>
      </c>
      <c r="D32" s="593">
        <f>SUM(D26+D27+D30)</f>
        <v>111977212</v>
      </c>
      <c r="E32" s="593">
        <f t="shared" si="1"/>
        <v>7315078</v>
      </c>
    </row>
    <row r="33" spans="1:5" s="421" customFormat="1" x14ac:dyDescent="0.2">
      <c r="A33" s="588"/>
      <c r="B33" s="592" t="s">
        <v>467</v>
      </c>
      <c r="C33" s="593">
        <f>SUM(C25+C32)</f>
        <v>171581152</v>
      </c>
      <c r="D33" s="593">
        <f>SUM(D25+D32)</f>
        <v>179953301</v>
      </c>
      <c r="E33" s="593">
        <f t="shared" si="1"/>
        <v>8372149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82410476</v>
      </c>
      <c r="D36" s="590">
        <f t="shared" si="2"/>
        <v>84206186</v>
      </c>
      <c r="E36" s="590">
        <f t="shared" ref="E36:E44" si="3">D36-C36</f>
        <v>1795710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105607188</v>
      </c>
      <c r="D37" s="590">
        <f t="shared" si="2"/>
        <v>110088265</v>
      </c>
      <c r="E37" s="590">
        <f t="shared" si="3"/>
        <v>4481077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54121289</v>
      </c>
      <c r="D38" s="590">
        <f t="shared" si="2"/>
        <v>52735206</v>
      </c>
      <c r="E38" s="590">
        <f t="shared" si="3"/>
        <v>-1386083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54121289</v>
      </c>
      <c r="D39" s="590">
        <f t="shared" si="2"/>
        <v>52735206</v>
      </c>
      <c r="E39" s="590">
        <f t="shared" si="3"/>
        <v>-1386083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1428895</v>
      </c>
      <c r="D41" s="590">
        <f t="shared" si="2"/>
        <v>1565014</v>
      </c>
      <c r="E41" s="590">
        <f t="shared" si="3"/>
        <v>136119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2707850</v>
      </c>
      <c r="D42" s="590">
        <f t="shared" si="2"/>
        <v>2226846</v>
      </c>
      <c r="E42" s="590">
        <f t="shared" si="3"/>
        <v>-481004</v>
      </c>
    </row>
    <row r="43" spans="1:5" s="421" customFormat="1" x14ac:dyDescent="0.2">
      <c r="A43" s="588"/>
      <c r="B43" s="592" t="s">
        <v>787</v>
      </c>
      <c r="C43" s="593">
        <f>SUM(C37+C38+C41)</f>
        <v>161157372</v>
      </c>
      <c r="D43" s="593">
        <f>SUM(D37+D38+D41)</f>
        <v>164388485</v>
      </c>
      <c r="E43" s="593">
        <f t="shared" si="3"/>
        <v>3231113</v>
      </c>
    </row>
    <row r="44" spans="1:5" s="421" customFormat="1" x14ac:dyDescent="0.2">
      <c r="A44" s="588"/>
      <c r="B44" s="592" t="s">
        <v>724</v>
      </c>
      <c r="C44" s="593">
        <f>SUM(C36+C43)</f>
        <v>243567848</v>
      </c>
      <c r="D44" s="593">
        <f>SUM(D36+D43)</f>
        <v>248594671</v>
      </c>
      <c r="E44" s="593">
        <f t="shared" si="3"/>
        <v>5026823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9252473</v>
      </c>
      <c r="D47" s="589">
        <v>9693885</v>
      </c>
      <c r="E47" s="590">
        <f t="shared" ref="E47:E55" si="4">D47-C47</f>
        <v>441412</v>
      </c>
    </row>
    <row r="48" spans="1:5" s="421" customFormat="1" x14ac:dyDescent="0.2">
      <c r="A48" s="588">
        <v>2</v>
      </c>
      <c r="B48" s="587" t="s">
        <v>634</v>
      </c>
      <c r="C48" s="589">
        <v>18892725</v>
      </c>
      <c r="D48" s="591">
        <v>16417693</v>
      </c>
      <c r="E48" s="590">
        <f t="shared" si="4"/>
        <v>-2475032</v>
      </c>
    </row>
    <row r="49" spans="1:5" s="421" customFormat="1" x14ac:dyDescent="0.2">
      <c r="A49" s="588">
        <v>3</v>
      </c>
      <c r="B49" s="587" t="s">
        <v>776</v>
      </c>
      <c r="C49" s="589">
        <v>5779014</v>
      </c>
      <c r="D49" s="591">
        <v>5891931</v>
      </c>
      <c r="E49" s="590">
        <f t="shared" si="4"/>
        <v>112917</v>
      </c>
    </row>
    <row r="50" spans="1:5" s="421" customFormat="1" x14ac:dyDescent="0.2">
      <c r="A50" s="588">
        <v>4</v>
      </c>
      <c r="B50" s="587" t="s">
        <v>115</v>
      </c>
      <c r="C50" s="589">
        <v>5779014</v>
      </c>
      <c r="D50" s="591">
        <v>5891931</v>
      </c>
      <c r="E50" s="590">
        <f t="shared" si="4"/>
        <v>112917</v>
      </c>
    </row>
    <row r="51" spans="1:5" s="421" customFormat="1" x14ac:dyDescent="0.2">
      <c r="A51" s="588">
        <v>5</v>
      </c>
      <c r="B51" s="587" t="s">
        <v>742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103952</v>
      </c>
      <c r="D52" s="591">
        <v>143321</v>
      </c>
      <c r="E52" s="590">
        <f t="shared" si="4"/>
        <v>39369</v>
      </c>
    </row>
    <row r="53" spans="1:5" s="421" customFormat="1" x14ac:dyDescent="0.2">
      <c r="A53" s="588">
        <v>7</v>
      </c>
      <c r="B53" s="587" t="s">
        <v>757</v>
      </c>
      <c r="C53" s="589">
        <v>3422</v>
      </c>
      <c r="D53" s="591">
        <v>3875</v>
      </c>
      <c r="E53" s="590">
        <f t="shared" si="4"/>
        <v>453</v>
      </c>
    </row>
    <row r="54" spans="1:5" s="421" customFormat="1" x14ac:dyDescent="0.2">
      <c r="A54" s="588"/>
      <c r="B54" s="592" t="s">
        <v>789</v>
      </c>
      <c r="C54" s="593">
        <f>SUM(C48+C49+C52)</f>
        <v>24775691</v>
      </c>
      <c r="D54" s="593">
        <f>SUM(D48+D49+D52)</f>
        <v>22452945</v>
      </c>
      <c r="E54" s="593">
        <f t="shared" si="4"/>
        <v>-2322746</v>
      </c>
    </row>
    <row r="55" spans="1:5" s="421" customFormat="1" x14ac:dyDescent="0.2">
      <c r="A55" s="588"/>
      <c r="B55" s="592" t="s">
        <v>466</v>
      </c>
      <c r="C55" s="593">
        <f>SUM(C47+C54)</f>
        <v>34028164</v>
      </c>
      <c r="D55" s="593">
        <f>SUM(D47+D54)</f>
        <v>32146830</v>
      </c>
      <c r="E55" s="593">
        <f t="shared" si="4"/>
        <v>-1881334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35695776</v>
      </c>
      <c r="D58" s="589">
        <v>36311368</v>
      </c>
      <c r="E58" s="590">
        <f t="shared" ref="E58:E66" si="5">D58-C58</f>
        <v>615592</v>
      </c>
    </row>
    <row r="59" spans="1:5" s="421" customFormat="1" x14ac:dyDescent="0.2">
      <c r="A59" s="588">
        <v>2</v>
      </c>
      <c r="B59" s="587" t="s">
        <v>634</v>
      </c>
      <c r="C59" s="589">
        <v>22486839</v>
      </c>
      <c r="D59" s="591">
        <v>25071301</v>
      </c>
      <c r="E59" s="590">
        <f t="shared" si="5"/>
        <v>2584462</v>
      </c>
    </row>
    <row r="60" spans="1:5" s="421" customFormat="1" x14ac:dyDescent="0.2">
      <c r="A60" s="588">
        <v>3</v>
      </c>
      <c r="B60" s="587" t="s">
        <v>776</v>
      </c>
      <c r="C60" s="589">
        <f>C61+C62</f>
        <v>11763165</v>
      </c>
      <c r="D60" s="591">
        <f>D61+D62</f>
        <v>11071714</v>
      </c>
      <c r="E60" s="590">
        <f t="shared" si="5"/>
        <v>-691451</v>
      </c>
    </row>
    <row r="61" spans="1:5" s="421" customFormat="1" x14ac:dyDescent="0.2">
      <c r="A61" s="588">
        <v>4</v>
      </c>
      <c r="B61" s="587" t="s">
        <v>115</v>
      </c>
      <c r="C61" s="589">
        <v>11763165</v>
      </c>
      <c r="D61" s="591">
        <v>11071714</v>
      </c>
      <c r="E61" s="590">
        <f t="shared" si="5"/>
        <v>-691451</v>
      </c>
    </row>
    <row r="62" spans="1:5" s="421" customFormat="1" x14ac:dyDescent="0.2">
      <c r="A62" s="588">
        <v>5</v>
      </c>
      <c r="B62" s="587" t="s">
        <v>742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342063</v>
      </c>
      <c r="D63" s="591">
        <v>355465</v>
      </c>
      <c r="E63" s="590">
        <f t="shared" si="5"/>
        <v>13402</v>
      </c>
    </row>
    <row r="64" spans="1:5" s="421" customFormat="1" x14ac:dyDescent="0.2">
      <c r="A64" s="588">
        <v>7</v>
      </c>
      <c r="B64" s="587" t="s">
        <v>757</v>
      </c>
      <c r="C64" s="589">
        <v>22564</v>
      </c>
      <c r="D64" s="591">
        <v>40007</v>
      </c>
      <c r="E64" s="590">
        <f t="shared" si="5"/>
        <v>17443</v>
      </c>
    </row>
    <row r="65" spans="1:5" s="421" customFormat="1" x14ac:dyDescent="0.2">
      <c r="A65" s="588"/>
      <c r="B65" s="592" t="s">
        <v>791</v>
      </c>
      <c r="C65" s="593">
        <f>SUM(C59+C60+C63)</f>
        <v>34592067</v>
      </c>
      <c r="D65" s="593">
        <f>SUM(D59+D60+D63)</f>
        <v>36498480</v>
      </c>
      <c r="E65" s="593">
        <f t="shared" si="5"/>
        <v>1906413</v>
      </c>
    </row>
    <row r="66" spans="1:5" s="421" customFormat="1" x14ac:dyDescent="0.2">
      <c r="A66" s="588"/>
      <c r="B66" s="592" t="s">
        <v>468</v>
      </c>
      <c r="C66" s="593">
        <f>SUM(C58+C65)</f>
        <v>70287843</v>
      </c>
      <c r="D66" s="593">
        <f>SUM(D58+D65)</f>
        <v>72809848</v>
      </c>
      <c r="E66" s="593">
        <f t="shared" si="5"/>
        <v>2522005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44948249</v>
      </c>
      <c r="D69" s="590">
        <f t="shared" si="6"/>
        <v>46005253</v>
      </c>
      <c r="E69" s="590">
        <f t="shared" ref="E69:E77" si="7">D69-C69</f>
        <v>1057004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41379564</v>
      </c>
      <c r="D70" s="590">
        <f t="shared" si="6"/>
        <v>41488994</v>
      </c>
      <c r="E70" s="590">
        <f t="shared" si="7"/>
        <v>109430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17542179</v>
      </c>
      <c r="D71" s="590">
        <f t="shared" si="6"/>
        <v>16963645</v>
      </c>
      <c r="E71" s="590">
        <f t="shared" si="7"/>
        <v>-578534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17542179</v>
      </c>
      <c r="D72" s="590">
        <f t="shared" si="6"/>
        <v>16963645</v>
      </c>
      <c r="E72" s="590">
        <f t="shared" si="7"/>
        <v>-578534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446015</v>
      </c>
      <c r="D74" s="590">
        <f t="shared" si="6"/>
        <v>498786</v>
      </c>
      <c r="E74" s="590">
        <f t="shared" si="7"/>
        <v>52771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25986</v>
      </c>
      <c r="D75" s="590">
        <f t="shared" si="6"/>
        <v>43882</v>
      </c>
      <c r="E75" s="590">
        <f t="shared" si="7"/>
        <v>17896</v>
      </c>
    </row>
    <row r="76" spans="1:5" s="421" customFormat="1" x14ac:dyDescent="0.2">
      <c r="A76" s="588"/>
      <c r="B76" s="592" t="s">
        <v>792</v>
      </c>
      <c r="C76" s="593">
        <f>SUM(C70+C71+C74)</f>
        <v>59367758</v>
      </c>
      <c r="D76" s="593">
        <f>SUM(D70+D71+D74)</f>
        <v>58951425</v>
      </c>
      <c r="E76" s="593">
        <f t="shared" si="7"/>
        <v>-416333</v>
      </c>
    </row>
    <row r="77" spans="1:5" s="421" customFormat="1" x14ac:dyDescent="0.2">
      <c r="A77" s="588"/>
      <c r="B77" s="592" t="s">
        <v>725</v>
      </c>
      <c r="C77" s="593">
        <f>SUM(C69+C76)</f>
        <v>104316007</v>
      </c>
      <c r="D77" s="593">
        <f>SUM(D69+D76)</f>
        <v>104956678</v>
      </c>
      <c r="E77" s="593">
        <f t="shared" si="7"/>
        <v>640671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6.3602228813057465E-2</v>
      </c>
      <c r="D83" s="599">
        <f t="shared" si="8"/>
        <v>6.5287389044634825E-2</v>
      </c>
      <c r="E83" s="599">
        <f t="shared" ref="E83:E91" si="9">D83-C83</f>
        <v>1.6851602315773595E-3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0.16480696171360024</v>
      </c>
      <c r="D84" s="599">
        <f t="shared" si="8"/>
        <v>0.14658767162390218</v>
      </c>
      <c r="E84" s="599">
        <f t="shared" si="9"/>
        <v>-1.8219290089698054E-2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6.5798528547987997E-2</v>
      </c>
      <c r="D85" s="599">
        <f t="shared" si="8"/>
        <v>6.2659070435182415E-2</v>
      </c>
      <c r="E85" s="599">
        <f t="shared" si="9"/>
        <v>-3.1394581128055821E-3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6.5798528547987997E-2</v>
      </c>
      <c r="D86" s="599">
        <f t="shared" si="8"/>
        <v>6.2659070435182415E-2</v>
      </c>
      <c r="E86" s="599">
        <f t="shared" si="9"/>
        <v>-3.1394581128055821E-3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1.3431781028832672E-3</v>
      </c>
      <c r="D88" s="599">
        <f t="shared" si="8"/>
        <v>1.583493316314894E-3</v>
      </c>
      <c r="E88" s="599">
        <f t="shared" si="9"/>
        <v>2.4031521343162682E-4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1.4767178958694088E-3</v>
      </c>
      <c r="D89" s="599">
        <f t="shared" si="8"/>
        <v>1.0613662752247816E-3</v>
      </c>
      <c r="E89" s="599">
        <f t="shared" si="9"/>
        <v>-4.1535162064462727E-4</v>
      </c>
    </row>
    <row r="90" spans="1:5" s="421" customFormat="1" x14ac:dyDescent="0.2">
      <c r="A90" s="588"/>
      <c r="B90" s="592" t="s">
        <v>795</v>
      </c>
      <c r="C90" s="600">
        <f>SUM(C84+C85+C88)</f>
        <v>0.23194866836447148</v>
      </c>
      <c r="D90" s="600">
        <f>SUM(D84+D85+D88)</f>
        <v>0.21083023537539949</v>
      </c>
      <c r="E90" s="601">
        <f t="shared" si="9"/>
        <v>-2.1118432989071984E-2</v>
      </c>
    </row>
    <row r="91" spans="1:5" s="421" customFormat="1" x14ac:dyDescent="0.2">
      <c r="A91" s="588"/>
      <c r="B91" s="592" t="s">
        <v>796</v>
      </c>
      <c r="C91" s="600">
        <f>SUM(C83+C90)</f>
        <v>0.29555089717752892</v>
      </c>
      <c r="D91" s="600">
        <f>SUM(D83+D90)</f>
        <v>0.27611762442003429</v>
      </c>
      <c r="E91" s="601">
        <f t="shared" si="9"/>
        <v>-1.9433272757494624E-2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0.27474487519387208</v>
      </c>
      <c r="D95" s="599">
        <f t="shared" si="10"/>
        <v>0.27344145683637766</v>
      </c>
      <c r="E95" s="599">
        <f t="shared" ref="E95:E103" si="11">D95-C95</f>
        <v>-1.3034183574944236E-3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0.26877731004955957</v>
      </c>
      <c r="D96" s="599">
        <f t="shared" si="10"/>
        <v>0.29625474554118658</v>
      </c>
      <c r="E96" s="599">
        <f t="shared" si="11"/>
        <v>2.7477435491627011E-2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0.15640357835735363</v>
      </c>
      <c r="D97" s="599">
        <f t="shared" si="10"/>
        <v>0.14947422183478745</v>
      </c>
      <c r="E97" s="599">
        <f t="shared" si="11"/>
        <v>-6.9293565225661824E-3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0.15640357835735363</v>
      </c>
      <c r="D98" s="599">
        <f t="shared" si="10"/>
        <v>0.14947422183478745</v>
      </c>
      <c r="E98" s="599">
        <f t="shared" si="11"/>
        <v>-6.9293565225661824E-3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4.5233392216857786E-3</v>
      </c>
      <c r="D100" s="599">
        <f t="shared" si="10"/>
        <v>4.7119513676139903E-3</v>
      </c>
      <c r="E100" s="599">
        <f t="shared" si="11"/>
        <v>1.8861214592821168E-4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9.6407182609750692E-3</v>
      </c>
      <c r="D101" s="599">
        <f t="shared" si="10"/>
        <v>7.8963720022783585E-3</v>
      </c>
      <c r="E101" s="599">
        <f t="shared" si="11"/>
        <v>-1.7443462586967107E-3</v>
      </c>
    </row>
    <row r="102" spans="1:5" s="421" customFormat="1" x14ac:dyDescent="0.2">
      <c r="A102" s="588"/>
      <c r="B102" s="592" t="s">
        <v>798</v>
      </c>
      <c r="C102" s="600">
        <f>SUM(C96+C97+C100)</f>
        <v>0.429704227628599</v>
      </c>
      <c r="D102" s="600">
        <f>SUM(D96+D97+D100)</f>
        <v>0.45044091874358799</v>
      </c>
      <c r="E102" s="601">
        <f t="shared" si="11"/>
        <v>2.0736691114988992E-2</v>
      </c>
    </row>
    <row r="103" spans="1:5" s="421" customFormat="1" x14ac:dyDescent="0.2">
      <c r="A103" s="588"/>
      <c r="B103" s="592" t="s">
        <v>799</v>
      </c>
      <c r="C103" s="600">
        <f>SUM(C95+C102)</f>
        <v>0.70444910282247108</v>
      </c>
      <c r="D103" s="600">
        <f>SUM(D95+D102)</f>
        <v>0.72388237557996571</v>
      </c>
      <c r="E103" s="601">
        <f t="shared" si="11"/>
        <v>1.9433272757494624E-2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8.8696579423328578E-2</v>
      </c>
      <c r="D109" s="599">
        <f t="shared" si="12"/>
        <v>9.2360821481030489E-2</v>
      </c>
      <c r="E109" s="599">
        <f t="shared" ref="E109:E117" si="13">D109-C109</f>
        <v>3.6642420577019108E-3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0.18111050780538407</v>
      </c>
      <c r="D110" s="599">
        <f t="shared" si="12"/>
        <v>0.15642351980690547</v>
      </c>
      <c r="E110" s="599">
        <f t="shared" si="13"/>
        <v>-2.4686987998478599E-2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5.5399110512349269E-2</v>
      </c>
      <c r="D111" s="599">
        <f t="shared" si="12"/>
        <v>5.6136790076377986E-2</v>
      </c>
      <c r="E111" s="599">
        <f t="shared" si="13"/>
        <v>7.3767956402871759E-4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5.5399110512349269E-2</v>
      </c>
      <c r="D112" s="599">
        <f t="shared" si="12"/>
        <v>5.6136790076377986E-2</v>
      </c>
      <c r="E112" s="599">
        <f t="shared" si="13"/>
        <v>7.3767956402871759E-4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9.9651053553075509E-4</v>
      </c>
      <c r="D114" s="599">
        <f t="shared" si="12"/>
        <v>1.3655253074987758E-3</v>
      </c>
      <c r="E114" s="599">
        <f t="shared" si="13"/>
        <v>3.6901477196802073E-4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3.280416973782365E-5</v>
      </c>
      <c r="D115" s="599">
        <f t="shared" si="12"/>
        <v>3.6919994742973861E-5</v>
      </c>
      <c r="E115" s="599">
        <f t="shared" si="13"/>
        <v>4.1158250051502116E-6</v>
      </c>
    </row>
    <row r="116" spans="1:5" s="421" customFormat="1" x14ac:dyDescent="0.2">
      <c r="A116" s="588"/>
      <c r="B116" s="592" t="s">
        <v>795</v>
      </c>
      <c r="C116" s="600">
        <f>SUM(C110+C111+C114)</f>
        <v>0.23750612885326411</v>
      </c>
      <c r="D116" s="600">
        <f>SUM(D110+D111+D114)</f>
        <v>0.21392583519078223</v>
      </c>
      <c r="E116" s="601">
        <f t="shared" si="13"/>
        <v>-2.3580293662481877E-2</v>
      </c>
    </row>
    <row r="117" spans="1:5" s="421" customFormat="1" x14ac:dyDescent="0.2">
      <c r="A117" s="588"/>
      <c r="B117" s="592" t="s">
        <v>796</v>
      </c>
      <c r="C117" s="600">
        <f>SUM(C109+C116)</f>
        <v>0.3262027082765927</v>
      </c>
      <c r="D117" s="600">
        <f>SUM(D109+D116)</f>
        <v>0.30628665667181271</v>
      </c>
      <c r="E117" s="601">
        <f t="shared" si="13"/>
        <v>-1.9916051604779994E-2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0.34218886464854814</v>
      </c>
      <c r="D121" s="599">
        <f t="shared" si="14"/>
        <v>0.34596529436650042</v>
      </c>
      <c r="E121" s="599">
        <f t="shared" ref="E121:E129" si="15">D121-C121</f>
        <v>3.7764297179522788E-3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0.21556460649418838</v>
      </c>
      <c r="D122" s="599">
        <f t="shared" si="14"/>
        <v>0.23887285190181037</v>
      </c>
      <c r="E122" s="599">
        <f t="shared" si="15"/>
        <v>2.3308245407621997E-2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0.11276471692402873</v>
      </c>
      <c r="D123" s="599">
        <f t="shared" si="14"/>
        <v>0.10548841875502195</v>
      </c>
      <c r="E123" s="599">
        <f t="shared" si="15"/>
        <v>-7.2762981690067813E-3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0.11276471692402873</v>
      </c>
      <c r="D124" s="599">
        <f t="shared" si="14"/>
        <v>0.10548841875502195</v>
      </c>
      <c r="E124" s="599">
        <f t="shared" si="15"/>
        <v>-7.2762981690067813E-3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3.2791036566420721E-3</v>
      </c>
      <c r="D126" s="599">
        <f t="shared" si="14"/>
        <v>3.3867783048545041E-3</v>
      </c>
      <c r="E126" s="599">
        <f t="shared" si="15"/>
        <v>1.0767464821243196E-4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2.1630429163186816E-4</v>
      </c>
      <c r="D127" s="599">
        <f t="shared" si="14"/>
        <v>3.8117631733733035E-4</v>
      </c>
      <c r="E127" s="599">
        <f t="shared" si="15"/>
        <v>1.6487202570546219E-4</v>
      </c>
    </row>
    <row r="128" spans="1:5" s="421" customFormat="1" x14ac:dyDescent="0.2">
      <c r="A128" s="588"/>
      <c r="B128" s="592" t="s">
        <v>798</v>
      </c>
      <c r="C128" s="600">
        <f>SUM(C122+C123+C126)</f>
        <v>0.33160842707485916</v>
      </c>
      <c r="D128" s="600">
        <f>SUM(D122+D123+D126)</f>
        <v>0.34774804896168682</v>
      </c>
      <c r="E128" s="601">
        <f t="shared" si="15"/>
        <v>1.613962188682766E-2</v>
      </c>
    </row>
    <row r="129" spans="1:5" s="421" customFormat="1" x14ac:dyDescent="0.2">
      <c r="A129" s="588"/>
      <c r="B129" s="592" t="s">
        <v>799</v>
      </c>
      <c r="C129" s="600">
        <f>SUM(C121+C128)</f>
        <v>0.6737972917234073</v>
      </c>
      <c r="D129" s="600">
        <f>SUM(D121+D128)</f>
        <v>0.69371334332818724</v>
      </c>
      <c r="E129" s="601">
        <f t="shared" si="15"/>
        <v>1.9916051604779939E-2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1033</v>
      </c>
      <c r="D137" s="606">
        <v>1089</v>
      </c>
      <c r="E137" s="607">
        <f t="shared" ref="E137:E145" si="16">D137-C137</f>
        <v>56</v>
      </c>
    </row>
    <row r="138" spans="1:5" s="421" customFormat="1" x14ac:dyDescent="0.2">
      <c r="A138" s="588">
        <v>2</v>
      </c>
      <c r="B138" s="587" t="s">
        <v>634</v>
      </c>
      <c r="C138" s="606">
        <v>2105</v>
      </c>
      <c r="D138" s="606">
        <v>1903</v>
      </c>
      <c r="E138" s="607">
        <f t="shared" si="16"/>
        <v>-202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1259</v>
      </c>
      <c r="D139" s="606">
        <f>D140+D141</f>
        <v>1096</v>
      </c>
      <c r="E139" s="607">
        <f t="shared" si="16"/>
        <v>-163</v>
      </c>
    </row>
    <row r="140" spans="1:5" s="421" customFormat="1" x14ac:dyDescent="0.2">
      <c r="A140" s="588">
        <v>4</v>
      </c>
      <c r="B140" s="587" t="s">
        <v>115</v>
      </c>
      <c r="C140" s="606">
        <v>1259</v>
      </c>
      <c r="D140" s="606">
        <v>1096</v>
      </c>
      <c r="E140" s="607">
        <f t="shared" si="16"/>
        <v>-163</v>
      </c>
    </row>
    <row r="141" spans="1:5" s="421" customFormat="1" x14ac:dyDescent="0.2">
      <c r="A141" s="588">
        <v>5</v>
      </c>
      <c r="B141" s="587" t="s">
        <v>742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54</v>
      </c>
      <c r="D142" s="606">
        <v>30</v>
      </c>
      <c r="E142" s="607">
        <f t="shared" si="16"/>
        <v>-24</v>
      </c>
    </row>
    <row r="143" spans="1:5" s="421" customFormat="1" x14ac:dyDescent="0.2">
      <c r="A143" s="588">
        <v>7</v>
      </c>
      <c r="B143" s="587" t="s">
        <v>757</v>
      </c>
      <c r="C143" s="606">
        <v>23</v>
      </c>
      <c r="D143" s="606">
        <v>22</v>
      </c>
      <c r="E143" s="607">
        <f t="shared" si="16"/>
        <v>-1</v>
      </c>
    </row>
    <row r="144" spans="1:5" s="421" customFormat="1" x14ac:dyDescent="0.2">
      <c r="A144" s="588"/>
      <c r="B144" s="592" t="s">
        <v>806</v>
      </c>
      <c r="C144" s="608">
        <f>SUM(C138+C139+C142)</f>
        <v>3418</v>
      </c>
      <c r="D144" s="608">
        <f>SUM(D138+D139+D142)</f>
        <v>3029</v>
      </c>
      <c r="E144" s="609">
        <f t="shared" si="16"/>
        <v>-389</v>
      </c>
    </row>
    <row r="145" spans="1:5" s="421" customFormat="1" x14ac:dyDescent="0.2">
      <c r="A145" s="588"/>
      <c r="B145" s="592" t="s">
        <v>138</v>
      </c>
      <c r="C145" s="608">
        <f>SUM(C137+C144)</f>
        <v>4451</v>
      </c>
      <c r="D145" s="608">
        <f>SUM(D137+D144)</f>
        <v>4118</v>
      </c>
      <c r="E145" s="609">
        <f t="shared" si="16"/>
        <v>-333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3059</v>
      </c>
      <c r="D149" s="610">
        <v>3566</v>
      </c>
      <c r="E149" s="607">
        <f t="shared" ref="E149:E157" si="17">D149-C149</f>
        <v>507</v>
      </c>
    </row>
    <row r="150" spans="1:5" s="421" customFormat="1" x14ac:dyDescent="0.2">
      <c r="A150" s="588">
        <v>2</v>
      </c>
      <c r="B150" s="587" t="s">
        <v>634</v>
      </c>
      <c r="C150" s="610">
        <v>8940</v>
      </c>
      <c r="D150" s="610">
        <v>8118</v>
      </c>
      <c r="E150" s="607">
        <f t="shared" si="17"/>
        <v>-822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4556</v>
      </c>
      <c r="D151" s="610">
        <f>D152+D153</f>
        <v>4439</v>
      </c>
      <c r="E151" s="607">
        <f t="shared" si="17"/>
        <v>-117</v>
      </c>
    </row>
    <row r="152" spans="1:5" s="421" customFormat="1" x14ac:dyDescent="0.2">
      <c r="A152" s="588">
        <v>4</v>
      </c>
      <c r="B152" s="587" t="s">
        <v>115</v>
      </c>
      <c r="C152" s="610">
        <v>4556</v>
      </c>
      <c r="D152" s="610">
        <v>4439</v>
      </c>
      <c r="E152" s="607">
        <f t="shared" si="17"/>
        <v>-117</v>
      </c>
    </row>
    <row r="153" spans="1:5" s="421" customFormat="1" x14ac:dyDescent="0.2">
      <c r="A153" s="588">
        <v>5</v>
      </c>
      <c r="B153" s="587" t="s">
        <v>742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205</v>
      </c>
      <c r="D154" s="610">
        <v>114</v>
      </c>
      <c r="E154" s="607">
        <f t="shared" si="17"/>
        <v>-91</v>
      </c>
    </row>
    <row r="155" spans="1:5" s="421" customFormat="1" x14ac:dyDescent="0.2">
      <c r="A155" s="588">
        <v>7</v>
      </c>
      <c r="B155" s="587" t="s">
        <v>757</v>
      </c>
      <c r="C155" s="610">
        <v>87</v>
      </c>
      <c r="D155" s="610">
        <v>72</v>
      </c>
      <c r="E155" s="607">
        <f t="shared" si="17"/>
        <v>-15</v>
      </c>
    </row>
    <row r="156" spans="1:5" s="421" customFormat="1" x14ac:dyDescent="0.2">
      <c r="A156" s="588"/>
      <c r="B156" s="592" t="s">
        <v>807</v>
      </c>
      <c r="C156" s="608">
        <f>SUM(C150+C151+C154)</f>
        <v>13701</v>
      </c>
      <c r="D156" s="608">
        <f>SUM(D150+D151+D154)</f>
        <v>12671</v>
      </c>
      <c r="E156" s="609">
        <f t="shared" si="17"/>
        <v>-1030</v>
      </c>
    </row>
    <row r="157" spans="1:5" s="421" customFormat="1" x14ac:dyDescent="0.2">
      <c r="A157" s="588"/>
      <c r="B157" s="592" t="s">
        <v>140</v>
      </c>
      <c r="C157" s="608">
        <f>SUM(C149+C156)</f>
        <v>16760</v>
      </c>
      <c r="D157" s="608">
        <f>SUM(D149+D156)</f>
        <v>16237</v>
      </c>
      <c r="E157" s="609">
        <f t="shared" si="17"/>
        <v>-523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2.9612778315585673</v>
      </c>
      <c r="D161" s="612">
        <f t="shared" si="18"/>
        <v>3.2745638200183653</v>
      </c>
      <c r="E161" s="613">
        <f t="shared" ref="E161:E169" si="19">D161-C161</f>
        <v>0.31328598845979805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4.2470308788598574</v>
      </c>
      <c r="D162" s="612">
        <f t="shared" si="18"/>
        <v>4.2658959537572256</v>
      </c>
      <c r="E162" s="613">
        <f t="shared" si="19"/>
        <v>1.8865074897368217E-2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3.6187450357426529</v>
      </c>
      <c r="D163" s="612">
        <f t="shared" si="18"/>
        <v>4.0501824817518246</v>
      </c>
      <c r="E163" s="613">
        <f t="shared" si="19"/>
        <v>0.43143744600917167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3.6187450357426529</v>
      </c>
      <c r="D164" s="612">
        <f t="shared" si="18"/>
        <v>4.0501824817518246</v>
      </c>
      <c r="E164" s="613">
        <f t="shared" si="19"/>
        <v>0.43143744600917167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3.7962962962962963</v>
      </c>
      <c r="D166" s="612">
        <f t="shared" si="18"/>
        <v>3.8</v>
      </c>
      <c r="E166" s="613">
        <f t="shared" si="19"/>
        <v>3.7037037037035425E-3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3.7826086956521738</v>
      </c>
      <c r="D167" s="612">
        <f t="shared" si="18"/>
        <v>3.2727272727272729</v>
      </c>
      <c r="E167" s="613">
        <f t="shared" si="19"/>
        <v>-0.50988142292490091</v>
      </c>
    </row>
    <row r="168" spans="1:5" s="421" customFormat="1" x14ac:dyDescent="0.2">
      <c r="A168" s="588"/>
      <c r="B168" s="592" t="s">
        <v>809</v>
      </c>
      <c r="C168" s="614">
        <f t="shared" si="18"/>
        <v>4.0084844938560558</v>
      </c>
      <c r="D168" s="614">
        <f t="shared" si="18"/>
        <v>4.1832287883790027</v>
      </c>
      <c r="E168" s="615">
        <f t="shared" si="19"/>
        <v>0.17474429452294693</v>
      </c>
    </row>
    <row r="169" spans="1:5" s="421" customFormat="1" x14ac:dyDescent="0.2">
      <c r="A169" s="588"/>
      <c r="B169" s="592" t="s">
        <v>743</v>
      </c>
      <c r="C169" s="614">
        <f t="shared" si="18"/>
        <v>3.7654459671983824</v>
      </c>
      <c r="D169" s="614">
        <f t="shared" si="18"/>
        <v>3.942933462846042</v>
      </c>
      <c r="E169" s="615">
        <f t="shared" si="19"/>
        <v>0.17748749564765953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1.0525</v>
      </c>
      <c r="D173" s="617">
        <f t="shared" si="20"/>
        <v>1.0461</v>
      </c>
      <c r="E173" s="618">
        <f t="shared" ref="E173:E181" si="21">D173-C173</f>
        <v>-6.3999999999999613E-3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1.2448999999999999</v>
      </c>
      <c r="D174" s="617">
        <f t="shared" si="20"/>
        <v>1.2315</v>
      </c>
      <c r="E174" s="618">
        <f t="shared" si="21"/>
        <v>-1.3399999999999856E-2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1.1313</v>
      </c>
      <c r="D175" s="617">
        <f t="shared" si="20"/>
        <v>1.0474000000000001</v>
      </c>
      <c r="E175" s="618">
        <f t="shared" si="21"/>
        <v>-8.3899999999999864E-2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1.1313</v>
      </c>
      <c r="D176" s="617">
        <f t="shared" si="20"/>
        <v>1.0474000000000001</v>
      </c>
      <c r="E176" s="618">
        <f t="shared" si="21"/>
        <v>-8.3899999999999864E-2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0.72759999999999991</v>
      </c>
      <c r="D178" s="617">
        <f t="shared" si="20"/>
        <v>1.0713999999999999</v>
      </c>
      <c r="E178" s="618">
        <f t="shared" si="21"/>
        <v>0.34379999999999999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1.0710999999999999</v>
      </c>
      <c r="D179" s="617">
        <f t="shared" si="20"/>
        <v>0.84660000000000002</v>
      </c>
      <c r="E179" s="618">
        <f t="shared" si="21"/>
        <v>-0.22449999999999992</v>
      </c>
    </row>
    <row r="180" spans="1:5" s="421" customFormat="1" x14ac:dyDescent="0.2">
      <c r="A180" s="588"/>
      <c r="B180" s="592" t="s">
        <v>811</v>
      </c>
      <c r="C180" s="619">
        <f t="shared" si="20"/>
        <v>1.1948834406085429</v>
      </c>
      <c r="D180" s="619">
        <f t="shared" si="20"/>
        <v>1.1633003961703532</v>
      </c>
      <c r="E180" s="620">
        <f t="shared" si="21"/>
        <v>-3.1583044438189711E-2</v>
      </c>
    </row>
    <row r="181" spans="1:5" s="421" customFormat="1" x14ac:dyDescent="0.2">
      <c r="A181" s="588"/>
      <c r="B181" s="592" t="s">
        <v>722</v>
      </c>
      <c r="C181" s="619">
        <f t="shared" si="20"/>
        <v>1.1618387104021566</v>
      </c>
      <c r="D181" s="619">
        <f t="shared" si="20"/>
        <v>1.132306896551724</v>
      </c>
      <c r="E181" s="620">
        <f t="shared" si="21"/>
        <v>-2.9531813850432576E-2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813</v>
      </c>
      <c r="C185" s="589">
        <v>84758645</v>
      </c>
      <c r="D185" s="589">
        <v>84206186</v>
      </c>
      <c r="E185" s="590">
        <f>D185-C185</f>
        <v>-552459</v>
      </c>
    </row>
    <row r="186" spans="1:5" s="421" customFormat="1" ht="25.5" x14ac:dyDescent="0.2">
      <c r="A186" s="588">
        <v>2</v>
      </c>
      <c r="B186" s="587" t="s">
        <v>814</v>
      </c>
      <c r="C186" s="589">
        <v>44970813</v>
      </c>
      <c r="D186" s="589">
        <v>46005254</v>
      </c>
      <c r="E186" s="590">
        <f>D186-C186</f>
        <v>1034441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39787832</v>
      </c>
      <c r="D188" s="622">
        <f>+D185-D186</f>
        <v>38200932</v>
      </c>
      <c r="E188" s="590">
        <f t="shared" ref="E188:E197" si="22">D188-C188</f>
        <v>-1586900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0.4694250598272306</v>
      </c>
      <c r="D189" s="623">
        <f>IF(D185=0,0,+D188/D185)</f>
        <v>0.45365944967511057</v>
      </c>
      <c r="E189" s="599">
        <f t="shared" si="22"/>
        <v>-1.5765610152120024E-2</v>
      </c>
    </row>
    <row r="190" spans="1:5" s="421" customFormat="1" x14ac:dyDescent="0.2">
      <c r="A190" s="588">
        <v>5</v>
      </c>
      <c r="B190" s="587" t="s">
        <v>761</v>
      </c>
      <c r="C190" s="589">
        <v>2788324</v>
      </c>
      <c r="D190" s="589">
        <v>1868314</v>
      </c>
      <c r="E190" s="622">
        <f t="shared" si="22"/>
        <v>-920010</v>
      </c>
    </row>
    <row r="191" spans="1:5" s="421" customFormat="1" x14ac:dyDescent="0.2">
      <c r="A191" s="588">
        <v>6</v>
      </c>
      <c r="B191" s="587" t="s">
        <v>747</v>
      </c>
      <c r="C191" s="589">
        <v>1066416</v>
      </c>
      <c r="D191" s="589">
        <v>783337</v>
      </c>
      <c r="E191" s="622">
        <f t="shared" si="22"/>
        <v>-283079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477319</v>
      </c>
      <c r="D193" s="589">
        <v>344715</v>
      </c>
      <c r="E193" s="622">
        <f t="shared" si="22"/>
        <v>-132604</v>
      </c>
    </row>
    <row r="194" spans="1:5" s="421" customFormat="1" x14ac:dyDescent="0.2">
      <c r="A194" s="588">
        <v>9</v>
      </c>
      <c r="B194" s="587" t="s">
        <v>817</v>
      </c>
      <c r="C194" s="589">
        <v>4093658</v>
      </c>
      <c r="D194" s="589">
        <v>3341545</v>
      </c>
      <c r="E194" s="622">
        <f t="shared" si="22"/>
        <v>-752113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4570977</v>
      </c>
      <c r="D195" s="589">
        <f>+D193+D194</f>
        <v>3686260</v>
      </c>
      <c r="E195" s="625">
        <f t="shared" si="22"/>
        <v>-884717</v>
      </c>
    </row>
    <row r="196" spans="1:5" s="421" customFormat="1" x14ac:dyDescent="0.2">
      <c r="A196" s="588">
        <v>11</v>
      </c>
      <c r="B196" s="587" t="s">
        <v>819</v>
      </c>
      <c r="C196" s="589">
        <v>3119124</v>
      </c>
      <c r="D196" s="589">
        <v>5599876</v>
      </c>
      <c r="E196" s="622">
        <f t="shared" si="22"/>
        <v>2480752</v>
      </c>
    </row>
    <row r="197" spans="1:5" s="421" customFormat="1" x14ac:dyDescent="0.2">
      <c r="A197" s="588">
        <v>12</v>
      </c>
      <c r="B197" s="587" t="s">
        <v>709</v>
      </c>
      <c r="C197" s="589">
        <v>111527723</v>
      </c>
      <c r="D197" s="589">
        <v>108420147</v>
      </c>
      <c r="E197" s="622">
        <f t="shared" si="22"/>
        <v>-3107576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1087.2325000000001</v>
      </c>
      <c r="D203" s="629">
        <v>1139.2029</v>
      </c>
      <c r="E203" s="630">
        <f t="shared" ref="E203:E211" si="23">D203-C203</f>
        <v>51.970399999999927</v>
      </c>
    </row>
    <row r="204" spans="1:5" s="421" customFormat="1" x14ac:dyDescent="0.2">
      <c r="A204" s="588">
        <v>2</v>
      </c>
      <c r="B204" s="587" t="s">
        <v>634</v>
      </c>
      <c r="C204" s="629">
        <v>2620.5144999999998</v>
      </c>
      <c r="D204" s="629">
        <v>2343.5445</v>
      </c>
      <c r="E204" s="630">
        <f t="shared" si="23"/>
        <v>-276.9699999999998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1424.3066999999999</v>
      </c>
      <c r="D205" s="629">
        <f>D206+D207</f>
        <v>1147.9504000000002</v>
      </c>
      <c r="E205" s="630">
        <f t="shared" si="23"/>
        <v>-276.35629999999969</v>
      </c>
    </row>
    <row r="206" spans="1:5" s="421" customFormat="1" x14ac:dyDescent="0.2">
      <c r="A206" s="588">
        <v>4</v>
      </c>
      <c r="B206" s="587" t="s">
        <v>115</v>
      </c>
      <c r="C206" s="629">
        <v>1424.3066999999999</v>
      </c>
      <c r="D206" s="629">
        <v>1147.9504000000002</v>
      </c>
      <c r="E206" s="630">
        <f t="shared" si="23"/>
        <v>-276.35629999999969</v>
      </c>
    </row>
    <row r="207" spans="1:5" s="421" customFormat="1" x14ac:dyDescent="0.2">
      <c r="A207" s="588">
        <v>5</v>
      </c>
      <c r="B207" s="587" t="s">
        <v>742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39.290399999999998</v>
      </c>
      <c r="D208" s="629">
        <v>32.141999999999996</v>
      </c>
      <c r="E208" s="630">
        <f t="shared" si="23"/>
        <v>-7.1484000000000023</v>
      </c>
    </row>
    <row r="209" spans="1:5" s="421" customFormat="1" x14ac:dyDescent="0.2">
      <c r="A209" s="588">
        <v>7</v>
      </c>
      <c r="B209" s="587" t="s">
        <v>757</v>
      </c>
      <c r="C209" s="629">
        <v>24.635299999999997</v>
      </c>
      <c r="D209" s="629">
        <v>18.6252</v>
      </c>
      <c r="E209" s="630">
        <f t="shared" si="23"/>
        <v>-6.0100999999999978</v>
      </c>
    </row>
    <row r="210" spans="1:5" s="421" customFormat="1" x14ac:dyDescent="0.2">
      <c r="A210" s="588"/>
      <c r="B210" s="592" t="s">
        <v>822</v>
      </c>
      <c r="C210" s="631">
        <f>C204+C205+C208</f>
        <v>4084.1115999999993</v>
      </c>
      <c r="D210" s="631">
        <f>D204+D205+D208</f>
        <v>3523.6369</v>
      </c>
      <c r="E210" s="632">
        <f t="shared" si="23"/>
        <v>-560.4746999999993</v>
      </c>
    </row>
    <row r="211" spans="1:5" s="421" customFormat="1" x14ac:dyDescent="0.2">
      <c r="A211" s="588"/>
      <c r="B211" s="592" t="s">
        <v>723</v>
      </c>
      <c r="C211" s="631">
        <f>C210+C203</f>
        <v>5171.3440999999993</v>
      </c>
      <c r="D211" s="631">
        <f>D210+D203</f>
        <v>4662.8397999999997</v>
      </c>
      <c r="E211" s="632">
        <f t="shared" si="23"/>
        <v>-508.5042999999996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4462.2879004674705</v>
      </c>
      <c r="D215" s="633">
        <f>IF(D14*D137=0,0,D25/D14*D137)</f>
        <v>4561.0300986494412</v>
      </c>
      <c r="E215" s="633">
        <f t="shared" ref="E215:E223" si="24">D215-C215</f>
        <v>98.742198181970707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3432.9632181286297</v>
      </c>
      <c r="D216" s="633">
        <f>IF(D15*D138=0,0,D26/D15*D138)</f>
        <v>3845.9767763508894</v>
      </c>
      <c r="E216" s="633">
        <f t="shared" si="24"/>
        <v>413.01355822225969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2992.6521078400233</v>
      </c>
      <c r="D217" s="633">
        <f>D218+D219</f>
        <v>2614.5256543566866</v>
      </c>
      <c r="E217" s="633">
        <f t="shared" si="24"/>
        <v>-378.12645348333672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2992.6521078400233</v>
      </c>
      <c r="D218" s="633">
        <f t="shared" si="25"/>
        <v>2614.5256543566866</v>
      </c>
      <c r="E218" s="633">
        <f t="shared" si="24"/>
        <v>-378.12645348333672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181.852516391313</v>
      </c>
      <c r="D220" s="633">
        <f t="shared" si="25"/>
        <v>89.270058529447624</v>
      </c>
      <c r="E220" s="633">
        <f t="shared" si="24"/>
        <v>-92.582457861865379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150.15496231382807</v>
      </c>
      <c r="D221" s="633">
        <f t="shared" si="25"/>
        <v>163.67599772598066</v>
      </c>
      <c r="E221" s="633">
        <f t="shared" si="24"/>
        <v>13.5210354121526</v>
      </c>
    </row>
    <row r="222" spans="1:5" s="421" customFormat="1" x14ac:dyDescent="0.2">
      <c r="A222" s="588"/>
      <c r="B222" s="592" t="s">
        <v>824</v>
      </c>
      <c r="C222" s="634">
        <f>C216+C218+C219+C220</f>
        <v>6607.4678423599653</v>
      </c>
      <c r="D222" s="634">
        <f>D216+D218+D219+D220</f>
        <v>6549.7724892370243</v>
      </c>
      <c r="E222" s="634">
        <f t="shared" si="24"/>
        <v>-57.695353122941015</v>
      </c>
    </row>
    <row r="223" spans="1:5" s="421" customFormat="1" x14ac:dyDescent="0.2">
      <c r="A223" s="588"/>
      <c r="B223" s="592" t="s">
        <v>825</v>
      </c>
      <c r="C223" s="634">
        <f>C215+C222</f>
        <v>11069.755742827436</v>
      </c>
      <c r="D223" s="634">
        <f>D215+D222</f>
        <v>11110.802587886465</v>
      </c>
      <c r="E223" s="634">
        <f t="shared" si="24"/>
        <v>41.046845059028783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8510.1144419431894</v>
      </c>
      <c r="D227" s="636">
        <f t="shared" si="26"/>
        <v>8509.3577272319089</v>
      </c>
      <c r="E227" s="636">
        <f t="shared" ref="E227:E235" si="27">D227-C227</f>
        <v>-0.75671471128043777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7209.5479723542849</v>
      </c>
      <c r="D228" s="636">
        <f t="shared" si="26"/>
        <v>7005.4965886075561</v>
      </c>
      <c r="E228" s="636">
        <f t="shared" si="27"/>
        <v>-204.05138374672879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4057.4224638555729</v>
      </c>
      <c r="D229" s="636">
        <f t="shared" si="26"/>
        <v>5132.5658321126066</v>
      </c>
      <c r="E229" s="636">
        <f t="shared" si="27"/>
        <v>1075.1433682570337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4057.4224638555729</v>
      </c>
      <c r="D230" s="636">
        <f t="shared" si="26"/>
        <v>5132.5658321126066</v>
      </c>
      <c r="E230" s="636">
        <f t="shared" si="27"/>
        <v>1075.1433682570337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2645.735345020667</v>
      </c>
      <c r="D232" s="636">
        <f t="shared" si="26"/>
        <v>4458.9944620745446</v>
      </c>
      <c r="E232" s="636">
        <f t="shared" si="27"/>
        <v>1813.2591170538776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138.90636606820297</v>
      </c>
      <c r="D233" s="636">
        <f t="shared" si="26"/>
        <v>208.05145716556063</v>
      </c>
      <c r="E233" s="636">
        <f t="shared" si="27"/>
        <v>69.145091097357664</v>
      </c>
    </row>
    <row r="234" spans="1:5" x14ac:dyDescent="0.2">
      <c r="A234" s="588"/>
      <c r="B234" s="592" t="s">
        <v>827</v>
      </c>
      <c r="C234" s="637">
        <f t="shared" si="26"/>
        <v>6066.3599398214301</v>
      </c>
      <c r="D234" s="637">
        <f t="shared" si="26"/>
        <v>6372.0938442891211</v>
      </c>
      <c r="E234" s="637">
        <f t="shared" si="27"/>
        <v>305.73390446769099</v>
      </c>
    </row>
    <row r="235" spans="1:5" s="421" customFormat="1" x14ac:dyDescent="0.2">
      <c r="A235" s="588"/>
      <c r="B235" s="592" t="s">
        <v>828</v>
      </c>
      <c r="C235" s="637">
        <f t="shared" si="26"/>
        <v>6580.139194373085</v>
      </c>
      <c r="D235" s="637">
        <f t="shared" si="26"/>
        <v>6894.2600172538632</v>
      </c>
      <c r="E235" s="637">
        <f t="shared" si="27"/>
        <v>314.12082288077818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7999.4336529161419</v>
      </c>
      <c r="D239" s="636">
        <f t="shared" si="28"/>
        <v>7961.220867793023</v>
      </c>
      <c r="E239" s="638">
        <f t="shared" ref="E239:E247" si="29">D239-C239</f>
        <v>-38.21278512311892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6550.2708800527089</v>
      </c>
      <c r="D240" s="636">
        <f t="shared" si="28"/>
        <v>6518.8383752509189</v>
      </c>
      <c r="E240" s="638">
        <f t="shared" si="29"/>
        <v>-31.432504801789946</v>
      </c>
    </row>
    <row r="241" spans="1:5" x14ac:dyDescent="0.2">
      <c r="A241" s="588">
        <v>3</v>
      </c>
      <c r="B241" s="587" t="s">
        <v>776</v>
      </c>
      <c r="C241" s="636">
        <f t="shared" si="28"/>
        <v>3930.6824101549787</v>
      </c>
      <c r="D241" s="636">
        <f t="shared" si="28"/>
        <v>4234.6931962785557</v>
      </c>
      <c r="E241" s="638">
        <f t="shared" si="29"/>
        <v>304.01078612357696</v>
      </c>
    </row>
    <row r="242" spans="1:5" x14ac:dyDescent="0.2">
      <c r="A242" s="588">
        <v>4</v>
      </c>
      <c r="B242" s="587" t="s">
        <v>115</v>
      </c>
      <c r="C242" s="636">
        <f t="shared" si="28"/>
        <v>3930.6824101549787</v>
      </c>
      <c r="D242" s="636">
        <f t="shared" si="28"/>
        <v>4234.6931962785557</v>
      </c>
      <c r="E242" s="638">
        <f t="shared" si="29"/>
        <v>304.01078612357696</v>
      </c>
    </row>
    <row r="243" spans="1:5" x14ac:dyDescent="0.2">
      <c r="A243" s="588">
        <v>5</v>
      </c>
      <c r="B243" s="587" t="s">
        <v>742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1880.9912933178425</v>
      </c>
      <c r="D244" s="636">
        <f t="shared" si="28"/>
        <v>3981.9062052338895</v>
      </c>
      <c r="E244" s="638">
        <f t="shared" si="29"/>
        <v>2100.914911916047</v>
      </c>
    </row>
    <row r="245" spans="1:5" x14ac:dyDescent="0.2">
      <c r="A245" s="588">
        <v>7</v>
      </c>
      <c r="B245" s="587" t="s">
        <v>757</v>
      </c>
      <c r="C245" s="636">
        <f t="shared" si="28"/>
        <v>150.27142394961686</v>
      </c>
      <c r="D245" s="636">
        <f t="shared" si="28"/>
        <v>244.42801972087565</v>
      </c>
      <c r="E245" s="638">
        <f t="shared" si="29"/>
        <v>94.156595771258793</v>
      </c>
    </row>
    <row r="246" spans="1:5" ht="25.5" x14ac:dyDescent="0.2">
      <c r="A246" s="588"/>
      <c r="B246" s="592" t="s">
        <v>830</v>
      </c>
      <c r="C246" s="637">
        <f t="shared" si="28"/>
        <v>5235.2985781077787</v>
      </c>
      <c r="D246" s="637">
        <f t="shared" si="28"/>
        <v>5572.4805800470895</v>
      </c>
      <c r="E246" s="639">
        <f t="shared" si="29"/>
        <v>337.18200193931079</v>
      </c>
    </row>
    <row r="247" spans="1:5" x14ac:dyDescent="0.2">
      <c r="A247" s="588"/>
      <c r="B247" s="592" t="s">
        <v>831</v>
      </c>
      <c r="C247" s="637">
        <f t="shared" si="28"/>
        <v>6349.5387461952332</v>
      </c>
      <c r="D247" s="637">
        <f t="shared" si="28"/>
        <v>6553.068279638127</v>
      </c>
      <c r="E247" s="639">
        <f t="shared" si="29"/>
        <v>203.52953344289381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7839516.9561128635</v>
      </c>
      <c r="D251" s="622">
        <f>((IF((IF(D15=0,0,D26/D15)*D138)=0,0,D59/(IF(D15=0,0,D26/D15)*D138)))-(IF((IF(D17=0,0,D28/D17)*D140)=0,0,D61/(IF(D17=0,0,D28/D17)*D140))))*(IF(D17=0,0,D28/D17)*D140)</f>
        <v>5971956.1686983891</v>
      </c>
      <c r="E251" s="622">
        <f>D251-C251</f>
        <v>-1867560.7874144744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1135179.0543030193</v>
      </c>
      <c r="D253" s="622">
        <f>IF(D233=0,0,(D228-D233)*D209+IF(D221=0,0,(D240-D245)*D221))</f>
        <v>1153574.1501457384</v>
      </c>
      <c r="E253" s="622">
        <f>D253-C253</f>
        <v>18395.095842719078</v>
      </c>
    </row>
    <row r="254" spans="1:5" ht="15" customHeight="1" x14ac:dyDescent="0.2">
      <c r="A254" s="588"/>
      <c r="B254" s="592" t="s">
        <v>758</v>
      </c>
      <c r="C254" s="640">
        <f>+C251+C252+C253</f>
        <v>8974696.0104158819</v>
      </c>
      <c r="D254" s="640">
        <f>+D251+D252+D253</f>
        <v>7125530.3188441275</v>
      </c>
      <c r="E254" s="640">
        <f>D254-C254</f>
        <v>-1849165.6915717544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243567848</v>
      </c>
      <c r="D258" s="625">
        <f>+D44</f>
        <v>248594671</v>
      </c>
      <c r="E258" s="622">
        <f t="shared" ref="E258:E271" si="30">D258-C258</f>
        <v>5026823</v>
      </c>
    </row>
    <row r="259" spans="1:5" x14ac:dyDescent="0.2">
      <c r="A259" s="588">
        <v>2</v>
      </c>
      <c r="B259" s="587" t="s">
        <v>741</v>
      </c>
      <c r="C259" s="622">
        <f>+(C43-C76)</f>
        <v>101789614</v>
      </c>
      <c r="D259" s="625">
        <f>+(D43-D76)</f>
        <v>105437060</v>
      </c>
      <c r="E259" s="622">
        <f t="shared" si="30"/>
        <v>3647446</v>
      </c>
    </row>
    <row r="260" spans="1:5" x14ac:dyDescent="0.2">
      <c r="A260" s="588">
        <v>3</v>
      </c>
      <c r="B260" s="587" t="s">
        <v>745</v>
      </c>
      <c r="C260" s="622">
        <f>C195</f>
        <v>4570977</v>
      </c>
      <c r="D260" s="622">
        <f>D195</f>
        <v>3686260</v>
      </c>
      <c r="E260" s="622">
        <f t="shared" si="30"/>
        <v>-884717</v>
      </c>
    </row>
    <row r="261" spans="1:5" x14ac:dyDescent="0.2">
      <c r="A261" s="588">
        <v>4</v>
      </c>
      <c r="B261" s="587" t="s">
        <v>746</v>
      </c>
      <c r="C261" s="622">
        <f>C188</f>
        <v>39787832</v>
      </c>
      <c r="D261" s="622">
        <f>D188</f>
        <v>38200932</v>
      </c>
      <c r="E261" s="622">
        <f t="shared" si="30"/>
        <v>-1586900</v>
      </c>
    </row>
    <row r="262" spans="1:5" x14ac:dyDescent="0.2">
      <c r="A262" s="588">
        <v>5</v>
      </c>
      <c r="B262" s="587" t="s">
        <v>747</v>
      </c>
      <c r="C262" s="622">
        <f>C191</f>
        <v>1066416</v>
      </c>
      <c r="D262" s="622">
        <f>D191</f>
        <v>783337</v>
      </c>
      <c r="E262" s="622">
        <f t="shared" si="30"/>
        <v>-283079</v>
      </c>
    </row>
    <row r="263" spans="1:5" x14ac:dyDescent="0.2">
      <c r="A263" s="588">
        <v>6</v>
      </c>
      <c r="B263" s="587" t="s">
        <v>748</v>
      </c>
      <c r="C263" s="622">
        <f>+C259+C260+C261+C262</f>
        <v>147214839</v>
      </c>
      <c r="D263" s="622">
        <f>+D259+D260+D261+D262</f>
        <v>148107589</v>
      </c>
      <c r="E263" s="622">
        <f t="shared" si="30"/>
        <v>892750</v>
      </c>
    </row>
    <row r="264" spans="1:5" x14ac:dyDescent="0.2">
      <c r="A264" s="588">
        <v>7</v>
      </c>
      <c r="B264" s="587" t="s">
        <v>653</v>
      </c>
      <c r="C264" s="622">
        <f>+C258-C263</f>
        <v>96353009</v>
      </c>
      <c r="D264" s="622">
        <f>+D258-D263</f>
        <v>100487082</v>
      </c>
      <c r="E264" s="622">
        <f t="shared" si="30"/>
        <v>4134073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96353009</v>
      </c>
      <c r="D266" s="622">
        <f>+D264+D265</f>
        <v>100487082</v>
      </c>
      <c r="E266" s="641">
        <f t="shared" si="30"/>
        <v>4134073</v>
      </c>
    </row>
    <row r="267" spans="1:5" x14ac:dyDescent="0.2">
      <c r="A267" s="588">
        <v>10</v>
      </c>
      <c r="B267" s="587" t="s">
        <v>836</v>
      </c>
      <c r="C267" s="642">
        <f>IF(C258=0,0,C266/C258)</f>
        <v>0.39559001646227132</v>
      </c>
      <c r="D267" s="642">
        <f>IF(D258=0,0,D266/D258)</f>
        <v>0.40422057961170055</v>
      </c>
      <c r="E267" s="643">
        <f t="shared" si="30"/>
        <v>8.6305631494292268E-3</v>
      </c>
    </row>
    <row r="268" spans="1:5" x14ac:dyDescent="0.2">
      <c r="A268" s="588">
        <v>11</v>
      </c>
      <c r="B268" s="587" t="s">
        <v>715</v>
      </c>
      <c r="C268" s="622">
        <f>+C260*C267</f>
        <v>1808232.8666786635</v>
      </c>
      <c r="D268" s="644">
        <f>+D260*D267</f>
        <v>1490062.1537994272</v>
      </c>
      <c r="E268" s="622">
        <f t="shared" si="30"/>
        <v>-318170.71287923632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3867662.6064693443</v>
      </c>
      <c r="D269" s="644">
        <f>((D17+D18+D28+D29)*D267)-(D50+D51+D61+D62)</f>
        <v>4353010.5352624282</v>
      </c>
      <c r="E269" s="622">
        <f t="shared" si="30"/>
        <v>485347.92879308388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839</v>
      </c>
      <c r="C271" s="622">
        <f>+C268+C269+C270</f>
        <v>5675895.4731480079</v>
      </c>
      <c r="D271" s="622">
        <f>+D268+D269+D270</f>
        <v>5843072.6890618559</v>
      </c>
      <c r="E271" s="625">
        <f t="shared" si="30"/>
        <v>167177.21591384802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0.59726289158838375</v>
      </c>
      <c r="D276" s="623">
        <f t="shared" si="31"/>
        <v>0.59727831571185308</v>
      </c>
      <c r="E276" s="650">
        <f t="shared" ref="E276:E284" si="32">D276-C276</f>
        <v>1.5424123469331974E-5</v>
      </c>
    </row>
    <row r="277" spans="1:5" x14ac:dyDescent="0.2">
      <c r="A277" s="588">
        <v>2</v>
      </c>
      <c r="B277" s="587" t="s">
        <v>634</v>
      </c>
      <c r="C277" s="623">
        <f t="shared" si="31"/>
        <v>0.47065111405285831</v>
      </c>
      <c r="D277" s="623">
        <f t="shared" si="31"/>
        <v>0.45052912229369441</v>
      </c>
      <c r="E277" s="650">
        <f t="shared" si="32"/>
        <v>-2.0121991759163904E-2</v>
      </c>
    </row>
    <row r="278" spans="1:5" x14ac:dyDescent="0.2">
      <c r="A278" s="588">
        <v>3</v>
      </c>
      <c r="B278" s="587" t="s">
        <v>776</v>
      </c>
      <c r="C278" s="623">
        <f t="shared" si="31"/>
        <v>0.36059326089704702</v>
      </c>
      <c r="D278" s="623">
        <f t="shared" si="31"/>
        <v>0.37825257206094404</v>
      </c>
      <c r="E278" s="650">
        <f t="shared" si="32"/>
        <v>1.7659311163897018E-2</v>
      </c>
    </row>
    <row r="279" spans="1:5" x14ac:dyDescent="0.2">
      <c r="A279" s="588">
        <v>4</v>
      </c>
      <c r="B279" s="587" t="s">
        <v>115</v>
      </c>
      <c r="C279" s="623">
        <f t="shared" si="31"/>
        <v>0.36059326089704702</v>
      </c>
      <c r="D279" s="623">
        <f t="shared" si="31"/>
        <v>0.37825257206094404</v>
      </c>
      <c r="E279" s="650">
        <f t="shared" si="32"/>
        <v>1.7659311163897018E-2</v>
      </c>
    </row>
    <row r="280" spans="1:5" x14ac:dyDescent="0.2">
      <c r="A280" s="588">
        <v>5</v>
      </c>
      <c r="B280" s="587" t="s">
        <v>742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0.31774541119652766</v>
      </c>
      <c r="D281" s="623">
        <f t="shared" si="31"/>
        <v>0.36408415640369063</v>
      </c>
      <c r="E281" s="650">
        <f t="shared" si="32"/>
        <v>4.6338745207162968E-2</v>
      </c>
    </row>
    <row r="282" spans="1:5" x14ac:dyDescent="0.2">
      <c r="A282" s="588">
        <v>7</v>
      </c>
      <c r="B282" s="587" t="s">
        <v>757</v>
      </c>
      <c r="C282" s="623">
        <f t="shared" si="31"/>
        <v>9.5139860042648908E-3</v>
      </c>
      <c r="D282" s="623">
        <f t="shared" si="31"/>
        <v>1.468637483418609E-2</v>
      </c>
      <c r="E282" s="650">
        <f t="shared" si="32"/>
        <v>5.1723888299211995E-3</v>
      </c>
    </row>
    <row r="283" spans="1:5" ht="29.25" customHeight="1" x14ac:dyDescent="0.2">
      <c r="A283" s="588"/>
      <c r="B283" s="592" t="s">
        <v>843</v>
      </c>
      <c r="C283" s="651">
        <f t="shared" si="31"/>
        <v>0.43854476725985292</v>
      </c>
      <c r="D283" s="651">
        <f t="shared" si="31"/>
        <v>0.42839915374694293</v>
      </c>
      <c r="E283" s="652">
        <f t="shared" si="32"/>
        <v>-1.014561351290999E-2</v>
      </c>
    </row>
    <row r="284" spans="1:5" x14ac:dyDescent="0.2">
      <c r="A284" s="588"/>
      <c r="B284" s="592" t="s">
        <v>844</v>
      </c>
      <c r="C284" s="651">
        <f t="shared" si="31"/>
        <v>0.47270073347997527</v>
      </c>
      <c r="D284" s="651">
        <f t="shared" si="31"/>
        <v>0.46833025040147069</v>
      </c>
      <c r="E284" s="652">
        <f t="shared" si="32"/>
        <v>-4.3704830785045723E-3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0.53341751069927534</v>
      </c>
      <c r="D287" s="623">
        <f t="shared" si="33"/>
        <v>0.53417854033938317</v>
      </c>
      <c r="E287" s="650">
        <f t="shared" ref="E287:E295" si="34">D287-C287</f>
        <v>7.6102964010782426E-4</v>
      </c>
    </row>
    <row r="288" spans="1:5" x14ac:dyDescent="0.2">
      <c r="A288" s="588">
        <v>2</v>
      </c>
      <c r="B288" s="587" t="s">
        <v>634</v>
      </c>
      <c r="C288" s="623">
        <f t="shared" si="33"/>
        <v>0.34349138434129078</v>
      </c>
      <c r="D288" s="623">
        <f t="shared" si="33"/>
        <v>0.34042366303168187</v>
      </c>
      <c r="E288" s="650">
        <f t="shared" si="34"/>
        <v>-3.0677213096089173E-3</v>
      </c>
    </row>
    <row r="289" spans="1:5" x14ac:dyDescent="0.2">
      <c r="A289" s="588">
        <v>3</v>
      </c>
      <c r="B289" s="587" t="s">
        <v>776</v>
      </c>
      <c r="C289" s="623">
        <f t="shared" si="33"/>
        <v>0.3087859595211252</v>
      </c>
      <c r="D289" s="623">
        <f t="shared" si="33"/>
        <v>0.29795916115547738</v>
      </c>
      <c r="E289" s="650">
        <f t="shared" si="34"/>
        <v>-1.0826798365647816E-2</v>
      </c>
    </row>
    <row r="290" spans="1:5" x14ac:dyDescent="0.2">
      <c r="A290" s="588">
        <v>4</v>
      </c>
      <c r="B290" s="587" t="s">
        <v>115</v>
      </c>
      <c r="C290" s="623">
        <f t="shared" si="33"/>
        <v>0.3087859595211252</v>
      </c>
      <c r="D290" s="623">
        <f t="shared" si="33"/>
        <v>0.29795916115547738</v>
      </c>
      <c r="E290" s="650">
        <f t="shared" si="34"/>
        <v>-1.0826798365647816E-2</v>
      </c>
    </row>
    <row r="291" spans="1:5" x14ac:dyDescent="0.2">
      <c r="A291" s="588">
        <v>5</v>
      </c>
      <c r="B291" s="587" t="s">
        <v>742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0.31047524824368727</v>
      </c>
      <c r="D292" s="623">
        <f t="shared" si="33"/>
        <v>0.30346194101587376</v>
      </c>
      <c r="E292" s="650">
        <f t="shared" si="34"/>
        <v>-7.0133072278135145E-3</v>
      </c>
    </row>
    <row r="293" spans="1:5" x14ac:dyDescent="0.2">
      <c r="A293" s="588">
        <v>7</v>
      </c>
      <c r="B293" s="587" t="s">
        <v>757</v>
      </c>
      <c r="C293" s="623">
        <f t="shared" si="33"/>
        <v>9.6091891171376509E-3</v>
      </c>
      <c r="D293" s="623">
        <f t="shared" si="33"/>
        <v>2.0380581519269525E-2</v>
      </c>
      <c r="E293" s="650">
        <f t="shared" si="34"/>
        <v>1.0771392402131874E-2</v>
      </c>
    </row>
    <row r="294" spans="1:5" ht="29.25" customHeight="1" x14ac:dyDescent="0.2">
      <c r="A294" s="588"/>
      <c r="B294" s="592" t="s">
        <v>846</v>
      </c>
      <c r="C294" s="651">
        <f t="shared" si="33"/>
        <v>0.33051176846824087</v>
      </c>
      <c r="D294" s="651">
        <f t="shared" si="33"/>
        <v>0.32594560400378608</v>
      </c>
      <c r="E294" s="652">
        <f t="shared" si="34"/>
        <v>-4.5661644644547916E-3</v>
      </c>
    </row>
    <row r="295" spans="1:5" x14ac:dyDescent="0.2">
      <c r="A295" s="588"/>
      <c r="B295" s="592" t="s">
        <v>847</v>
      </c>
      <c r="C295" s="651">
        <f t="shared" si="33"/>
        <v>0.40964780910201604</v>
      </c>
      <c r="D295" s="651">
        <f t="shared" si="33"/>
        <v>0.40460412560034115</v>
      </c>
      <c r="E295" s="652">
        <f t="shared" si="34"/>
        <v>-5.0436835016748893E-3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104316007</v>
      </c>
      <c r="D301" s="590">
        <f>+D48+D47+D50+D51+D52+D59+D58+D61+D62+D63</f>
        <v>104956678</v>
      </c>
      <c r="E301" s="590">
        <f>D301-C301</f>
        <v>640671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104316007</v>
      </c>
      <c r="D303" s="593">
        <f>+D301+D302</f>
        <v>104956678</v>
      </c>
      <c r="E303" s="593">
        <f>D303-C303</f>
        <v>640671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1955218</v>
      </c>
      <c r="D305" s="654">
        <v>2679420</v>
      </c>
      <c r="E305" s="655">
        <f>D305-C305</f>
        <v>724202</v>
      </c>
    </row>
    <row r="306" spans="1:5" x14ac:dyDescent="0.2">
      <c r="A306" s="588">
        <v>4</v>
      </c>
      <c r="B306" s="592" t="s">
        <v>854</v>
      </c>
      <c r="C306" s="593">
        <f>+C303+C305+C194+C190-C191</f>
        <v>112086791</v>
      </c>
      <c r="D306" s="593">
        <f>+D303+D305</f>
        <v>107636098</v>
      </c>
      <c r="E306" s="656">
        <f>D306-C306</f>
        <v>-4450693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106271224</v>
      </c>
      <c r="D308" s="589">
        <v>107636099</v>
      </c>
      <c r="E308" s="590">
        <f>D308-C308</f>
        <v>1364875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5815567</v>
      </c>
      <c r="D310" s="658">
        <f>D306-D308</f>
        <v>-1</v>
      </c>
      <c r="E310" s="656">
        <f>D310-C310</f>
        <v>-5815568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243567848</v>
      </c>
      <c r="D314" s="590">
        <f>+D14+D15+D16+D19+D25+D26+D27+D30</f>
        <v>248594671</v>
      </c>
      <c r="E314" s="590">
        <f>D314-C314</f>
        <v>5026823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243567848</v>
      </c>
      <c r="D316" s="657">
        <f>D314+D315</f>
        <v>248594671</v>
      </c>
      <c r="E316" s="593">
        <f>D316-C316</f>
        <v>5026823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243567848</v>
      </c>
      <c r="D318" s="589">
        <v>248594671</v>
      </c>
      <c r="E318" s="590">
        <f>D318-C318</f>
        <v>5026823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4570977</v>
      </c>
      <c r="D324" s="589">
        <f>+D193+D194</f>
        <v>3686260</v>
      </c>
      <c r="E324" s="590">
        <f>D324-C324</f>
        <v>-884717</v>
      </c>
    </row>
    <row r="325" spans="1:5" x14ac:dyDescent="0.2">
      <c r="A325" s="588">
        <v>2</v>
      </c>
      <c r="B325" s="587" t="s">
        <v>864</v>
      </c>
      <c r="C325" s="589">
        <v>78428</v>
      </c>
      <c r="D325" s="589">
        <v>118818</v>
      </c>
      <c r="E325" s="590">
        <f>D325-C325</f>
        <v>40390</v>
      </c>
    </row>
    <row r="326" spans="1:5" x14ac:dyDescent="0.2">
      <c r="A326" s="588"/>
      <c r="B326" s="592" t="s">
        <v>865</v>
      </c>
      <c r="C326" s="657">
        <f>C324+C325</f>
        <v>4649405</v>
      </c>
      <c r="D326" s="657">
        <f>D324+D325</f>
        <v>3805078</v>
      </c>
      <c r="E326" s="593">
        <f>D326-C326</f>
        <v>-844327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4649405</v>
      </c>
      <c r="D328" s="589">
        <v>3805078</v>
      </c>
      <c r="E328" s="590">
        <f>D328-C328</f>
        <v>-844327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FILING&amp;RDAY KIMBALL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16230097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36440914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15576711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15576711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393648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263850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52411273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68641370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67976089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73647351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37158495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37158495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1171366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1962996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111977212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179953301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84206186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164388485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248594671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9693885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16417693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5891931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5891931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143321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3875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22452945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32146830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36311368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25071301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11071714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11071714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355465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40007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36498480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72809848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46005253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58951425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104956678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1089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1903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1096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1096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22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3029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4118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1.0461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1.2315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1.0474000000000001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1.0474000000000001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1.0713999999999999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0.84660000000000002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1.1633003961703532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1.132306896551724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84206186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46005254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38200932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0.45365944967511057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1868314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783337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344715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3341545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3686260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5599876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108420147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104956678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104956678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2679420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107636098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107636099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248594671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248594671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248594671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3686260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118818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3805078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3805078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FILING&amp;RDAY KIMBALL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228</v>
      </c>
      <c r="D12" s="185">
        <v>162</v>
      </c>
      <c r="E12" s="185">
        <f>+D12-C12</f>
        <v>-66</v>
      </c>
      <c r="F12" s="77">
        <f>IF(C12=0,0,+E12/C12)</f>
        <v>-0.28947368421052633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217</v>
      </c>
      <c r="D13" s="185">
        <v>153</v>
      </c>
      <c r="E13" s="185">
        <f>+D13-C13</f>
        <v>-64</v>
      </c>
      <c r="F13" s="77">
        <f>IF(C13=0,0,+E13/C13)</f>
        <v>-0.29493087557603687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477319</v>
      </c>
      <c r="D15" s="76">
        <v>344715</v>
      </c>
      <c r="E15" s="76">
        <f>+D15-C15</f>
        <v>-132604</v>
      </c>
      <c r="F15" s="77">
        <f>IF(C15=0,0,+E15/C15)</f>
        <v>-0.27781001803825117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2199.6267281105993</v>
      </c>
      <c r="D16" s="79">
        <f>IF(D13=0,0,+D15/+D13)</f>
        <v>2253.0392156862745</v>
      </c>
      <c r="E16" s="79">
        <f>+D16-C16</f>
        <v>53.412487575675186</v>
      </c>
      <c r="F16" s="80">
        <f>IF(C16=0,0,+E16/C16)</f>
        <v>2.4282523435944336E-2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0.47183900000000001</v>
      </c>
      <c r="D18" s="704">
        <v>0.452102</v>
      </c>
      <c r="E18" s="704">
        <f>+D18-C18</f>
        <v>-1.9737000000000005E-2</v>
      </c>
      <c r="F18" s="77">
        <f>IF(C18=0,0,+E18/C18)</f>
        <v>-4.1829946231659539E-2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225217.719641</v>
      </c>
      <c r="D19" s="79">
        <f>+D15*D18</f>
        <v>155846.34093000001</v>
      </c>
      <c r="E19" s="79">
        <f>+D19-C19</f>
        <v>-69371.378710999998</v>
      </c>
      <c r="F19" s="80">
        <f>IF(C19=0,0,+E19/C19)</f>
        <v>-0.30801918615275425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1037.869675764977</v>
      </c>
      <c r="D20" s="79">
        <f>IF(D13=0,0,+D19/D13)</f>
        <v>1018.6035354901961</v>
      </c>
      <c r="E20" s="79">
        <f>+D20-C20</f>
        <v>-19.266140274780923</v>
      </c>
      <c r="F20" s="80">
        <f>IF(C20=0,0,+E20/C20)</f>
        <v>-1.8563159445409688E-2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142016</v>
      </c>
      <c r="D22" s="76">
        <v>113122</v>
      </c>
      <c r="E22" s="76">
        <f>+D22-C22</f>
        <v>-28894</v>
      </c>
      <c r="F22" s="77">
        <f>IF(C22=0,0,+E22/C22)</f>
        <v>-0.20345594862550698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80265</v>
      </c>
      <c r="D23" s="185">
        <v>156701</v>
      </c>
      <c r="E23" s="185">
        <f>+D23-C23</f>
        <v>76436</v>
      </c>
      <c r="F23" s="77">
        <f>IF(C23=0,0,+E23/C23)</f>
        <v>0.95229552108640125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255038</v>
      </c>
      <c r="D24" s="185">
        <v>74892</v>
      </c>
      <c r="E24" s="185">
        <f>+D24-C24</f>
        <v>-180146</v>
      </c>
      <c r="F24" s="77">
        <f>IF(C24=0,0,+E24/C24)</f>
        <v>-0.7063496420141312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477319</v>
      </c>
      <c r="D25" s="79">
        <f>+D22+D23+D24</f>
        <v>344715</v>
      </c>
      <c r="E25" s="79">
        <f>+E22+E23+E24</f>
        <v>-132604</v>
      </c>
      <c r="F25" s="80">
        <f>IF(C25=0,0,+E25/C25)</f>
        <v>-0.27781001803825117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280</v>
      </c>
      <c r="D27" s="185">
        <v>225</v>
      </c>
      <c r="E27" s="185">
        <f>+D27-C27</f>
        <v>-55</v>
      </c>
      <c r="F27" s="77">
        <f>IF(C27=0,0,+E27/C27)</f>
        <v>-0.19642857142857142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62</v>
      </c>
      <c r="D28" s="185">
        <v>46</v>
      </c>
      <c r="E28" s="185">
        <f>+D28-C28</f>
        <v>-16</v>
      </c>
      <c r="F28" s="77">
        <f>IF(C28=0,0,+E28/C28)</f>
        <v>-0.25806451612903225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81</v>
      </c>
      <c r="D29" s="185">
        <v>109</v>
      </c>
      <c r="E29" s="185">
        <f>+D29-C29</f>
        <v>28</v>
      </c>
      <c r="F29" s="77">
        <f>IF(C29=0,0,+E29/C29)</f>
        <v>0.34567901234567899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377</v>
      </c>
      <c r="D30" s="185">
        <v>437</v>
      </c>
      <c r="E30" s="185">
        <f>+D30-C30</f>
        <v>60</v>
      </c>
      <c r="F30" s="77">
        <f>IF(C30=0,0,+E30/C30)</f>
        <v>0.15915119363395225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593580</v>
      </c>
      <c r="D33" s="76">
        <v>484524</v>
      </c>
      <c r="E33" s="76">
        <f>+D33-C33</f>
        <v>-109056</v>
      </c>
      <c r="F33" s="77">
        <f>IF(C33=0,0,+E33/C33)</f>
        <v>-0.18372586677448702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2063409</v>
      </c>
      <c r="D34" s="185">
        <v>2233151</v>
      </c>
      <c r="E34" s="185">
        <f>+D34-C34</f>
        <v>169742</v>
      </c>
      <c r="F34" s="77">
        <f>IF(C34=0,0,+E34/C34)</f>
        <v>8.2262896013344911E-2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1436669</v>
      </c>
      <c r="D35" s="185">
        <v>623870</v>
      </c>
      <c r="E35" s="185">
        <f>+D35-C35</f>
        <v>-812799</v>
      </c>
      <c r="F35" s="77">
        <f>IF(C35=0,0,+E35/C35)</f>
        <v>-0.56575244541366176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4093658</v>
      </c>
      <c r="D36" s="79">
        <f>+D33+D34+D35</f>
        <v>3341545</v>
      </c>
      <c r="E36" s="79">
        <f>+E33+E34+E35</f>
        <v>-752113</v>
      </c>
      <c r="F36" s="80">
        <f>IF(C36=0,0,+E36/C36)</f>
        <v>-0.18372638847700518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477319</v>
      </c>
      <c r="D39" s="76">
        <f>+D25</f>
        <v>344715</v>
      </c>
      <c r="E39" s="76">
        <f>+D39-C39</f>
        <v>-132604</v>
      </c>
      <c r="F39" s="77">
        <f>IF(C39=0,0,+E39/C39)</f>
        <v>-0.27781001803825117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4093658</v>
      </c>
      <c r="D40" s="185">
        <f>+D36</f>
        <v>3341545</v>
      </c>
      <c r="E40" s="185">
        <f>+D40-C40</f>
        <v>-752113</v>
      </c>
      <c r="F40" s="77">
        <f>IF(C40=0,0,+E40/C40)</f>
        <v>-0.18372638847700518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4570977</v>
      </c>
      <c r="D41" s="79">
        <f>+D39+D40</f>
        <v>3686260</v>
      </c>
      <c r="E41" s="79">
        <f>+E39+E40</f>
        <v>-884717</v>
      </c>
      <c r="F41" s="80">
        <f>IF(C41=0,0,+E41/C41)</f>
        <v>-0.1935509629560595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735596</v>
      </c>
      <c r="D43" s="76">
        <f t="shared" si="0"/>
        <v>597646</v>
      </c>
      <c r="E43" s="76">
        <f>+D43-C43</f>
        <v>-137950</v>
      </c>
      <c r="F43" s="77">
        <f>IF(C43=0,0,+E43/C43)</f>
        <v>-0.18753500562808934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2143674</v>
      </c>
      <c r="D44" s="185">
        <f t="shared" si="0"/>
        <v>2389852</v>
      </c>
      <c r="E44" s="185">
        <f>+D44-C44</f>
        <v>246178</v>
      </c>
      <c r="F44" s="77">
        <f>IF(C44=0,0,+E44/C44)</f>
        <v>0.1148392899293456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1691707</v>
      </c>
      <c r="D45" s="185">
        <f t="shared" si="0"/>
        <v>698762</v>
      </c>
      <c r="E45" s="185">
        <f>+D45-C45</f>
        <v>-992945</v>
      </c>
      <c r="F45" s="77">
        <f>IF(C45=0,0,+E45/C45)</f>
        <v>-0.58694856733465073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4570977</v>
      </c>
      <c r="D46" s="79">
        <f>+D43+D44+D45</f>
        <v>3686260</v>
      </c>
      <c r="E46" s="79">
        <f>+E43+E44+E45</f>
        <v>-884717</v>
      </c>
      <c r="F46" s="80">
        <f>IF(C46=0,0,+E46/C46)</f>
        <v>-0.1935509629560595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FILING&amp;RDAY KIMBALL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84758645</v>
      </c>
      <c r="D15" s="76">
        <v>84206186</v>
      </c>
      <c r="E15" s="76">
        <f>+D15-C15</f>
        <v>-552459</v>
      </c>
      <c r="F15" s="77">
        <f>IF(C15=0,0,E15/C15)</f>
        <v>-6.5180253884426775E-3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39787832</v>
      </c>
      <c r="D17" s="76">
        <v>38200932</v>
      </c>
      <c r="E17" s="76">
        <f>+D17-C17</f>
        <v>-1586900</v>
      </c>
      <c r="F17" s="77">
        <f>IF(C17=0,0,E17/C17)</f>
        <v>-3.9884052993890196E-2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44970813</v>
      </c>
      <c r="D19" s="79">
        <f>+D15-D17</f>
        <v>46005254</v>
      </c>
      <c r="E19" s="79">
        <f>+D19-C19</f>
        <v>1034441</v>
      </c>
      <c r="F19" s="80">
        <f>IF(C19=0,0,E19/C19)</f>
        <v>2.3002497197460052E-2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0.4694250598272306</v>
      </c>
      <c r="D21" s="720">
        <f>IF(D15=0,0,D17/D15)</f>
        <v>0.45365944967511057</v>
      </c>
      <c r="E21" s="720">
        <f>+D21-C21</f>
        <v>-1.5765610152120024E-2</v>
      </c>
      <c r="F21" s="80">
        <f>IF(C21=0,0,E21/C21)</f>
        <v>-3.3584935064869509E-2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FILING&amp;R&amp;12DAY KIMBALL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64417573</v>
      </c>
      <c r="D10" s="744">
        <v>71986696</v>
      </c>
      <c r="E10" s="744">
        <v>68641370</v>
      </c>
    </row>
    <row r="11" spans="1:6" ht="26.1" customHeight="1" x14ac:dyDescent="0.25">
      <c r="A11" s="742">
        <v>2</v>
      </c>
      <c r="B11" s="743" t="s">
        <v>931</v>
      </c>
      <c r="C11" s="744">
        <v>160450429</v>
      </c>
      <c r="D11" s="744">
        <v>171581152</v>
      </c>
      <c r="E11" s="744">
        <v>179953301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224868002</v>
      </c>
      <c r="D12" s="744">
        <f>+D11+D10</f>
        <v>243567848</v>
      </c>
      <c r="E12" s="744">
        <f>+E11+E10</f>
        <v>248594671</v>
      </c>
    </row>
    <row r="13" spans="1:6" ht="26.1" customHeight="1" x14ac:dyDescent="0.25">
      <c r="A13" s="742">
        <v>4</v>
      </c>
      <c r="B13" s="743" t="s">
        <v>506</v>
      </c>
      <c r="C13" s="744">
        <v>104847336</v>
      </c>
      <c r="D13" s="744">
        <v>106271224</v>
      </c>
      <c r="E13" s="744">
        <v>107636099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109004882</v>
      </c>
      <c r="D16" s="744">
        <v>111527723</v>
      </c>
      <c r="E16" s="744">
        <v>108420147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16844</v>
      </c>
      <c r="D19" s="747">
        <v>16760</v>
      </c>
      <c r="E19" s="747">
        <v>16237</v>
      </c>
    </row>
    <row r="20" spans="1:5" ht="26.1" customHeight="1" x14ac:dyDescent="0.25">
      <c r="A20" s="742">
        <v>2</v>
      </c>
      <c r="B20" s="743" t="s">
        <v>381</v>
      </c>
      <c r="C20" s="748">
        <v>4511</v>
      </c>
      <c r="D20" s="748">
        <v>4451</v>
      </c>
      <c r="E20" s="748">
        <v>4118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3.7339835956550655</v>
      </c>
      <c r="D21" s="749">
        <f>IF(D20=0,0,+D19/D20)</f>
        <v>3.7654459671983824</v>
      </c>
      <c r="E21" s="749">
        <f>IF(E20=0,0,+E19/E20)</f>
        <v>3.942933462846042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58798.809847865581</v>
      </c>
      <c r="D22" s="748">
        <f>IF(D10=0,0,D19*(D12/D10))</f>
        <v>56707.660711084725</v>
      </c>
      <c r="E22" s="748">
        <f>IF(E10=0,0,E19*(E12/E10))</f>
        <v>58804.649048044936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15746.938448333034</v>
      </c>
      <c r="D23" s="748">
        <f>IF(D10=0,0,D20*(D12/D10))</f>
        <v>15060.011803403229</v>
      </c>
      <c r="E23" s="748">
        <f>IF(E10=0,0,E20*(E12/E10))</f>
        <v>14913.933902805262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1.034710330303702</v>
      </c>
      <c r="D26" s="750">
        <v>1.1618387104021566</v>
      </c>
      <c r="E26" s="750">
        <v>1.132306896551724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17428.660803635557</v>
      </c>
      <c r="D27" s="748">
        <f>D19*D26</f>
        <v>19472.416786340145</v>
      </c>
      <c r="E27" s="748">
        <f>E19*E26</f>
        <v>18385.267079310343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4667.5782999999992</v>
      </c>
      <c r="D28" s="748">
        <f>D20*D26</f>
        <v>5171.3440999999993</v>
      </c>
      <c r="E28" s="748">
        <f>E20*E26</f>
        <v>4662.8397999999997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60839.735959149562</v>
      </c>
      <c r="D29" s="748">
        <f>D22*D26</f>
        <v>65885.155390489716</v>
      </c>
      <c r="E29" s="748">
        <f>E22*E26</f>
        <v>66584.909666405059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16293.519883146737</v>
      </c>
      <c r="D30" s="748">
        <f>D23*D26</f>
        <v>17497.304692307265</v>
      </c>
      <c r="E30" s="748">
        <f>E23*E26</f>
        <v>16887.150212862965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13350.035739729281</v>
      </c>
      <c r="D33" s="744">
        <f>IF(D19=0,0,D12/D19)</f>
        <v>14532.68782816229</v>
      </c>
      <c r="E33" s="744">
        <f>IF(E19=0,0,E12/E19)</f>
        <v>15310.38190552442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49848.81445355797</v>
      </c>
      <c r="D34" s="744">
        <f>IF(D20=0,0,D12/D20)</f>
        <v>54722.05077510672</v>
      </c>
      <c r="E34" s="744">
        <f>IF(E20=0,0,E12/E20)</f>
        <v>60367.817144244778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3824.3631560199478</v>
      </c>
      <c r="D35" s="744">
        <f>IF(D22=0,0,D12/D22)</f>
        <v>4295.1489260143198</v>
      </c>
      <c r="E35" s="744">
        <f>IF(E22=0,0,E12/E22)</f>
        <v>4227.4662807168806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14280.109288406118</v>
      </c>
      <c r="D36" s="744">
        <f>IF(D23=0,0,D12/D23)</f>
        <v>16173.151201977083</v>
      </c>
      <c r="E36" s="744">
        <f>IF(E23=0,0,E12/E23)</f>
        <v>16668.618261291889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3696.0713003584719</v>
      </c>
      <c r="D37" s="744">
        <f>IF(D29=0,0,D12/D29)</f>
        <v>3696.8547248073751</v>
      </c>
      <c r="E37" s="744">
        <f>IF(E29=0,0,E12/E29)</f>
        <v>3733.4986597635448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13801.069603910022</v>
      </c>
      <c r="D38" s="744">
        <f>IF(D30=0,0,D12/D30)</f>
        <v>13920.306714844213</v>
      </c>
      <c r="E38" s="744">
        <f>IF(E30=0,0,E12/E30)</f>
        <v>14720.936799072533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1095.5591306469</v>
      </c>
      <c r="D39" s="744">
        <f>IF(D22=0,0,D10/D22)</f>
        <v>1269.4351185946321</v>
      </c>
      <c r="E39" s="744">
        <f>IF(E22=0,0,E10/E22)</f>
        <v>1167.2779467473431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4090.7998219056494</v>
      </c>
      <c r="D40" s="744">
        <f>IF(D23=0,0,D10/D23)</f>
        <v>4779.9893479321572</v>
      </c>
      <c r="E40" s="744">
        <f>IF(E23=0,0,E10/E23)</f>
        <v>4602.4992766723199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6224.6103063405371</v>
      </c>
      <c r="D43" s="744">
        <f>IF(D19=0,0,D13/D19)</f>
        <v>6340.7651551312647</v>
      </c>
      <c r="E43" s="744">
        <f>IF(E19=0,0,E13/E19)</f>
        <v>6629.0631890127488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23242.592773221015</v>
      </c>
      <c r="D44" s="744">
        <f>IF(D20=0,0,D13/D20)</f>
        <v>23875.808582341047</v>
      </c>
      <c r="E44" s="744">
        <f>IF(E20=0,0,E13/E20)</f>
        <v>26137.95507527926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1783.1540514387809</v>
      </c>
      <c r="D45" s="744">
        <f>IF(D22=0,0,D13/D22)</f>
        <v>1874.0188303910588</v>
      </c>
      <c r="E45" s="744">
        <f>IF(E22=0,0,E13/E22)</f>
        <v>1830.401179880497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6658.2679765982766</v>
      </c>
      <c r="D46" s="744">
        <f>IF(D23=0,0,D13/D23)</f>
        <v>7056.5166473498421</v>
      </c>
      <c r="E46" s="744">
        <f>IF(E23=0,0,E13/E23)</f>
        <v>7217.1500625836889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1723.3364732285993</v>
      </c>
      <c r="D47" s="744">
        <f>IF(D29=0,0,D13/D29)</f>
        <v>1612.9767528079606</v>
      </c>
      <c r="E47" s="744">
        <f>IF(E29=0,0,E13/E29)</f>
        <v>1616.5239171948149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6434.9101208296452</v>
      </c>
      <c r="D48" s="744">
        <f>IF(D30=0,0,D13/D30)</f>
        <v>6073.5768090454767</v>
      </c>
      <c r="E48" s="744">
        <f>IF(E30=0,0,E13/E30)</f>
        <v>6373.8462465984012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6471.4368321063885</v>
      </c>
      <c r="D51" s="744">
        <f>IF(D19=0,0,D16/D19)</f>
        <v>6654.3987470167067</v>
      </c>
      <c r="E51" s="744">
        <f>IF(E19=0,0,E16/E19)</f>
        <v>6677.3509268953621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24164.238971403236</v>
      </c>
      <c r="D52" s="744">
        <f>IF(D20=0,0,D16/D20)</f>
        <v>25056.778926084025</v>
      </c>
      <c r="E52" s="744">
        <f>IF(E20=0,0,E16/E20)</f>
        <v>26328.350412821757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1853.8620472427287</v>
      </c>
      <c r="D53" s="744">
        <f>IF(D22=0,0,D16/D22)</f>
        <v>1966.7135198578121</v>
      </c>
      <c r="E53" s="744">
        <f>IF(E22=0,0,E16/E22)</f>
        <v>1843.7342753532616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6922.2904730118653</v>
      </c>
      <c r="D54" s="744">
        <f>IF(D23=0,0,D16/D23)</f>
        <v>7405.5534919831343</v>
      </c>
      <c r="E54" s="744">
        <f>IF(E23=0,0,E16/E23)</f>
        <v>7269.7215708865742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1791.6725028719816</v>
      </c>
      <c r="D55" s="744">
        <f>IF(D29=0,0,D16/D29)</f>
        <v>1692.7595046106337</v>
      </c>
      <c r="E55" s="744">
        <f>IF(E29=0,0,E16/E29)</f>
        <v>1628.2990777218492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6690.0757345102338</v>
      </c>
      <c r="D56" s="744">
        <f>IF(D30=0,0,D16/D30)</f>
        <v>6373.9944500728416</v>
      </c>
      <c r="E56" s="744">
        <f>IF(E30=0,0,E16/E30)</f>
        <v>6420.2749210708289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16787759</v>
      </c>
      <c r="D59" s="752">
        <v>16595516</v>
      </c>
      <c r="E59" s="752">
        <v>15501940</v>
      </c>
    </row>
    <row r="60" spans="1:6" ht="26.1" customHeight="1" x14ac:dyDescent="0.25">
      <c r="A60" s="742">
        <v>2</v>
      </c>
      <c r="B60" s="743" t="s">
        <v>967</v>
      </c>
      <c r="C60" s="752">
        <v>6015407</v>
      </c>
      <c r="D60" s="752">
        <v>5698238</v>
      </c>
      <c r="E60" s="752">
        <v>4664017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22803166</v>
      </c>
      <c r="D61" s="755">
        <f>D59+D60</f>
        <v>22293754</v>
      </c>
      <c r="E61" s="755">
        <f>E59+E60</f>
        <v>20165957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1080913</v>
      </c>
      <c r="D64" s="744">
        <v>954964</v>
      </c>
      <c r="E64" s="752">
        <v>740061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387314</v>
      </c>
      <c r="D65" s="752">
        <v>327897</v>
      </c>
      <c r="E65" s="752">
        <v>222660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1468227</v>
      </c>
      <c r="D66" s="757">
        <f>D64+D65</f>
        <v>1282861</v>
      </c>
      <c r="E66" s="757">
        <f>E64+E65</f>
        <v>962721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29778061</v>
      </c>
      <c r="D69" s="752">
        <v>29020212</v>
      </c>
      <c r="E69" s="752">
        <v>27562809</v>
      </c>
    </row>
    <row r="70" spans="1:6" ht="26.1" customHeight="1" x14ac:dyDescent="0.25">
      <c r="A70" s="742">
        <v>2</v>
      </c>
      <c r="B70" s="743" t="s">
        <v>975</v>
      </c>
      <c r="C70" s="752">
        <v>10670104</v>
      </c>
      <c r="D70" s="752">
        <v>9964383</v>
      </c>
      <c r="E70" s="752">
        <v>8292729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40448165</v>
      </c>
      <c r="D71" s="755">
        <f>D69+D70</f>
        <v>38984595</v>
      </c>
      <c r="E71" s="755">
        <f>E69+E70</f>
        <v>35855538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47646733</v>
      </c>
      <c r="D75" s="744">
        <f t="shared" si="0"/>
        <v>46570692</v>
      </c>
      <c r="E75" s="744">
        <f t="shared" si="0"/>
        <v>43804810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17072825</v>
      </c>
      <c r="D76" s="744">
        <f t="shared" si="0"/>
        <v>15990518</v>
      </c>
      <c r="E76" s="744">
        <f t="shared" si="0"/>
        <v>13179406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64719558</v>
      </c>
      <c r="D77" s="757">
        <f>D75+D76</f>
        <v>62561210</v>
      </c>
      <c r="E77" s="757">
        <f>E75+E76</f>
        <v>56984216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276.39999999999998</v>
      </c>
      <c r="D80" s="749">
        <v>271.10000000000002</v>
      </c>
      <c r="E80" s="749">
        <v>256.89999999999998</v>
      </c>
    </row>
    <row r="81" spans="1:5" ht="26.1" customHeight="1" x14ac:dyDescent="0.25">
      <c r="A81" s="742">
        <v>2</v>
      </c>
      <c r="B81" s="743" t="s">
        <v>616</v>
      </c>
      <c r="C81" s="749">
        <v>5</v>
      </c>
      <c r="D81" s="749">
        <v>4.2</v>
      </c>
      <c r="E81" s="749">
        <v>3.6</v>
      </c>
    </row>
    <row r="82" spans="1:5" ht="26.1" customHeight="1" x14ac:dyDescent="0.25">
      <c r="A82" s="742">
        <v>3</v>
      </c>
      <c r="B82" s="743" t="s">
        <v>981</v>
      </c>
      <c r="C82" s="749">
        <v>502.5</v>
      </c>
      <c r="D82" s="749">
        <v>482.8</v>
      </c>
      <c r="E82" s="749">
        <v>441.7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783.9</v>
      </c>
      <c r="D83" s="759">
        <f>D80+D81+D82</f>
        <v>758.1</v>
      </c>
      <c r="E83" s="759">
        <f>E80+E81+E82</f>
        <v>702.2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60737.188856729386</v>
      </c>
      <c r="D86" s="752">
        <f>IF(D80=0,0,D59/D80)</f>
        <v>61215.477683511614</v>
      </c>
      <c r="E86" s="752">
        <f>IF(E80=0,0,E59/E80)</f>
        <v>60342.312183729082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21763.411722141824</v>
      </c>
      <c r="D87" s="752">
        <f>IF(D80=0,0,D60/D80)</f>
        <v>21018.952416082626</v>
      </c>
      <c r="E87" s="752">
        <f>IF(E80=0,0,E60/E80)</f>
        <v>18154.990268587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82500.600578871206</v>
      </c>
      <c r="D88" s="755">
        <f>+D86+D87</f>
        <v>82234.430099594232</v>
      </c>
      <c r="E88" s="755">
        <f>+E86+E87</f>
        <v>78497.302452316086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216182.6</v>
      </c>
      <c r="D91" s="744">
        <f>IF(D81=0,0,D64/D81)</f>
        <v>227372.38095238095</v>
      </c>
      <c r="E91" s="744">
        <f>IF(E81=0,0,E64/E81)</f>
        <v>205572.5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77462.8</v>
      </c>
      <c r="D92" s="744">
        <f>IF(D81=0,0,D65/D81)</f>
        <v>78070.714285714275</v>
      </c>
      <c r="E92" s="744">
        <f>IF(E81=0,0,E65/E81)</f>
        <v>61850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293645.40000000002</v>
      </c>
      <c r="D93" s="757">
        <f>+D91+D92</f>
        <v>305443.09523809521</v>
      </c>
      <c r="E93" s="757">
        <f>+E91+E92</f>
        <v>267422.5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59259.822885572139</v>
      </c>
      <c r="D96" s="752">
        <f>IF(D82=0,0,D69/D82)</f>
        <v>60108.144159072079</v>
      </c>
      <c r="E96" s="752">
        <f>IF(E82=0,0,E69/E82)</f>
        <v>62401.650441476115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21234.037810945272</v>
      </c>
      <c r="D97" s="752">
        <f>IF(D82=0,0,D70/D82)</f>
        <v>20638.738608119304</v>
      </c>
      <c r="E97" s="752">
        <f>IF(E82=0,0,E70/E82)</f>
        <v>18774.573239755489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80493.860696517411</v>
      </c>
      <c r="D98" s="757">
        <f>+D96+D97</f>
        <v>80746.88276719139</v>
      </c>
      <c r="E98" s="757">
        <f>+E96+E97</f>
        <v>81176.223681231611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60781.646893736448</v>
      </c>
      <c r="D101" s="744">
        <f>IF(D83=0,0,D75/D83)</f>
        <v>61430.803324099725</v>
      </c>
      <c r="E101" s="744">
        <f>IF(E83=0,0,E75/E83)</f>
        <v>62382.241526630583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21779.340477101672</v>
      </c>
      <c r="D102" s="761">
        <f>IF(D83=0,0,D76/D83)</f>
        <v>21092.887481862552</v>
      </c>
      <c r="E102" s="761">
        <f>IF(E83=0,0,E76/E83)</f>
        <v>18768.73540301908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82560.98737083812</v>
      </c>
      <c r="D103" s="757">
        <f>+D101+D102</f>
        <v>82523.69080596228</v>
      </c>
      <c r="E103" s="757">
        <f>+E101+E102</f>
        <v>81150.976929649667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3842.2914984564236</v>
      </c>
      <c r="D108" s="744">
        <f>IF(D19=0,0,D77/D19)</f>
        <v>3732.7690930787589</v>
      </c>
      <c r="E108" s="744">
        <f>IF(E19=0,0,E77/E19)</f>
        <v>3509.5286075013855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14347.053424961206</v>
      </c>
      <c r="D109" s="744">
        <f>IF(D20=0,0,D77/D20)</f>
        <v>14055.540328016175</v>
      </c>
      <c r="E109" s="744">
        <f>IF(E20=0,0,E77/E20)</f>
        <v>13837.837785332686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1100.6950339208158</v>
      </c>
      <c r="D110" s="744">
        <f>IF(D22=0,0,D77/D22)</f>
        <v>1103.2232544159783</v>
      </c>
      <c r="E110" s="744">
        <f>IF(E22=0,0,E77/E22)</f>
        <v>969.04270193743366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4109.9772004793222</v>
      </c>
      <c r="D111" s="744">
        <f>IF(D23=0,0,D77/D23)</f>
        <v>4154.1275542601206</v>
      </c>
      <c r="E111" s="744">
        <f>IF(E23=0,0,E77/E23)</f>
        <v>3820.8708963958502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1063.7711847312341</v>
      </c>
      <c r="D112" s="744">
        <f>IF(D29=0,0,D77/D29)</f>
        <v>949.54940349173842</v>
      </c>
      <c r="E112" s="744">
        <f>IF(E29=0,0,E77/E29)</f>
        <v>855.81277027324677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3972.1041533169832</v>
      </c>
      <c r="D113" s="744">
        <f>IF(D30=0,0,D77/D30)</f>
        <v>3575.4769720335953</v>
      </c>
      <c r="E113" s="744">
        <f>IF(E30=0,0,E77/E30)</f>
        <v>3374.4128098413576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59" fitToHeight="5" orientation="portrait" horizontalDpi="1200" verticalDpi="1200" r:id="rId1"/>
  <headerFooter>
    <oddHeader>&amp;L&amp;"Arial,Bold"&amp;12OFFICE OF HEALTH CARE ACCESS&amp;C&amp;"Arial,Bold"&amp;12TWELVE MONTHS ACTUAL FILING&amp;R&amp;"Arial,Bold"&amp;12DAY KIMBALL HOSPITAL</oddHeader>
    <oddFooter>&amp;L&amp;"Arial,Bold"&amp;12REPORT 700&amp;C&amp;"Arial,Bold"&amp;12PAGE &amp;P of &amp;N&amp;R&amp;"Arial,Bold"&amp;12&amp;D, &amp;T</oddFooter>
  </headerFooter>
  <rowBreaks count="2" manualBreakCount="2">
    <brk id="40" max="4" man="1"/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243567842</v>
      </c>
      <c r="D12" s="76">
        <v>248594674</v>
      </c>
      <c r="E12" s="76">
        <f t="shared" ref="E12:E21" si="0">D12-C12</f>
        <v>5026832</v>
      </c>
      <c r="F12" s="77">
        <f t="shared" ref="F12:F21" si="1">IF(C12=0,0,E12/C12)</f>
        <v>2.063832383915443E-2</v>
      </c>
    </row>
    <row r="13" spans="1:8" ht="23.1" customHeight="1" x14ac:dyDescent="0.2">
      <c r="A13" s="74">
        <v>2</v>
      </c>
      <c r="B13" s="75" t="s">
        <v>72</v>
      </c>
      <c r="C13" s="76">
        <v>132647214</v>
      </c>
      <c r="D13" s="76">
        <v>137153497</v>
      </c>
      <c r="E13" s="76">
        <f t="shared" si="0"/>
        <v>4506283</v>
      </c>
      <c r="F13" s="77">
        <f t="shared" si="1"/>
        <v>3.3971938528614708E-2</v>
      </c>
    </row>
    <row r="14" spans="1:8" ht="23.1" customHeight="1" x14ac:dyDescent="0.2">
      <c r="A14" s="74">
        <v>3</v>
      </c>
      <c r="B14" s="75" t="s">
        <v>73</v>
      </c>
      <c r="C14" s="76">
        <v>477319</v>
      </c>
      <c r="D14" s="76">
        <v>344715</v>
      </c>
      <c r="E14" s="76">
        <f t="shared" si="0"/>
        <v>-132604</v>
      </c>
      <c r="F14" s="77">
        <f t="shared" si="1"/>
        <v>-0.27781001803825117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110443309</v>
      </c>
      <c r="D16" s="79">
        <f>D12-D13-D14-D15</f>
        <v>111096462</v>
      </c>
      <c r="E16" s="79">
        <f t="shared" si="0"/>
        <v>653153</v>
      </c>
      <c r="F16" s="80">
        <f t="shared" si="1"/>
        <v>5.9139209601190056E-3</v>
      </c>
    </row>
    <row r="17" spans="1:7" ht="23.1" customHeight="1" x14ac:dyDescent="0.2">
      <c r="A17" s="74">
        <v>5</v>
      </c>
      <c r="B17" s="75" t="s">
        <v>76</v>
      </c>
      <c r="C17" s="76">
        <v>4172085</v>
      </c>
      <c r="D17" s="76">
        <v>3460363</v>
      </c>
      <c r="E17" s="76">
        <f t="shared" si="0"/>
        <v>-711722</v>
      </c>
      <c r="F17" s="77">
        <f t="shared" si="1"/>
        <v>-0.17059144288766886</v>
      </c>
      <c r="G17" s="65"/>
    </row>
    <row r="18" spans="1:7" ht="31.5" customHeight="1" x14ac:dyDescent="0.25">
      <c r="A18" s="71"/>
      <c r="B18" s="81" t="s">
        <v>77</v>
      </c>
      <c r="C18" s="79">
        <f>C16-C17</f>
        <v>106271224</v>
      </c>
      <c r="D18" s="79">
        <f>D16-D17</f>
        <v>107636099</v>
      </c>
      <c r="E18" s="79">
        <f t="shared" si="0"/>
        <v>1364875</v>
      </c>
      <c r="F18" s="80">
        <f t="shared" si="1"/>
        <v>1.2843316832409872E-2</v>
      </c>
    </row>
    <row r="19" spans="1:7" ht="23.1" customHeight="1" x14ac:dyDescent="0.2">
      <c r="A19" s="74">
        <v>6</v>
      </c>
      <c r="B19" s="75" t="s">
        <v>78</v>
      </c>
      <c r="C19" s="76">
        <v>3119128</v>
      </c>
      <c r="D19" s="76">
        <v>5943981</v>
      </c>
      <c r="E19" s="76">
        <f t="shared" si="0"/>
        <v>2824853</v>
      </c>
      <c r="F19" s="77">
        <f t="shared" si="1"/>
        <v>0.90565472144778925</v>
      </c>
      <c r="G19" s="65"/>
    </row>
    <row r="20" spans="1:7" ht="33" customHeight="1" x14ac:dyDescent="0.2">
      <c r="A20" s="74">
        <v>7</v>
      </c>
      <c r="B20" s="82" t="s">
        <v>79</v>
      </c>
      <c r="C20" s="76">
        <v>279620</v>
      </c>
      <c r="D20" s="76">
        <v>495129</v>
      </c>
      <c r="E20" s="76">
        <f t="shared" si="0"/>
        <v>215509</v>
      </c>
      <c r="F20" s="77">
        <f t="shared" si="1"/>
        <v>0.7707209784707818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109669972</v>
      </c>
      <c r="D21" s="79">
        <f>SUM(D18:D20)</f>
        <v>114075209</v>
      </c>
      <c r="E21" s="79">
        <f t="shared" si="0"/>
        <v>4405237</v>
      </c>
      <c r="F21" s="80">
        <f t="shared" si="1"/>
        <v>4.0168123686582138E-2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46570692</v>
      </c>
      <c r="D24" s="76">
        <v>43804810</v>
      </c>
      <c r="E24" s="76">
        <f t="shared" ref="E24:E33" si="2">D24-C24</f>
        <v>-2765882</v>
      </c>
      <c r="F24" s="77">
        <f t="shared" ref="F24:F33" si="3">IF(C24=0,0,E24/C24)</f>
        <v>-5.939104362030953E-2</v>
      </c>
    </row>
    <row r="25" spans="1:7" ht="23.1" customHeight="1" x14ac:dyDescent="0.2">
      <c r="A25" s="74">
        <v>2</v>
      </c>
      <c r="B25" s="75" t="s">
        <v>83</v>
      </c>
      <c r="C25" s="76">
        <v>15990518</v>
      </c>
      <c r="D25" s="76">
        <v>13179406</v>
      </c>
      <c r="E25" s="76">
        <f t="shared" si="2"/>
        <v>-2811112</v>
      </c>
      <c r="F25" s="77">
        <f t="shared" si="3"/>
        <v>-0.17579868269433171</v>
      </c>
    </row>
    <row r="26" spans="1:7" ht="23.1" customHeight="1" x14ac:dyDescent="0.2">
      <c r="A26" s="74">
        <v>3</v>
      </c>
      <c r="B26" s="75" t="s">
        <v>84</v>
      </c>
      <c r="C26" s="76">
        <v>2335350</v>
      </c>
      <c r="D26" s="76">
        <v>2545490</v>
      </c>
      <c r="E26" s="76">
        <f t="shared" si="2"/>
        <v>210140</v>
      </c>
      <c r="F26" s="77">
        <f t="shared" si="3"/>
        <v>8.9982229644378783E-2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14426253</v>
      </c>
      <c r="D27" s="76">
        <v>14590968</v>
      </c>
      <c r="E27" s="76">
        <f t="shared" si="2"/>
        <v>164715</v>
      </c>
      <c r="F27" s="77">
        <f t="shared" si="3"/>
        <v>1.1417725725453449E-2</v>
      </c>
    </row>
    <row r="28" spans="1:7" ht="23.1" customHeight="1" x14ac:dyDescent="0.2">
      <c r="A28" s="74">
        <v>5</v>
      </c>
      <c r="B28" s="75" t="s">
        <v>86</v>
      </c>
      <c r="C28" s="76">
        <v>5804468</v>
      </c>
      <c r="D28" s="76">
        <v>5706878</v>
      </c>
      <c r="E28" s="76">
        <f t="shared" si="2"/>
        <v>-97590</v>
      </c>
      <c r="F28" s="77">
        <f t="shared" si="3"/>
        <v>-1.6812910330455781E-2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1451212</v>
      </c>
      <c r="D30" s="76">
        <v>1684933</v>
      </c>
      <c r="E30" s="76">
        <f t="shared" si="2"/>
        <v>233721</v>
      </c>
      <c r="F30" s="77">
        <f t="shared" si="3"/>
        <v>0.16105227906053698</v>
      </c>
    </row>
    <row r="31" spans="1:7" ht="23.1" customHeight="1" x14ac:dyDescent="0.2">
      <c r="A31" s="74">
        <v>8</v>
      </c>
      <c r="B31" s="75" t="s">
        <v>89</v>
      </c>
      <c r="C31" s="76">
        <v>331712</v>
      </c>
      <c r="D31" s="76">
        <v>361916</v>
      </c>
      <c r="E31" s="76">
        <f t="shared" si="2"/>
        <v>30204</v>
      </c>
      <c r="F31" s="77">
        <f t="shared" si="3"/>
        <v>9.1054890989774262E-2</v>
      </c>
    </row>
    <row r="32" spans="1:7" ht="23.1" customHeight="1" x14ac:dyDescent="0.2">
      <c r="A32" s="74">
        <v>9</v>
      </c>
      <c r="B32" s="75" t="s">
        <v>90</v>
      </c>
      <c r="C32" s="76">
        <v>24617518</v>
      </c>
      <c r="D32" s="76">
        <v>26545746</v>
      </c>
      <c r="E32" s="76">
        <f t="shared" si="2"/>
        <v>1928228</v>
      </c>
      <c r="F32" s="77">
        <f t="shared" si="3"/>
        <v>7.8327473955741592E-2</v>
      </c>
    </row>
    <row r="33" spans="1:6" ht="23.1" customHeight="1" x14ac:dyDescent="0.25">
      <c r="A33" s="71"/>
      <c r="B33" s="78" t="s">
        <v>91</v>
      </c>
      <c r="C33" s="79">
        <f>SUM(C24:C32)</f>
        <v>111527723</v>
      </c>
      <c r="D33" s="79">
        <f>SUM(D24:D32)</f>
        <v>108420147</v>
      </c>
      <c r="E33" s="79">
        <f t="shared" si="2"/>
        <v>-3107576</v>
      </c>
      <c r="F33" s="80">
        <f t="shared" si="3"/>
        <v>-2.7863708828700824E-2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-1857751</v>
      </c>
      <c r="D35" s="79">
        <f>+D21-D33</f>
        <v>5655062</v>
      </c>
      <c r="E35" s="79">
        <f>D35-C35</f>
        <v>7512813</v>
      </c>
      <c r="F35" s="80">
        <f>IF(C35=0,0,E35/C35)</f>
        <v>-4.0440365797138584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1022028</v>
      </c>
      <c r="D38" s="76">
        <v>512784</v>
      </c>
      <c r="E38" s="76">
        <f>D38-C38</f>
        <v>-509244</v>
      </c>
      <c r="F38" s="77">
        <f>IF(C38=0,0,E38/C38)</f>
        <v>-0.4982681492092193</v>
      </c>
    </row>
    <row r="39" spans="1:6" ht="23.1" customHeight="1" x14ac:dyDescent="0.2">
      <c r="A39" s="85">
        <v>2</v>
      </c>
      <c r="B39" s="75" t="s">
        <v>95</v>
      </c>
      <c r="C39" s="76">
        <v>258802</v>
      </c>
      <c r="D39" s="76">
        <v>133898</v>
      </c>
      <c r="E39" s="76">
        <f>D39-C39</f>
        <v>-124904</v>
      </c>
      <c r="F39" s="77">
        <f>IF(C39=0,0,E39/C39)</f>
        <v>-0.48262378188731153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1280830</v>
      </c>
      <c r="D41" s="79">
        <f>SUM(D38:D40)</f>
        <v>646682</v>
      </c>
      <c r="E41" s="79">
        <f>D41-C41</f>
        <v>-634148</v>
      </c>
      <c r="F41" s="80">
        <f>IF(C41=0,0,E41/C41)</f>
        <v>-0.49510707900345868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-576921</v>
      </c>
      <c r="D43" s="79">
        <f>D35+D41</f>
        <v>6301744</v>
      </c>
      <c r="E43" s="79">
        <f>D43-C43</f>
        <v>6878665</v>
      </c>
      <c r="F43" s="80">
        <f>IF(C43=0,0,E43/C43)</f>
        <v>-11.923062256357456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-576921</v>
      </c>
      <c r="D50" s="79">
        <f>D43+D48</f>
        <v>6301744</v>
      </c>
      <c r="E50" s="79">
        <f>D50-C50</f>
        <v>6878665</v>
      </c>
      <c r="F50" s="80">
        <f>IF(C50=0,0,E50/C50)</f>
        <v>-11.923062256357456</v>
      </c>
    </row>
    <row r="51" spans="1:6" ht="23.1" customHeight="1" x14ac:dyDescent="0.2">
      <c r="A51" s="85"/>
      <c r="B51" s="75" t="s">
        <v>104</v>
      </c>
      <c r="C51" s="76">
        <v>845833</v>
      </c>
      <c r="D51" s="76">
        <v>1058333</v>
      </c>
      <c r="E51" s="76">
        <f>D51-C51</f>
        <v>212500</v>
      </c>
      <c r="F51" s="77">
        <f>IF(C51=0,0,E51/C51)</f>
        <v>0.25123162610113342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FILING&amp;RDAY KIMBALL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6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30445092</v>
      </c>
      <c r="D14" s="113">
        <v>27119662</v>
      </c>
      <c r="E14" s="113">
        <f t="shared" ref="E14:E25" si="0">D14-C14</f>
        <v>-3325430</v>
      </c>
      <c r="F14" s="114">
        <f t="shared" ref="F14:F25" si="1">IF(C14=0,0,E14/C14)</f>
        <v>-0.10922712928573183</v>
      </c>
    </row>
    <row r="15" spans="1:6" x14ac:dyDescent="0.2">
      <c r="A15" s="115">
        <v>2</v>
      </c>
      <c r="B15" s="116" t="s">
        <v>114</v>
      </c>
      <c r="C15" s="113">
        <v>9696585</v>
      </c>
      <c r="D15" s="113">
        <v>9321252</v>
      </c>
      <c r="E15" s="113">
        <f t="shared" si="0"/>
        <v>-375333</v>
      </c>
      <c r="F15" s="114">
        <f t="shared" si="1"/>
        <v>-3.8707751234068492E-2</v>
      </c>
    </row>
    <row r="16" spans="1:6" x14ac:dyDescent="0.2">
      <c r="A16" s="115">
        <v>3</v>
      </c>
      <c r="B16" s="116" t="s">
        <v>115</v>
      </c>
      <c r="C16" s="113">
        <v>15745951</v>
      </c>
      <c r="D16" s="113">
        <v>15576711</v>
      </c>
      <c r="E16" s="113">
        <f t="shared" si="0"/>
        <v>-169240</v>
      </c>
      <c r="F16" s="114">
        <f t="shared" si="1"/>
        <v>-1.0748159955533966E-2</v>
      </c>
    </row>
    <row r="17" spans="1:6" x14ac:dyDescent="0.2">
      <c r="A17" s="115">
        <v>4</v>
      </c>
      <c r="B17" s="116" t="s">
        <v>116</v>
      </c>
      <c r="C17" s="113">
        <v>280455</v>
      </c>
      <c r="D17" s="113">
        <v>0</v>
      </c>
      <c r="E17" s="113">
        <f t="shared" si="0"/>
        <v>-280455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327155</v>
      </c>
      <c r="D18" s="113">
        <v>393648</v>
      </c>
      <c r="E18" s="113">
        <f t="shared" si="0"/>
        <v>66493</v>
      </c>
      <c r="F18" s="114">
        <f t="shared" si="1"/>
        <v>0.20324616771866547</v>
      </c>
    </row>
    <row r="19" spans="1:6" x14ac:dyDescent="0.2">
      <c r="A19" s="115">
        <v>6</v>
      </c>
      <c r="B19" s="116" t="s">
        <v>118</v>
      </c>
      <c r="C19" s="113">
        <v>14548613</v>
      </c>
      <c r="D19" s="113">
        <v>15789078</v>
      </c>
      <c r="E19" s="113">
        <f t="shared" si="0"/>
        <v>1240465</v>
      </c>
      <c r="F19" s="114">
        <f t="shared" si="1"/>
        <v>8.5263454323790178E-2</v>
      </c>
    </row>
    <row r="20" spans="1:6" x14ac:dyDescent="0.2">
      <c r="A20" s="115">
        <v>7</v>
      </c>
      <c r="B20" s="116" t="s">
        <v>119</v>
      </c>
      <c r="C20" s="113">
        <v>382798</v>
      </c>
      <c r="D20" s="113">
        <v>0</v>
      </c>
      <c r="E20" s="113">
        <f t="shared" si="0"/>
        <v>-382798</v>
      </c>
      <c r="F20" s="114">
        <f t="shared" si="1"/>
        <v>-1</v>
      </c>
    </row>
    <row r="21" spans="1:6" x14ac:dyDescent="0.2">
      <c r="A21" s="115">
        <v>8</v>
      </c>
      <c r="B21" s="116" t="s">
        <v>120</v>
      </c>
      <c r="C21" s="113">
        <v>200366</v>
      </c>
      <c r="D21" s="113">
        <v>177169</v>
      </c>
      <c r="E21" s="113">
        <f t="shared" si="0"/>
        <v>-23197</v>
      </c>
      <c r="F21" s="114">
        <f t="shared" si="1"/>
        <v>-0.11577313516265235</v>
      </c>
    </row>
    <row r="22" spans="1:6" x14ac:dyDescent="0.2">
      <c r="A22" s="115">
        <v>9</v>
      </c>
      <c r="B22" s="116" t="s">
        <v>121</v>
      </c>
      <c r="C22" s="113">
        <v>359681</v>
      </c>
      <c r="D22" s="113">
        <v>263850</v>
      </c>
      <c r="E22" s="113">
        <f t="shared" si="0"/>
        <v>-95831</v>
      </c>
      <c r="F22" s="114">
        <f t="shared" si="1"/>
        <v>-0.2664333117401253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71986696</v>
      </c>
      <c r="D25" s="119">
        <f>SUM(D14:D24)</f>
        <v>68641370</v>
      </c>
      <c r="E25" s="119">
        <f t="shared" si="0"/>
        <v>-3345326</v>
      </c>
      <c r="F25" s="120">
        <f t="shared" si="1"/>
        <v>-4.6471448002003035E-2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50211493</v>
      </c>
      <c r="D27" s="113">
        <v>55471299</v>
      </c>
      <c r="E27" s="113">
        <f t="shared" ref="E27:E38" si="2">D27-C27</f>
        <v>5259806</v>
      </c>
      <c r="F27" s="114">
        <f t="shared" ref="F27:F38" si="3">IF(C27=0,0,E27/C27)</f>
        <v>0.10475302935126825</v>
      </c>
    </row>
    <row r="28" spans="1:6" x14ac:dyDescent="0.2">
      <c r="A28" s="115">
        <v>2</v>
      </c>
      <c r="B28" s="116" t="s">
        <v>114</v>
      </c>
      <c r="C28" s="113">
        <v>15254018</v>
      </c>
      <c r="D28" s="113">
        <v>18176052</v>
      </c>
      <c r="E28" s="113">
        <f t="shared" si="2"/>
        <v>2922034</v>
      </c>
      <c r="F28" s="114">
        <f t="shared" si="3"/>
        <v>0.19155831597943571</v>
      </c>
    </row>
    <row r="29" spans="1:6" x14ac:dyDescent="0.2">
      <c r="A29" s="115">
        <v>3</v>
      </c>
      <c r="B29" s="116" t="s">
        <v>115</v>
      </c>
      <c r="C29" s="113">
        <v>37584895</v>
      </c>
      <c r="D29" s="113">
        <v>37158495</v>
      </c>
      <c r="E29" s="113">
        <f t="shared" si="2"/>
        <v>-426400</v>
      </c>
      <c r="F29" s="114">
        <f t="shared" si="3"/>
        <v>-1.1344983137507767E-2</v>
      </c>
    </row>
    <row r="30" spans="1:6" x14ac:dyDescent="0.2">
      <c r="A30" s="115">
        <v>4</v>
      </c>
      <c r="B30" s="116" t="s">
        <v>116</v>
      </c>
      <c r="C30" s="113">
        <v>509988</v>
      </c>
      <c r="D30" s="113">
        <v>0</v>
      </c>
      <c r="E30" s="113">
        <f t="shared" si="2"/>
        <v>-509988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1101740</v>
      </c>
      <c r="D31" s="113">
        <v>1171366</v>
      </c>
      <c r="E31" s="113">
        <f t="shared" si="2"/>
        <v>69626</v>
      </c>
      <c r="F31" s="114">
        <f t="shared" si="3"/>
        <v>6.3196398424310629E-2</v>
      </c>
    </row>
    <row r="32" spans="1:6" x14ac:dyDescent="0.2">
      <c r="A32" s="115">
        <v>6</v>
      </c>
      <c r="B32" s="116" t="s">
        <v>118</v>
      </c>
      <c r="C32" s="113">
        <v>60837942</v>
      </c>
      <c r="D32" s="113">
        <v>63926142</v>
      </c>
      <c r="E32" s="113">
        <f t="shared" si="2"/>
        <v>3088200</v>
      </c>
      <c r="F32" s="114">
        <f t="shared" si="3"/>
        <v>5.0761085902609922E-2</v>
      </c>
    </row>
    <row r="33" spans="1:6" x14ac:dyDescent="0.2">
      <c r="A33" s="115">
        <v>7</v>
      </c>
      <c r="B33" s="116" t="s">
        <v>119</v>
      </c>
      <c r="C33" s="113">
        <v>1571127</v>
      </c>
      <c r="D33" s="113">
        <v>0</v>
      </c>
      <c r="E33" s="113">
        <f t="shared" si="2"/>
        <v>-1571127</v>
      </c>
      <c r="F33" s="114">
        <f t="shared" si="3"/>
        <v>-1</v>
      </c>
    </row>
    <row r="34" spans="1:6" x14ac:dyDescent="0.2">
      <c r="A34" s="115">
        <v>8</v>
      </c>
      <c r="B34" s="116" t="s">
        <v>120</v>
      </c>
      <c r="C34" s="113">
        <v>2161780</v>
      </c>
      <c r="D34" s="113">
        <v>2086951</v>
      </c>
      <c r="E34" s="113">
        <f t="shared" si="2"/>
        <v>-74829</v>
      </c>
      <c r="F34" s="114">
        <f t="shared" si="3"/>
        <v>-3.461453061828678E-2</v>
      </c>
    </row>
    <row r="35" spans="1:6" x14ac:dyDescent="0.2">
      <c r="A35" s="115">
        <v>9</v>
      </c>
      <c r="B35" s="116" t="s">
        <v>121</v>
      </c>
      <c r="C35" s="113">
        <v>2348169</v>
      </c>
      <c r="D35" s="113">
        <v>1962996</v>
      </c>
      <c r="E35" s="113">
        <f t="shared" si="2"/>
        <v>-385173</v>
      </c>
      <c r="F35" s="114">
        <f t="shared" si="3"/>
        <v>-0.16403120899730811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171581152</v>
      </c>
      <c r="D38" s="119">
        <f>SUM(D27:D37)</f>
        <v>179953301</v>
      </c>
      <c r="E38" s="119">
        <f t="shared" si="2"/>
        <v>8372149</v>
      </c>
      <c r="F38" s="120">
        <f t="shared" si="3"/>
        <v>4.8794106476217153E-2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80656585</v>
      </c>
      <c r="D41" s="119">
        <f t="shared" si="4"/>
        <v>82590961</v>
      </c>
      <c r="E41" s="123">
        <f t="shared" ref="E41:E52" si="5">D41-C41</f>
        <v>1934376</v>
      </c>
      <c r="F41" s="124">
        <f t="shared" ref="F41:F52" si="6">IF(C41=0,0,E41/C41)</f>
        <v>2.3982865131222702E-2</v>
      </c>
    </row>
    <row r="42" spans="1:6" ht="15.75" x14ac:dyDescent="0.25">
      <c r="A42" s="121">
        <v>2</v>
      </c>
      <c r="B42" s="122" t="s">
        <v>114</v>
      </c>
      <c r="C42" s="119">
        <f t="shared" si="4"/>
        <v>24950603</v>
      </c>
      <c r="D42" s="119">
        <f t="shared" si="4"/>
        <v>27497304</v>
      </c>
      <c r="E42" s="123">
        <f t="shared" si="5"/>
        <v>2546701</v>
      </c>
      <c r="F42" s="124">
        <f t="shared" si="6"/>
        <v>0.10206971751344046</v>
      </c>
    </row>
    <row r="43" spans="1:6" ht="15.75" x14ac:dyDescent="0.25">
      <c r="A43" s="121">
        <v>3</v>
      </c>
      <c r="B43" s="122" t="s">
        <v>115</v>
      </c>
      <c r="C43" s="119">
        <f t="shared" si="4"/>
        <v>53330846</v>
      </c>
      <c r="D43" s="119">
        <f t="shared" si="4"/>
        <v>52735206</v>
      </c>
      <c r="E43" s="123">
        <f t="shared" si="5"/>
        <v>-595640</v>
      </c>
      <c r="F43" s="124">
        <f t="shared" si="6"/>
        <v>-1.1168770883552082E-2</v>
      </c>
    </row>
    <row r="44" spans="1:6" ht="15.75" x14ac:dyDescent="0.25">
      <c r="A44" s="121">
        <v>4</v>
      </c>
      <c r="B44" s="122" t="s">
        <v>116</v>
      </c>
      <c r="C44" s="119">
        <f t="shared" si="4"/>
        <v>790443</v>
      </c>
      <c r="D44" s="119">
        <f t="shared" si="4"/>
        <v>0</v>
      </c>
      <c r="E44" s="123">
        <f t="shared" si="5"/>
        <v>-790443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1428895</v>
      </c>
      <c r="D45" s="119">
        <f t="shared" si="4"/>
        <v>1565014</v>
      </c>
      <c r="E45" s="123">
        <f t="shared" si="5"/>
        <v>136119</v>
      </c>
      <c r="F45" s="124">
        <f t="shared" si="6"/>
        <v>9.5261723219690744E-2</v>
      </c>
    </row>
    <row r="46" spans="1:6" ht="15.75" x14ac:dyDescent="0.25">
      <c r="A46" s="121">
        <v>6</v>
      </c>
      <c r="B46" s="122" t="s">
        <v>118</v>
      </c>
      <c r="C46" s="119">
        <f t="shared" si="4"/>
        <v>75386555</v>
      </c>
      <c r="D46" s="119">
        <f t="shared" si="4"/>
        <v>79715220</v>
      </c>
      <c r="E46" s="123">
        <f t="shared" si="5"/>
        <v>4328665</v>
      </c>
      <c r="F46" s="124">
        <f t="shared" si="6"/>
        <v>5.7419588943943653E-2</v>
      </c>
    </row>
    <row r="47" spans="1:6" ht="15.75" x14ac:dyDescent="0.25">
      <c r="A47" s="121">
        <v>7</v>
      </c>
      <c r="B47" s="122" t="s">
        <v>119</v>
      </c>
      <c r="C47" s="119">
        <f t="shared" si="4"/>
        <v>1953925</v>
      </c>
      <c r="D47" s="119">
        <f t="shared" si="4"/>
        <v>0</v>
      </c>
      <c r="E47" s="123">
        <f t="shared" si="5"/>
        <v>-1953925</v>
      </c>
      <c r="F47" s="124">
        <f t="shared" si="6"/>
        <v>-1</v>
      </c>
    </row>
    <row r="48" spans="1:6" ht="15.75" x14ac:dyDescent="0.25">
      <c r="A48" s="121">
        <v>8</v>
      </c>
      <c r="B48" s="122" t="s">
        <v>120</v>
      </c>
      <c r="C48" s="119">
        <f t="shared" si="4"/>
        <v>2362146</v>
      </c>
      <c r="D48" s="119">
        <f t="shared" si="4"/>
        <v>2264120</v>
      </c>
      <c r="E48" s="123">
        <f t="shared" si="5"/>
        <v>-98026</v>
      </c>
      <c r="F48" s="124">
        <f t="shared" si="6"/>
        <v>-4.1498704991139411E-2</v>
      </c>
    </row>
    <row r="49" spans="1:6" ht="15.75" x14ac:dyDescent="0.25">
      <c r="A49" s="121">
        <v>9</v>
      </c>
      <c r="B49" s="122" t="s">
        <v>121</v>
      </c>
      <c r="C49" s="119">
        <f t="shared" si="4"/>
        <v>2707850</v>
      </c>
      <c r="D49" s="119">
        <f t="shared" si="4"/>
        <v>2226846</v>
      </c>
      <c r="E49" s="123">
        <f t="shared" si="5"/>
        <v>-481004</v>
      </c>
      <c r="F49" s="124">
        <f t="shared" si="6"/>
        <v>-0.1776331776132356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243567848</v>
      </c>
      <c r="D52" s="128">
        <f>SUM(D41:D51)</f>
        <v>248594671</v>
      </c>
      <c r="E52" s="127">
        <f t="shared" si="5"/>
        <v>5026823</v>
      </c>
      <c r="F52" s="129">
        <f t="shared" si="6"/>
        <v>2.0638286380064416E-2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14771644</v>
      </c>
      <c r="D57" s="113">
        <v>12266581</v>
      </c>
      <c r="E57" s="113">
        <f t="shared" ref="E57:E68" si="7">D57-C57</f>
        <v>-2505063</v>
      </c>
      <c r="F57" s="114">
        <f t="shared" ref="F57:F68" si="8">IF(C57=0,0,E57/C57)</f>
        <v>-0.16958593099048419</v>
      </c>
    </row>
    <row r="58" spans="1:6" x14ac:dyDescent="0.2">
      <c r="A58" s="115">
        <v>2</v>
      </c>
      <c r="B58" s="116" t="s">
        <v>114</v>
      </c>
      <c r="C58" s="113">
        <v>4121081</v>
      </c>
      <c r="D58" s="113">
        <v>4151112</v>
      </c>
      <c r="E58" s="113">
        <f t="shared" si="7"/>
        <v>30031</v>
      </c>
      <c r="F58" s="114">
        <f t="shared" si="8"/>
        <v>7.2871656732784434E-3</v>
      </c>
    </row>
    <row r="59" spans="1:6" x14ac:dyDescent="0.2">
      <c r="A59" s="115">
        <v>3</v>
      </c>
      <c r="B59" s="116" t="s">
        <v>115</v>
      </c>
      <c r="C59" s="113">
        <v>5689897</v>
      </c>
      <c r="D59" s="113">
        <v>5891931</v>
      </c>
      <c r="E59" s="113">
        <f t="shared" si="7"/>
        <v>202034</v>
      </c>
      <c r="F59" s="114">
        <f t="shared" si="8"/>
        <v>3.5507496884389998E-2</v>
      </c>
    </row>
    <row r="60" spans="1:6" x14ac:dyDescent="0.2">
      <c r="A60" s="115">
        <v>4</v>
      </c>
      <c r="B60" s="116" t="s">
        <v>116</v>
      </c>
      <c r="C60" s="113">
        <v>89117</v>
      </c>
      <c r="D60" s="113">
        <v>0</v>
      </c>
      <c r="E60" s="113">
        <f t="shared" si="7"/>
        <v>-89117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103952</v>
      </c>
      <c r="D61" s="113">
        <v>143321</v>
      </c>
      <c r="E61" s="113">
        <f t="shared" si="7"/>
        <v>39369</v>
      </c>
      <c r="F61" s="114">
        <f t="shared" si="8"/>
        <v>0.37872287209481298</v>
      </c>
    </row>
    <row r="62" spans="1:6" x14ac:dyDescent="0.2">
      <c r="A62" s="115">
        <v>6</v>
      </c>
      <c r="B62" s="116" t="s">
        <v>118</v>
      </c>
      <c r="C62" s="113">
        <v>8900199</v>
      </c>
      <c r="D62" s="113">
        <v>9579987</v>
      </c>
      <c r="E62" s="113">
        <f t="shared" si="7"/>
        <v>679788</v>
      </c>
      <c r="F62" s="114">
        <f t="shared" si="8"/>
        <v>7.6378966357943237E-2</v>
      </c>
    </row>
    <row r="63" spans="1:6" x14ac:dyDescent="0.2">
      <c r="A63" s="115">
        <v>7</v>
      </c>
      <c r="B63" s="116" t="s">
        <v>119</v>
      </c>
      <c r="C63" s="113">
        <v>175674</v>
      </c>
      <c r="D63" s="113">
        <v>0</v>
      </c>
      <c r="E63" s="113">
        <f t="shared" si="7"/>
        <v>-175674</v>
      </c>
      <c r="F63" s="114">
        <f t="shared" si="8"/>
        <v>-1</v>
      </c>
    </row>
    <row r="64" spans="1:6" x14ac:dyDescent="0.2">
      <c r="A64" s="115">
        <v>8</v>
      </c>
      <c r="B64" s="116" t="s">
        <v>120</v>
      </c>
      <c r="C64" s="113">
        <v>173178</v>
      </c>
      <c r="D64" s="113">
        <v>110023</v>
      </c>
      <c r="E64" s="113">
        <f t="shared" si="7"/>
        <v>-63155</v>
      </c>
      <c r="F64" s="114">
        <f t="shared" si="8"/>
        <v>-0.36468258092829342</v>
      </c>
    </row>
    <row r="65" spans="1:6" x14ac:dyDescent="0.2">
      <c r="A65" s="115">
        <v>9</v>
      </c>
      <c r="B65" s="116" t="s">
        <v>121</v>
      </c>
      <c r="C65" s="113">
        <v>3422</v>
      </c>
      <c r="D65" s="113">
        <v>3875</v>
      </c>
      <c r="E65" s="113">
        <f t="shared" si="7"/>
        <v>453</v>
      </c>
      <c r="F65" s="114">
        <f t="shared" si="8"/>
        <v>0.13237872589129165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34028164</v>
      </c>
      <c r="D68" s="119">
        <f>SUM(D57:D67)</f>
        <v>32146830</v>
      </c>
      <c r="E68" s="119">
        <f t="shared" si="7"/>
        <v>-1881334</v>
      </c>
      <c r="F68" s="120">
        <f t="shared" si="8"/>
        <v>-5.5287555332106664E-2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17732393</v>
      </c>
      <c r="D70" s="113">
        <v>19140784</v>
      </c>
      <c r="E70" s="113">
        <f t="shared" ref="E70:E81" si="9">D70-C70</f>
        <v>1408391</v>
      </c>
      <c r="F70" s="114">
        <f t="shared" ref="F70:F81" si="10">IF(C70=0,0,E70/C70)</f>
        <v>7.9424756715013034E-2</v>
      </c>
    </row>
    <row r="71" spans="1:6" x14ac:dyDescent="0.2">
      <c r="A71" s="115">
        <v>2</v>
      </c>
      <c r="B71" s="116" t="s">
        <v>114</v>
      </c>
      <c r="C71" s="113">
        <v>4754446</v>
      </c>
      <c r="D71" s="113">
        <v>5930517</v>
      </c>
      <c r="E71" s="113">
        <f t="shared" si="9"/>
        <v>1176071</v>
      </c>
      <c r="F71" s="114">
        <f t="shared" si="10"/>
        <v>0.24736236356454569</v>
      </c>
    </row>
    <row r="72" spans="1:6" x14ac:dyDescent="0.2">
      <c r="A72" s="115">
        <v>3</v>
      </c>
      <c r="B72" s="116" t="s">
        <v>115</v>
      </c>
      <c r="C72" s="113">
        <v>11618531</v>
      </c>
      <c r="D72" s="113">
        <v>11071714</v>
      </c>
      <c r="E72" s="113">
        <f t="shared" si="9"/>
        <v>-546817</v>
      </c>
      <c r="F72" s="114">
        <f t="shared" si="10"/>
        <v>-4.7064211473894592E-2</v>
      </c>
    </row>
    <row r="73" spans="1:6" x14ac:dyDescent="0.2">
      <c r="A73" s="115">
        <v>4</v>
      </c>
      <c r="B73" s="116" t="s">
        <v>116</v>
      </c>
      <c r="C73" s="113">
        <v>144634</v>
      </c>
      <c r="D73" s="113">
        <v>0</v>
      </c>
      <c r="E73" s="113">
        <f t="shared" si="9"/>
        <v>-144634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342063</v>
      </c>
      <c r="D74" s="113">
        <v>355465</v>
      </c>
      <c r="E74" s="113">
        <f t="shared" si="9"/>
        <v>13402</v>
      </c>
      <c r="F74" s="114">
        <f t="shared" si="10"/>
        <v>3.9179917149764806E-2</v>
      </c>
    </row>
    <row r="75" spans="1:6" x14ac:dyDescent="0.2">
      <c r="A75" s="115">
        <v>6</v>
      </c>
      <c r="B75" s="116" t="s">
        <v>118</v>
      </c>
      <c r="C75" s="113">
        <v>33757247</v>
      </c>
      <c r="D75" s="113">
        <v>34935670</v>
      </c>
      <c r="E75" s="113">
        <f t="shared" si="9"/>
        <v>1178423</v>
      </c>
      <c r="F75" s="114">
        <f t="shared" si="10"/>
        <v>3.4908741225254537E-2</v>
      </c>
    </row>
    <row r="76" spans="1:6" x14ac:dyDescent="0.2">
      <c r="A76" s="115">
        <v>7</v>
      </c>
      <c r="B76" s="116" t="s">
        <v>119</v>
      </c>
      <c r="C76" s="113">
        <v>455358</v>
      </c>
      <c r="D76" s="113">
        <v>0</v>
      </c>
      <c r="E76" s="113">
        <f t="shared" si="9"/>
        <v>-455358</v>
      </c>
      <c r="F76" s="114">
        <f t="shared" si="10"/>
        <v>-1</v>
      </c>
    </row>
    <row r="77" spans="1:6" x14ac:dyDescent="0.2">
      <c r="A77" s="115">
        <v>8</v>
      </c>
      <c r="B77" s="116" t="s">
        <v>120</v>
      </c>
      <c r="C77" s="113">
        <v>1460607</v>
      </c>
      <c r="D77" s="113">
        <v>1335691</v>
      </c>
      <c r="E77" s="113">
        <f t="shared" si="9"/>
        <v>-124916</v>
      </c>
      <c r="F77" s="114">
        <f t="shared" si="10"/>
        <v>-8.5523347484983983E-2</v>
      </c>
    </row>
    <row r="78" spans="1:6" x14ac:dyDescent="0.2">
      <c r="A78" s="115">
        <v>9</v>
      </c>
      <c r="B78" s="116" t="s">
        <v>121</v>
      </c>
      <c r="C78" s="113">
        <v>22564</v>
      </c>
      <c r="D78" s="113">
        <v>40007</v>
      </c>
      <c r="E78" s="113">
        <f t="shared" si="9"/>
        <v>17443</v>
      </c>
      <c r="F78" s="114">
        <f t="shared" si="10"/>
        <v>0.77304555929799679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70287843</v>
      </c>
      <c r="D81" s="119">
        <f>SUM(D70:D80)</f>
        <v>72809848</v>
      </c>
      <c r="E81" s="119">
        <f t="shared" si="9"/>
        <v>2522005</v>
      </c>
      <c r="F81" s="120">
        <f t="shared" si="10"/>
        <v>3.5881098243404623E-2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32504037</v>
      </c>
      <c r="D84" s="119">
        <f t="shared" si="11"/>
        <v>31407365</v>
      </c>
      <c r="E84" s="119">
        <f t="shared" ref="E84:E95" si="12">D84-C84</f>
        <v>-1096672</v>
      </c>
      <c r="F84" s="120">
        <f t="shared" ref="F84:F95" si="13">IF(C84=0,0,E84/C84)</f>
        <v>-3.3739562873374776E-2</v>
      </c>
    </row>
    <row r="85" spans="1:6" ht="15.75" x14ac:dyDescent="0.25">
      <c r="A85" s="130">
        <v>2</v>
      </c>
      <c r="B85" s="122" t="s">
        <v>114</v>
      </c>
      <c r="C85" s="119">
        <f t="shared" si="11"/>
        <v>8875527</v>
      </c>
      <c r="D85" s="119">
        <f t="shared" si="11"/>
        <v>10081629</v>
      </c>
      <c r="E85" s="119">
        <f t="shared" si="12"/>
        <v>1206102</v>
      </c>
      <c r="F85" s="120">
        <f t="shared" si="13"/>
        <v>0.13589074767053269</v>
      </c>
    </row>
    <row r="86" spans="1:6" ht="15.75" x14ac:dyDescent="0.25">
      <c r="A86" s="130">
        <v>3</v>
      </c>
      <c r="B86" s="122" t="s">
        <v>115</v>
      </c>
      <c r="C86" s="119">
        <f t="shared" si="11"/>
        <v>17308428</v>
      </c>
      <c r="D86" s="119">
        <f t="shared" si="11"/>
        <v>16963645</v>
      </c>
      <c r="E86" s="119">
        <f t="shared" si="12"/>
        <v>-344783</v>
      </c>
      <c r="F86" s="120">
        <f t="shared" si="13"/>
        <v>-1.9919948824930839E-2</v>
      </c>
    </row>
    <row r="87" spans="1:6" ht="15.75" x14ac:dyDescent="0.25">
      <c r="A87" s="130">
        <v>4</v>
      </c>
      <c r="B87" s="122" t="s">
        <v>116</v>
      </c>
      <c r="C87" s="119">
        <f t="shared" si="11"/>
        <v>233751</v>
      </c>
      <c r="D87" s="119">
        <f t="shared" si="11"/>
        <v>0</v>
      </c>
      <c r="E87" s="119">
        <f t="shared" si="12"/>
        <v>-233751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446015</v>
      </c>
      <c r="D88" s="119">
        <f t="shared" si="11"/>
        <v>498786</v>
      </c>
      <c r="E88" s="119">
        <f t="shared" si="12"/>
        <v>52771</v>
      </c>
      <c r="F88" s="120">
        <f t="shared" si="13"/>
        <v>0.11831664854321043</v>
      </c>
    </row>
    <row r="89" spans="1:6" ht="15.75" x14ac:dyDescent="0.25">
      <c r="A89" s="130">
        <v>6</v>
      </c>
      <c r="B89" s="122" t="s">
        <v>118</v>
      </c>
      <c r="C89" s="119">
        <f t="shared" si="11"/>
        <v>42657446</v>
      </c>
      <c r="D89" s="119">
        <f t="shared" si="11"/>
        <v>44515657</v>
      </c>
      <c r="E89" s="119">
        <f t="shared" si="12"/>
        <v>1858211</v>
      </c>
      <c r="F89" s="120">
        <f t="shared" si="13"/>
        <v>4.3561234303619585E-2</v>
      </c>
    </row>
    <row r="90" spans="1:6" ht="15.75" x14ac:dyDescent="0.25">
      <c r="A90" s="130">
        <v>7</v>
      </c>
      <c r="B90" s="122" t="s">
        <v>119</v>
      </c>
      <c r="C90" s="119">
        <f t="shared" si="11"/>
        <v>631032</v>
      </c>
      <c r="D90" s="119">
        <f t="shared" si="11"/>
        <v>0</v>
      </c>
      <c r="E90" s="119">
        <f t="shared" si="12"/>
        <v>-631032</v>
      </c>
      <c r="F90" s="120">
        <f t="shared" si="13"/>
        <v>-1</v>
      </c>
    </row>
    <row r="91" spans="1:6" ht="15.75" x14ac:dyDescent="0.25">
      <c r="A91" s="130">
        <v>8</v>
      </c>
      <c r="B91" s="122" t="s">
        <v>120</v>
      </c>
      <c r="C91" s="119">
        <f t="shared" si="11"/>
        <v>1633785</v>
      </c>
      <c r="D91" s="119">
        <f t="shared" si="11"/>
        <v>1445714</v>
      </c>
      <c r="E91" s="119">
        <f t="shared" si="12"/>
        <v>-188071</v>
      </c>
      <c r="F91" s="120">
        <f t="shared" si="13"/>
        <v>-0.11511367774829613</v>
      </c>
    </row>
    <row r="92" spans="1:6" ht="15.75" x14ac:dyDescent="0.25">
      <c r="A92" s="130">
        <v>9</v>
      </c>
      <c r="B92" s="122" t="s">
        <v>121</v>
      </c>
      <c r="C92" s="119">
        <f t="shared" si="11"/>
        <v>25986</v>
      </c>
      <c r="D92" s="119">
        <f t="shared" si="11"/>
        <v>43882</v>
      </c>
      <c r="E92" s="119">
        <f t="shared" si="12"/>
        <v>17896</v>
      </c>
      <c r="F92" s="120">
        <f t="shared" si="13"/>
        <v>0.68867851920264755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104316007</v>
      </c>
      <c r="D95" s="128">
        <f>SUM(D84:D94)</f>
        <v>104956678</v>
      </c>
      <c r="E95" s="128">
        <f t="shared" si="12"/>
        <v>640671</v>
      </c>
      <c r="F95" s="129">
        <f t="shared" si="13"/>
        <v>6.1416365371423772E-3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1597</v>
      </c>
      <c r="D100" s="133">
        <v>1457</v>
      </c>
      <c r="E100" s="133">
        <f t="shared" ref="E100:E111" si="14">D100-C100</f>
        <v>-140</v>
      </c>
      <c r="F100" s="114">
        <f t="shared" ref="F100:F111" si="15">IF(C100=0,0,E100/C100)</f>
        <v>-8.7664370695053229E-2</v>
      </c>
    </row>
    <row r="101" spans="1:6" x14ac:dyDescent="0.2">
      <c r="A101" s="115">
        <v>2</v>
      </c>
      <c r="B101" s="116" t="s">
        <v>114</v>
      </c>
      <c r="C101" s="133">
        <v>508</v>
      </c>
      <c r="D101" s="133">
        <v>446</v>
      </c>
      <c r="E101" s="133">
        <f t="shared" si="14"/>
        <v>-62</v>
      </c>
      <c r="F101" s="114">
        <f t="shared" si="15"/>
        <v>-0.12204724409448819</v>
      </c>
    </row>
    <row r="102" spans="1:6" x14ac:dyDescent="0.2">
      <c r="A102" s="115">
        <v>3</v>
      </c>
      <c r="B102" s="116" t="s">
        <v>115</v>
      </c>
      <c r="C102" s="133">
        <v>1237</v>
      </c>
      <c r="D102" s="133">
        <v>1096</v>
      </c>
      <c r="E102" s="133">
        <f t="shared" si="14"/>
        <v>-141</v>
      </c>
      <c r="F102" s="114">
        <f t="shared" si="15"/>
        <v>-0.11398544866612773</v>
      </c>
    </row>
    <row r="103" spans="1:6" x14ac:dyDescent="0.2">
      <c r="A103" s="115">
        <v>4</v>
      </c>
      <c r="B103" s="116" t="s">
        <v>116</v>
      </c>
      <c r="C103" s="133">
        <v>22</v>
      </c>
      <c r="D103" s="133">
        <v>0</v>
      </c>
      <c r="E103" s="133">
        <f t="shared" si="14"/>
        <v>-22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54</v>
      </c>
      <c r="D104" s="133">
        <v>30</v>
      </c>
      <c r="E104" s="133">
        <f t="shared" si="14"/>
        <v>-24</v>
      </c>
      <c r="F104" s="114">
        <f t="shared" si="15"/>
        <v>-0.44444444444444442</v>
      </c>
    </row>
    <row r="105" spans="1:6" x14ac:dyDescent="0.2">
      <c r="A105" s="115">
        <v>6</v>
      </c>
      <c r="B105" s="116" t="s">
        <v>118</v>
      </c>
      <c r="C105" s="133">
        <v>971</v>
      </c>
      <c r="D105" s="133">
        <v>1060</v>
      </c>
      <c r="E105" s="133">
        <f t="shared" si="14"/>
        <v>89</v>
      </c>
      <c r="F105" s="114">
        <f t="shared" si="15"/>
        <v>9.1658084449021626E-2</v>
      </c>
    </row>
    <row r="106" spans="1:6" x14ac:dyDescent="0.2">
      <c r="A106" s="115">
        <v>7</v>
      </c>
      <c r="B106" s="116" t="s">
        <v>119</v>
      </c>
      <c r="C106" s="133">
        <v>26</v>
      </c>
      <c r="D106" s="133">
        <v>0</v>
      </c>
      <c r="E106" s="133">
        <f t="shared" si="14"/>
        <v>-26</v>
      </c>
      <c r="F106" s="114">
        <f t="shared" si="15"/>
        <v>-1</v>
      </c>
    </row>
    <row r="107" spans="1:6" x14ac:dyDescent="0.2">
      <c r="A107" s="115">
        <v>8</v>
      </c>
      <c r="B107" s="116" t="s">
        <v>120</v>
      </c>
      <c r="C107" s="133">
        <v>13</v>
      </c>
      <c r="D107" s="133">
        <v>7</v>
      </c>
      <c r="E107" s="133">
        <f t="shared" si="14"/>
        <v>-6</v>
      </c>
      <c r="F107" s="114">
        <f t="shared" si="15"/>
        <v>-0.46153846153846156</v>
      </c>
    </row>
    <row r="108" spans="1:6" x14ac:dyDescent="0.2">
      <c r="A108" s="115">
        <v>9</v>
      </c>
      <c r="B108" s="116" t="s">
        <v>121</v>
      </c>
      <c r="C108" s="133">
        <v>23</v>
      </c>
      <c r="D108" s="133">
        <v>22</v>
      </c>
      <c r="E108" s="133">
        <f t="shared" si="14"/>
        <v>-1</v>
      </c>
      <c r="F108" s="114">
        <f t="shared" si="15"/>
        <v>-4.3478260869565216E-2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4451</v>
      </c>
      <c r="D111" s="134">
        <f>SUM(D100:D110)</f>
        <v>4118</v>
      </c>
      <c r="E111" s="134">
        <f t="shared" si="14"/>
        <v>-333</v>
      </c>
      <c r="F111" s="120">
        <f t="shared" si="15"/>
        <v>-7.4814648393619412E-2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6780</v>
      </c>
      <c r="D113" s="133">
        <v>6215</v>
      </c>
      <c r="E113" s="133">
        <f t="shared" ref="E113:E124" si="16">D113-C113</f>
        <v>-565</v>
      </c>
      <c r="F113" s="114">
        <f t="shared" ref="F113:F124" si="17">IF(C113=0,0,E113/C113)</f>
        <v>-8.3333333333333329E-2</v>
      </c>
    </row>
    <row r="114" spans="1:6" x14ac:dyDescent="0.2">
      <c r="A114" s="115">
        <v>2</v>
      </c>
      <c r="B114" s="116" t="s">
        <v>114</v>
      </c>
      <c r="C114" s="133">
        <v>2160</v>
      </c>
      <c r="D114" s="133">
        <v>1903</v>
      </c>
      <c r="E114" s="133">
        <f t="shared" si="16"/>
        <v>-257</v>
      </c>
      <c r="F114" s="114">
        <f t="shared" si="17"/>
        <v>-0.11898148148148148</v>
      </c>
    </row>
    <row r="115" spans="1:6" x14ac:dyDescent="0.2">
      <c r="A115" s="115">
        <v>3</v>
      </c>
      <c r="B115" s="116" t="s">
        <v>115</v>
      </c>
      <c r="C115" s="133">
        <v>4476</v>
      </c>
      <c r="D115" s="133">
        <v>4439</v>
      </c>
      <c r="E115" s="133">
        <f t="shared" si="16"/>
        <v>-37</v>
      </c>
      <c r="F115" s="114">
        <f t="shared" si="17"/>
        <v>-8.2663092046470054E-3</v>
      </c>
    </row>
    <row r="116" spans="1:6" x14ac:dyDescent="0.2">
      <c r="A116" s="115">
        <v>4</v>
      </c>
      <c r="B116" s="116" t="s">
        <v>116</v>
      </c>
      <c r="C116" s="133">
        <v>80</v>
      </c>
      <c r="D116" s="133">
        <v>0</v>
      </c>
      <c r="E116" s="133">
        <f t="shared" si="16"/>
        <v>-80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205</v>
      </c>
      <c r="D117" s="133">
        <v>114</v>
      </c>
      <c r="E117" s="133">
        <f t="shared" si="16"/>
        <v>-91</v>
      </c>
      <c r="F117" s="114">
        <f t="shared" si="17"/>
        <v>-0.44390243902439025</v>
      </c>
    </row>
    <row r="118" spans="1:6" x14ac:dyDescent="0.2">
      <c r="A118" s="115">
        <v>6</v>
      </c>
      <c r="B118" s="116" t="s">
        <v>118</v>
      </c>
      <c r="C118" s="133">
        <v>2858</v>
      </c>
      <c r="D118" s="133">
        <v>3468</v>
      </c>
      <c r="E118" s="133">
        <f t="shared" si="16"/>
        <v>610</v>
      </c>
      <c r="F118" s="114">
        <f t="shared" si="17"/>
        <v>0.21343596920923724</v>
      </c>
    </row>
    <row r="119" spans="1:6" x14ac:dyDescent="0.2">
      <c r="A119" s="115">
        <v>7</v>
      </c>
      <c r="B119" s="116" t="s">
        <v>119</v>
      </c>
      <c r="C119" s="133">
        <v>75</v>
      </c>
      <c r="D119" s="133">
        <v>0</v>
      </c>
      <c r="E119" s="133">
        <f t="shared" si="16"/>
        <v>-75</v>
      </c>
      <c r="F119" s="114">
        <f t="shared" si="17"/>
        <v>-1</v>
      </c>
    </row>
    <row r="120" spans="1:6" x14ac:dyDescent="0.2">
      <c r="A120" s="115">
        <v>8</v>
      </c>
      <c r="B120" s="116" t="s">
        <v>120</v>
      </c>
      <c r="C120" s="133">
        <v>39</v>
      </c>
      <c r="D120" s="133">
        <v>26</v>
      </c>
      <c r="E120" s="133">
        <f t="shared" si="16"/>
        <v>-13</v>
      </c>
      <c r="F120" s="114">
        <f t="shared" si="17"/>
        <v>-0.33333333333333331</v>
      </c>
    </row>
    <row r="121" spans="1:6" x14ac:dyDescent="0.2">
      <c r="A121" s="115">
        <v>9</v>
      </c>
      <c r="B121" s="116" t="s">
        <v>121</v>
      </c>
      <c r="C121" s="133">
        <v>87</v>
      </c>
      <c r="D121" s="133">
        <v>72</v>
      </c>
      <c r="E121" s="133">
        <f t="shared" si="16"/>
        <v>-15</v>
      </c>
      <c r="F121" s="114">
        <f t="shared" si="17"/>
        <v>-0.17241379310344829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16760</v>
      </c>
      <c r="D124" s="134">
        <f>SUM(D113:D123)</f>
        <v>16237</v>
      </c>
      <c r="E124" s="134">
        <f t="shared" si="16"/>
        <v>-523</v>
      </c>
      <c r="F124" s="120">
        <f t="shared" si="17"/>
        <v>-3.1205250596658712E-2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87944</v>
      </c>
      <c r="D126" s="133">
        <v>60007</v>
      </c>
      <c r="E126" s="133">
        <f t="shared" ref="E126:E137" si="18">D126-C126</f>
        <v>-27937</v>
      </c>
      <c r="F126" s="114">
        <f t="shared" ref="F126:F137" si="19">IF(C126=0,0,E126/C126)</f>
        <v>-0.31766806149367782</v>
      </c>
    </row>
    <row r="127" spans="1:6" x14ac:dyDescent="0.2">
      <c r="A127" s="115">
        <v>2</v>
      </c>
      <c r="B127" s="116" t="s">
        <v>114</v>
      </c>
      <c r="C127" s="133">
        <v>23889</v>
      </c>
      <c r="D127" s="133">
        <v>19792</v>
      </c>
      <c r="E127" s="133">
        <f t="shared" si="18"/>
        <v>-4097</v>
      </c>
      <c r="F127" s="114">
        <f t="shared" si="19"/>
        <v>-0.17150152789987022</v>
      </c>
    </row>
    <row r="128" spans="1:6" x14ac:dyDescent="0.2">
      <c r="A128" s="115">
        <v>3</v>
      </c>
      <c r="B128" s="116" t="s">
        <v>115</v>
      </c>
      <c r="C128" s="133">
        <v>56337</v>
      </c>
      <c r="D128" s="133">
        <v>39264</v>
      </c>
      <c r="E128" s="133">
        <f t="shared" si="18"/>
        <v>-17073</v>
      </c>
      <c r="F128" s="114">
        <f t="shared" si="19"/>
        <v>-0.3030512806858725</v>
      </c>
    </row>
    <row r="129" spans="1:6" x14ac:dyDescent="0.2">
      <c r="A129" s="115">
        <v>4</v>
      </c>
      <c r="B129" s="116" t="s">
        <v>116</v>
      </c>
      <c r="C129" s="133">
        <v>313</v>
      </c>
      <c r="D129" s="133">
        <v>0</v>
      </c>
      <c r="E129" s="133">
        <f t="shared" si="18"/>
        <v>-313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1392</v>
      </c>
      <c r="D130" s="133">
        <v>1393</v>
      </c>
      <c r="E130" s="133">
        <f t="shared" si="18"/>
        <v>1</v>
      </c>
      <c r="F130" s="114">
        <f t="shared" si="19"/>
        <v>7.1839080459770114E-4</v>
      </c>
    </row>
    <row r="131" spans="1:6" x14ac:dyDescent="0.2">
      <c r="A131" s="115">
        <v>6</v>
      </c>
      <c r="B131" s="116" t="s">
        <v>118</v>
      </c>
      <c r="C131" s="133">
        <v>64662</v>
      </c>
      <c r="D131" s="133">
        <v>74008</v>
      </c>
      <c r="E131" s="133">
        <f t="shared" si="18"/>
        <v>9346</v>
      </c>
      <c r="F131" s="114">
        <f t="shared" si="19"/>
        <v>0.1445362036435619</v>
      </c>
    </row>
    <row r="132" spans="1:6" x14ac:dyDescent="0.2">
      <c r="A132" s="115">
        <v>7</v>
      </c>
      <c r="B132" s="116" t="s">
        <v>119</v>
      </c>
      <c r="C132" s="133">
        <v>1565</v>
      </c>
      <c r="D132" s="133">
        <v>0</v>
      </c>
      <c r="E132" s="133">
        <f t="shared" si="18"/>
        <v>-1565</v>
      </c>
      <c r="F132" s="114">
        <f t="shared" si="19"/>
        <v>-1</v>
      </c>
    </row>
    <row r="133" spans="1:6" x14ac:dyDescent="0.2">
      <c r="A133" s="115">
        <v>8</v>
      </c>
      <c r="B133" s="116" t="s">
        <v>120</v>
      </c>
      <c r="C133" s="133">
        <v>1315</v>
      </c>
      <c r="D133" s="133">
        <v>1377</v>
      </c>
      <c r="E133" s="133">
        <f t="shared" si="18"/>
        <v>62</v>
      </c>
      <c r="F133" s="114">
        <f t="shared" si="19"/>
        <v>4.714828897338403E-2</v>
      </c>
    </row>
    <row r="134" spans="1:6" x14ac:dyDescent="0.2">
      <c r="A134" s="115">
        <v>9</v>
      </c>
      <c r="B134" s="116" t="s">
        <v>121</v>
      </c>
      <c r="C134" s="133">
        <v>3861</v>
      </c>
      <c r="D134" s="133">
        <v>1781</v>
      </c>
      <c r="E134" s="133">
        <f t="shared" si="18"/>
        <v>-2080</v>
      </c>
      <c r="F134" s="114">
        <f t="shared" si="19"/>
        <v>-0.53872053872053871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241278</v>
      </c>
      <c r="D137" s="134">
        <f>SUM(D126:D136)</f>
        <v>197622</v>
      </c>
      <c r="E137" s="134">
        <f t="shared" si="18"/>
        <v>-43656</v>
      </c>
      <c r="F137" s="120">
        <f t="shared" si="19"/>
        <v>-0.18093651306791336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7701709</v>
      </c>
      <c r="D142" s="113">
        <v>8263051</v>
      </c>
      <c r="E142" s="113">
        <f t="shared" ref="E142:E153" si="20">D142-C142</f>
        <v>561342</v>
      </c>
      <c r="F142" s="114">
        <f t="shared" ref="F142:F153" si="21">IF(C142=0,0,E142/C142)</f>
        <v>7.2885381673080604E-2</v>
      </c>
    </row>
    <row r="143" spans="1:6" x14ac:dyDescent="0.2">
      <c r="A143" s="115">
        <v>2</v>
      </c>
      <c r="B143" s="116" t="s">
        <v>114</v>
      </c>
      <c r="C143" s="113">
        <v>2476007</v>
      </c>
      <c r="D143" s="113">
        <v>2583885</v>
      </c>
      <c r="E143" s="113">
        <f t="shared" si="20"/>
        <v>107878</v>
      </c>
      <c r="F143" s="114">
        <f t="shared" si="21"/>
        <v>4.3569343705409554E-2</v>
      </c>
    </row>
    <row r="144" spans="1:6" x14ac:dyDescent="0.2">
      <c r="A144" s="115">
        <v>3</v>
      </c>
      <c r="B144" s="116" t="s">
        <v>115</v>
      </c>
      <c r="C144" s="113">
        <v>12773719</v>
      </c>
      <c r="D144" s="113">
        <v>12992461</v>
      </c>
      <c r="E144" s="113">
        <f t="shared" si="20"/>
        <v>218742</v>
      </c>
      <c r="F144" s="114">
        <f t="shared" si="21"/>
        <v>1.712437857760923E-2</v>
      </c>
    </row>
    <row r="145" spans="1:6" x14ac:dyDescent="0.2">
      <c r="A145" s="115">
        <v>4</v>
      </c>
      <c r="B145" s="116" t="s">
        <v>116</v>
      </c>
      <c r="C145" s="113">
        <v>369853</v>
      </c>
      <c r="D145" s="113">
        <v>0</v>
      </c>
      <c r="E145" s="113">
        <f t="shared" si="20"/>
        <v>-369853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271813</v>
      </c>
      <c r="D146" s="113">
        <v>233127</v>
      </c>
      <c r="E146" s="113">
        <f t="shared" si="20"/>
        <v>-38686</v>
      </c>
      <c r="F146" s="114">
        <f t="shared" si="21"/>
        <v>-0.14232579015720367</v>
      </c>
    </row>
    <row r="147" spans="1:6" x14ac:dyDescent="0.2">
      <c r="A147" s="115">
        <v>6</v>
      </c>
      <c r="B147" s="116" t="s">
        <v>118</v>
      </c>
      <c r="C147" s="113">
        <v>11100111</v>
      </c>
      <c r="D147" s="113">
        <v>11816069</v>
      </c>
      <c r="E147" s="113">
        <f t="shared" si="20"/>
        <v>715958</v>
      </c>
      <c r="F147" s="114">
        <f t="shared" si="21"/>
        <v>6.4500075719963523E-2</v>
      </c>
    </row>
    <row r="148" spans="1:6" x14ac:dyDescent="0.2">
      <c r="A148" s="115">
        <v>7</v>
      </c>
      <c r="B148" s="116" t="s">
        <v>119</v>
      </c>
      <c r="C148" s="113">
        <v>213452</v>
      </c>
      <c r="D148" s="113">
        <v>0</v>
      </c>
      <c r="E148" s="113">
        <f t="shared" si="20"/>
        <v>-213452</v>
      </c>
      <c r="F148" s="114">
        <f t="shared" si="21"/>
        <v>-1</v>
      </c>
    </row>
    <row r="149" spans="1:6" x14ac:dyDescent="0.2">
      <c r="A149" s="115">
        <v>8</v>
      </c>
      <c r="B149" s="116" t="s">
        <v>120</v>
      </c>
      <c r="C149" s="113">
        <v>687769</v>
      </c>
      <c r="D149" s="113">
        <v>744104</v>
      </c>
      <c r="E149" s="113">
        <f t="shared" si="20"/>
        <v>56335</v>
      </c>
      <c r="F149" s="114">
        <f t="shared" si="21"/>
        <v>8.1909769123063123E-2</v>
      </c>
    </row>
    <row r="150" spans="1:6" x14ac:dyDescent="0.2">
      <c r="A150" s="115">
        <v>9</v>
      </c>
      <c r="B150" s="116" t="s">
        <v>121</v>
      </c>
      <c r="C150" s="113">
        <v>1559565</v>
      </c>
      <c r="D150" s="113">
        <v>1362750</v>
      </c>
      <c r="E150" s="113">
        <f t="shared" si="20"/>
        <v>-196815</v>
      </c>
      <c r="F150" s="114">
        <f t="shared" si="21"/>
        <v>-0.126198651547066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37153998</v>
      </c>
      <c r="D153" s="119">
        <f>SUM(D142:D152)</f>
        <v>37995447</v>
      </c>
      <c r="E153" s="119">
        <f t="shared" si="20"/>
        <v>841449</v>
      </c>
      <c r="F153" s="120">
        <f t="shared" si="21"/>
        <v>2.2647603092404753E-2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1760917</v>
      </c>
      <c r="D155" s="113">
        <v>1906073</v>
      </c>
      <c r="E155" s="113">
        <f t="shared" ref="E155:E166" si="22">D155-C155</f>
        <v>145156</v>
      </c>
      <c r="F155" s="114">
        <f t="shared" ref="F155:F166" si="23">IF(C155=0,0,E155/C155)</f>
        <v>8.2432051027958725E-2</v>
      </c>
    </row>
    <row r="156" spans="1:6" x14ac:dyDescent="0.2">
      <c r="A156" s="115">
        <v>2</v>
      </c>
      <c r="B156" s="116" t="s">
        <v>114</v>
      </c>
      <c r="C156" s="113">
        <v>609838</v>
      </c>
      <c r="D156" s="113">
        <v>632412</v>
      </c>
      <c r="E156" s="113">
        <f t="shared" si="22"/>
        <v>22574</v>
      </c>
      <c r="F156" s="114">
        <f t="shared" si="23"/>
        <v>3.7016387958769381E-2</v>
      </c>
    </row>
    <row r="157" spans="1:6" x14ac:dyDescent="0.2">
      <c r="A157" s="115">
        <v>3</v>
      </c>
      <c r="B157" s="116" t="s">
        <v>115</v>
      </c>
      <c r="C157" s="113">
        <v>2610108</v>
      </c>
      <c r="D157" s="113">
        <v>2705667</v>
      </c>
      <c r="E157" s="113">
        <f t="shared" si="22"/>
        <v>95559</v>
      </c>
      <c r="F157" s="114">
        <f t="shared" si="23"/>
        <v>3.6611128734902923E-2</v>
      </c>
    </row>
    <row r="158" spans="1:6" x14ac:dyDescent="0.2">
      <c r="A158" s="115">
        <v>4</v>
      </c>
      <c r="B158" s="116" t="s">
        <v>116</v>
      </c>
      <c r="C158" s="113">
        <v>87702</v>
      </c>
      <c r="D158" s="113">
        <v>0</v>
      </c>
      <c r="E158" s="113">
        <f t="shared" si="22"/>
        <v>-87702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65078</v>
      </c>
      <c r="D159" s="113">
        <v>52145</v>
      </c>
      <c r="E159" s="113">
        <f t="shared" si="22"/>
        <v>-12933</v>
      </c>
      <c r="F159" s="114">
        <f t="shared" si="23"/>
        <v>-0.19873075386459327</v>
      </c>
    </row>
    <row r="160" spans="1:6" x14ac:dyDescent="0.2">
      <c r="A160" s="115">
        <v>6</v>
      </c>
      <c r="B160" s="116" t="s">
        <v>118</v>
      </c>
      <c r="C160" s="113">
        <v>6215179</v>
      </c>
      <c r="D160" s="113">
        <v>6568526</v>
      </c>
      <c r="E160" s="113">
        <f t="shared" si="22"/>
        <v>353347</v>
      </c>
      <c r="F160" s="114">
        <f t="shared" si="23"/>
        <v>5.6852264431965678E-2</v>
      </c>
    </row>
    <row r="161" spans="1:6" x14ac:dyDescent="0.2">
      <c r="A161" s="115">
        <v>7</v>
      </c>
      <c r="B161" s="116" t="s">
        <v>119</v>
      </c>
      <c r="C161" s="113">
        <v>47516</v>
      </c>
      <c r="D161" s="113">
        <v>0</v>
      </c>
      <c r="E161" s="113">
        <f t="shared" si="22"/>
        <v>-47516</v>
      </c>
      <c r="F161" s="114">
        <f t="shared" si="23"/>
        <v>-1</v>
      </c>
    </row>
    <row r="162" spans="1:6" x14ac:dyDescent="0.2">
      <c r="A162" s="115">
        <v>8</v>
      </c>
      <c r="B162" s="116" t="s">
        <v>120</v>
      </c>
      <c r="C162" s="113">
        <v>502639</v>
      </c>
      <c r="D162" s="113">
        <v>501107</v>
      </c>
      <c r="E162" s="113">
        <f t="shared" si="22"/>
        <v>-1532</v>
      </c>
      <c r="F162" s="114">
        <f t="shared" si="23"/>
        <v>-3.0479131145812401E-3</v>
      </c>
    </row>
    <row r="163" spans="1:6" x14ac:dyDescent="0.2">
      <c r="A163" s="115">
        <v>9</v>
      </c>
      <c r="B163" s="116" t="s">
        <v>121</v>
      </c>
      <c r="C163" s="113">
        <v>59111</v>
      </c>
      <c r="D163" s="113">
        <v>219184</v>
      </c>
      <c r="E163" s="113">
        <f t="shared" si="22"/>
        <v>160073</v>
      </c>
      <c r="F163" s="114">
        <f t="shared" si="23"/>
        <v>2.7080069699379132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11958088</v>
      </c>
      <c r="D166" s="119">
        <f>SUM(D155:D165)</f>
        <v>12585114</v>
      </c>
      <c r="E166" s="119">
        <f t="shared" si="22"/>
        <v>627026</v>
      </c>
      <c r="F166" s="120">
        <f t="shared" si="23"/>
        <v>5.2435305711080231E-2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3653</v>
      </c>
      <c r="D168" s="133">
        <v>4506</v>
      </c>
      <c r="E168" s="133">
        <f t="shared" ref="E168:E179" si="24">D168-C168</f>
        <v>853</v>
      </c>
      <c r="F168" s="114">
        <f t="shared" ref="F168:F179" si="25">IF(C168=0,0,E168/C168)</f>
        <v>0.23350670681631536</v>
      </c>
    </row>
    <row r="169" spans="1:6" x14ac:dyDescent="0.2">
      <c r="A169" s="115">
        <v>2</v>
      </c>
      <c r="B169" s="116" t="s">
        <v>114</v>
      </c>
      <c r="C169" s="133">
        <v>1099</v>
      </c>
      <c r="D169" s="133">
        <v>1409</v>
      </c>
      <c r="E169" s="133">
        <f t="shared" si="24"/>
        <v>310</v>
      </c>
      <c r="F169" s="114">
        <f t="shared" si="25"/>
        <v>0.28207461328480438</v>
      </c>
    </row>
    <row r="170" spans="1:6" x14ac:dyDescent="0.2">
      <c r="A170" s="115">
        <v>3</v>
      </c>
      <c r="B170" s="116" t="s">
        <v>115</v>
      </c>
      <c r="C170" s="133">
        <v>7497</v>
      </c>
      <c r="D170" s="133">
        <v>7085</v>
      </c>
      <c r="E170" s="133">
        <f t="shared" si="24"/>
        <v>-412</v>
      </c>
      <c r="F170" s="114">
        <f t="shared" si="25"/>
        <v>-5.4955315459517137E-2</v>
      </c>
    </row>
    <row r="171" spans="1:6" x14ac:dyDescent="0.2">
      <c r="A171" s="115">
        <v>4</v>
      </c>
      <c r="B171" s="116" t="s">
        <v>116</v>
      </c>
      <c r="C171" s="133">
        <v>215</v>
      </c>
      <c r="D171" s="133">
        <v>0</v>
      </c>
      <c r="E171" s="133">
        <f t="shared" si="24"/>
        <v>-215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151</v>
      </c>
      <c r="D172" s="133">
        <v>127</v>
      </c>
      <c r="E172" s="133">
        <f t="shared" si="24"/>
        <v>-24</v>
      </c>
      <c r="F172" s="114">
        <f t="shared" si="25"/>
        <v>-0.15894039735099338</v>
      </c>
    </row>
    <row r="173" spans="1:6" x14ac:dyDescent="0.2">
      <c r="A173" s="115">
        <v>6</v>
      </c>
      <c r="B173" s="116" t="s">
        <v>118</v>
      </c>
      <c r="C173" s="133">
        <v>4999</v>
      </c>
      <c r="D173" s="133">
        <v>6443</v>
      </c>
      <c r="E173" s="133">
        <f t="shared" si="24"/>
        <v>1444</v>
      </c>
      <c r="F173" s="114">
        <f t="shared" si="25"/>
        <v>0.28885777155431086</v>
      </c>
    </row>
    <row r="174" spans="1:6" x14ac:dyDescent="0.2">
      <c r="A174" s="115">
        <v>7</v>
      </c>
      <c r="B174" s="116" t="s">
        <v>119</v>
      </c>
      <c r="C174" s="133">
        <v>122</v>
      </c>
      <c r="D174" s="133">
        <v>0</v>
      </c>
      <c r="E174" s="133">
        <f t="shared" si="24"/>
        <v>-122</v>
      </c>
      <c r="F174" s="114">
        <f t="shared" si="25"/>
        <v>-1</v>
      </c>
    </row>
    <row r="175" spans="1:6" x14ac:dyDescent="0.2">
      <c r="A175" s="115">
        <v>8</v>
      </c>
      <c r="B175" s="116" t="s">
        <v>120</v>
      </c>
      <c r="C175" s="133">
        <v>533</v>
      </c>
      <c r="D175" s="133">
        <v>406</v>
      </c>
      <c r="E175" s="133">
        <f t="shared" si="24"/>
        <v>-127</v>
      </c>
      <c r="F175" s="114">
        <f t="shared" si="25"/>
        <v>-0.23827392120075047</v>
      </c>
    </row>
    <row r="176" spans="1:6" x14ac:dyDescent="0.2">
      <c r="A176" s="115">
        <v>9</v>
      </c>
      <c r="B176" s="116" t="s">
        <v>121</v>
      </c>
      <c r="C176" s="133">
        <v>882</v>
      </c>
      <c r="D176" s="133">
        <v>743</v>
      </c>
      <c r="E176" s="133">
        <f t="shared" si="24"/>
        <v>-139</v>
      </c>
      <c r="F176" s="114">
        <f t="shared" si="25"/>
        <v>-0.15759637188208617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19151</v>
      </c>
      <c r="D179" s="134">
        <f>SUM(D168:D178)</f>
        <v>20719</v>
      </c>
      <c r="E179" s="134">
        <f t="shared" si="24"/>
        <v>1568</v>
      </c>
      <c r="F179" s="120">
        <f t="shared" si="25"/>
        <v>8.1875620072058897E-2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FILING&amp;RDAY KIMBALL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G22" sqref="G22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16595516</v>
      </c>
      <c r="D15" s="157">
        <v>15501940</v>
      </c>
      <c r="E15" s="157">
        <f>+D15-C15</f>
        <v>-1093576</v>
      </c>
      <c r="F15" s="161">
        <f>IF(C15=0,0,E15/C15)</f>
        <v>-6.5895872113889073E-2</v>
      </c>
    </row>
    <row r="16" spans="1:6" ht="15" customHeight="1" x14ac:dyDescent="0.2">
      <c r="A16" s="147">
        <v>2</v>
      </c>
      <c r="B16" s="160" t="s">
        <v>157</v>
      </c>
      <c r="C16" s="157">
        <v>954964</v>
      </c>
      <c r="D16" s="157">
        <v>740061</v>
      </c>
      <c r="E16" s="157">
        <f>+D16-C16</f>
        <v>-214903</v>
      </c>
      <c r="F16" s="161">
        <f>IF(C16=0,0,E16/C16)</f>
        <v>-0.22503780247213506</v>
      </c>
    </row>
    <row r="17" spans="1:6" ht="15" customHeight="1" x14ac:dyDescent="0.2">
      <c r="A17" s="147">
        <v>3</v>
      </c>
      <c r="B17" s="160" t="s">
        <v>158</v>
      </c>
      <c r="C17" s="157">
        <v>29020212</v>
      </c>
      <c r="D17" s="157">
        <v>27562809</v>
      </c>
      <c r="E17" s="157">
        <f>+D17-C17</f>
        <v>-1457403</v>
      </c>
      <c r="F17" s="161">
        <f>IF(C17=0,0,E17/C17)</f>
        <v>-5.0220274062780797E-2</v>
      </c>
    </row>
    <row r="18" spans="1:6" ht="15.75" customHeight="1" x14ac:dyDescent="0.25">
      <c r="A18" s="147"/>
      <c r="B18" s="162" t="s">
        <v>159</v>
      </c>
      <c r="C18" s="158">
        <f>SUM(C15:C17)</f>
        <v>46570692</v>
      </c>
      <c r="D18" s="158">
        <f>SUM(D15:D17)</f>
        <v>43804810</v>
      </c>
      <c r="E18" s="158">
        <f>+D18-C18</f>
        <v>-2765882</v>
      </c>
      <c r="F18" s="159">
        <f>IF(C18=0,0,E18/C18)</f>
        <v>-5.939104362030953E-2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5698238</v>
      </c>
      <c r="D21" s="157">
        <v>4664017</v>
      </c>
      <c r="E21" s="157">
        <f>+D21-C21</f>
        <v>-1034221</v>
      </c>
      <c r="F21" s="161">
        <f>IF(C21=0,0,E21/C21)</f>
        <v>-0.18149838599230148</v>
      </c>
    </row>
    <row r="22" spans="1:6" ht="15" customHeight="1" x14ac:dyDescent="0.2">
      <c r="A22" s="147">
        <v>2</v>
      </c>
      <c r="B22" s="160" t="s">
        <v>162</v>
      </c>
      <c r="C22" s="157">
        <v>327897</v>
      </c>
      <c r="D22" s="157">
        <v>222660</v>
      </c>
      <c r="E22" s="157">
        <f>+D22-C22</f>
        <v>-105237</v>
      </c>
      <c r="F22" s="161">
        <f>IF(C22=0,0,E22/C22)</f>
        <v>-0.32094529684626577</v>
      </c>
    </row>
    <row r="23" spans="1:6" ht="15" customHeight="1" x14ac:dyDescent="0.2">
      <c r="A23" s="147">
        <v>3</v>
      </c>
      <c r="B23" s="160" t="s">
        <v>163</v>
      </c>
      <c r="C23" s="157">
        <v>9964383</v>
      </c>
      <c r="D23" s="157">
        <v>8292729</v>
      </c>
      <c r="E23" s="157">
        <f>+D23-C23</f>
        <v>-1671654</v>
      </c>
      <c r="F23" s="161">
        <f>IF(C23=0,0,E23/C23)</f>
        <v>-0.1677629211964253</v>
      </c>
    </row>
    <row r="24" spans="1:6" ht="15.75" customHeight="1" x14ac:dyDescent="0.25">
      <c r="A24" s="147"/>
      <c r="B24" s="162" t="s">
        <v>164</v>
      </c>
      <c r="C24" s="158">
        <f>SUM(C21:C23)</f>
        <v>15990518</v>
      </c>
      <c r="D24" s="158">
        <f>SUM(D21:D23)</f>
        <v>13179406</v>
      </c>
      <c r="E24" s="158">
        <f>+D24-C24</f>
        <v>-2811112</v>
      </c>
      <c r="F24" s="159">
        <f>IF(C24=0,0,E24/C24)</f>
        <v>-0.17579868269433171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2335350</v>
      </c>
      <c r="D28" s="157">
        <v>2545490</v>
      </c>
      <c r="E28" s="157">
        <f>+D28-C28</f>
        <v>210140</v>
      </c>
      <c r="F28" s="161">
        <f>IF(C28=0,0,E28/C28)</f>
        <v>8.9982229644378783E-2</v>
      </c>
    </row>
    <row r="29" spans="1:6" ht="15" customHeight="1" x14ac:dyDescent="0.2">
      <c r="A29" s="147">
        <v>3</v>
      </c>
      <c r="B29" s="160" t="s">
        <v>168</v>
      </c>
      <c r="C29" s="157">
        <v>1714429</v>
      </c>
      <c r="D29" s="157">
        <v>1213307</v>
      </c>
      <c r="E29" s="157">
        <f>+D29-C29</f>
        <v>-501122</v>
      </c>
      <c r="F29" s="161">
        <f>IF(C29=0,0,E29/C29)</f>
        <v>-0.29229673553118851</v>
      </c>
    </row>
    <row r="30" spans="1:6" ht="15.75" customHeight="1" x14ac:dyDescent="0.25">
      <c r="A30" s="147"/>
      <c r="B30" s="162" t="s">
        <v>169</v>
      </c>
      <c r="C30" s="158">
        <f>SUM(C27:C29)</f>
        <v>4049779</v>
      </c>
      <c r="D30" s="158">
        <f>SUM(D27:D29)</f>
        <v>3758797</v>
      </c>
      <c r="E30" s="158">
        <f>+D30-C30</f>
        <v>-290982</v>
      </c>
      <c r="F30" s="159">
        <f>IF(C30=0,0,E30/C30)</f>
        <v>-7.1851328183587304E-2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8568681</v>
      </c>
      <c r="D33" s="157">
        <v>7944872</v>
      </c>
      <c r="E33" s="157">
        <f>+D33-C33</f>
        <v>-623809</v>
      </c>
      <c r="F33" s="161">
        <f>IF(C33=0,0,E33/C33)</f>
        <v>-7.2801053044219993E-2</v>
      </c>
    </row>
    <row r="34" spans="1:6" ht="15" customHeight="1" x14ac:dyDescent="0.2">
      <c r="A34" s="147">
        <v>2</v>
      </c>
      <c r="B34" s="160" t="s">
        <v>173</v>
      </c>
      <c r="C34" s="157">
        <v>5857572</v>
      </c>
      <c r="D34" s="157">
        <v>6646096</v>
      </c>
      <c r="E34" s="157">
        <f>+D34-C34</f>
        <v>788524</v>
      </c>
      <c r="F34" s="161">
        <f>IF(C34=0,0,E34/C34)</f>
        <v>0.13461618568239536</v>
      </c>
    </row>
    <row r="35" spans="1:6" ht="15.75" customHeight="1" x14ac:dyDescent="0.25">
      <c r="A35" s="147"/>
      <c r="B35" s="162" t="s">
        <v>174</v>
      </c>
      <c r="C35" s="158">
        <f>SUM(C33:C34)</f>
        <v>14426253</v>
      </c>
      <c r="D35" s="158">
        <f>SUM(D33:D34)</f>
        <v>14590968</v>
      </c>
      <c r="E35" s="158">
        <f>+D35-C35</f>
        <v>164715</v>
      </c>
      <c r="F35" s="159">
        <f>IF(C35=0,0,E35/C35)</f>
        <v>1.1417725725453449E-2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2521600</v>
      </c>
      <c r="D38" s="157">
        <v>2551444</v>
      </c>
      <c r="E38" s="157">
        <f>+D38-C38</f>
        <v>29844</v>
      </c>
      <c r="F38" s="161">
        <f>IF(C38=0,0,E38/C38)</f>
        <v>1.1835342639593908E-2</v>
      </c>
    </row>
    <row r="39" spans="1:6" ht="15" customHeight="1" x14ac:dyDescent="0.2">
      <c r="A39" s="147">
        <v>2</v>
      </c>
      <c r="B39" s="160" t="s">
        <v>178</v>
      </c>
      <c r="C39" s="157">
        <v>3153136</v>
      </c>
      <c r="D39" s="157">
        <v>3075685</v>
      </c>
      <c r="E39" s="157">
        <f>+D39-C39</f>
        <v>-77451</v>
      </c>
      <c r="F39" s="161">
        <f>IF(C39=0,0,E39/C39)</f>
        <v>-2.4563165052189313E-2</v>
      </c>
    </row>
    <row r="40" spans="1:6" ht="15" customHeight="1" x14ac:dyDescent="0.2">
      <c r="A40" s="147">
        <v>3</v>
      </c>
      <c r="B40" s="160" t="s">
        <v>179</v>
      </c>
      <c r="C40" s="157">
        <v>129732</v>
      </c>
      <c r="D40" s="157">
        <v>79749</v>
      </c>
      <c r="E40" s="157">
        <f>+D40-C40</f>
        <v>-49983</v>
      </c>
      <c r="F40" s="161">
        <f>IF(C40=0,0,E40/C40)</f>
        <v>-0.38527888261955417</v>
      </c>
    </row>
    <row r="41" spans="1:6" ht="15.75" customHeight="1" x14ac:dyDescent="0.25">
      <c r="A41" s="147"/>
      <c r="B41" s="162" t="s">
        <v>180</v>
      </c>
      <c r="C41" s="158">
        <f>SUM(C38:C40)</f>
        <v>5804468</v>
      </c>
      <c r="D41" s="158">
        <f>SUM(D38:D40)</f>
        <v>5706878</v>
      </c>
      <c r="E41" s="158">
        <f>+D41-C41</f>
        <v>-97590</v>
      </c>
      <c r="F41" s="159">
        <f>IF(C41=0,0,E41/C41)</f>
        <v>-1.6812910330455781E-2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1451212</v>
      </c>
      <c r="D47" s="157">
        <v>1684933</v>
      </c>
      <c r="E47" s="157">
        <f>+D47-C47</f>
        <v>233721</v>
      </c>
      <c r="F47" s="161">
        <f>IF(C47=0,0,E47/C47)</f>
        <v>0.16105227906053698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331712</v>
      </c>
      <c r="D50" s="157">
        <v>361916</v>
      </c>
      <c r="E50" s="157">
        <f>+D50-C50</f>
        <v>30204</v>
      </c>
      <c r="F50" s="161">
        <f>IF(C50=0,0,E50/C50)</f>
        <v>9.1054890989774262E-2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82238</v>
      </c>
      <c r="D53" s="157">
        <v>122991</v>
      </c>
      <c r="E53" s="157">
        <f t="shared" ref="E53:E59" si="0">+D53-C53</f>
        <v>40753</v>
      </c>
      <c r="F53" s="161">
        <f t="shared" ref="F53:F59" si="1">IF(C53=0,0,E53/C53)</f>
        <v>0.49554950266300252</v>
      </c>
    </row>
    <row r="54" spans="1:6" ht="15" customHeight="1" x14ac:dyDescent="0.2">
      <c r="A54" s="147">
        <v>2</v>
      </c>
      <c r="B54" s="160" t="s">
        <v>189</v>
      </c>
      <c r="C54" s="157">
        <v>415412</v>
      </c>
      <c r="D54" s="157">
        <v>367621</v>
      </c>
      <c r="E54" s="157">
        <f t="shared" si="0"/>
        <v>-47791</v>
      </c>
      <c r="F54" s="161">
        <f t="shared" si="1"/>
        <v>-0.11504482297093006</v>
      </c>
    </row>
    <row r="55" spans="1:6" ht="15" customHeight="1" x14ac:dyDescent="0.2">
      <c r="A55" s="147">
        <v>3</v>
      </c>
      <c r="B55" s="160" t="s">
        <v>190</v>
      </c>
      <c r="C55" s="157">
        <v>6673</v>
      </c>
      <c r="D55" s="157">
        <v>14730</v>
      </c>
      <c r="E55" s="157">
        <f t="shared" si="0"/>
        <v>8057</v>
      </c>
      <c r="F55" s="161">
        <f t="shared" si="1"/>
        <v>1.2074029671811779</v>
      </c>
    </row>
    <row r="56" spans="1:6" ht="15" customHeight="1" x14ac:dyDescent="0.2">
      <c r="A56" s="147">
        <v>4</v>
      </c>
      <c r="B56" s="160" t="s">
        <v>191</v>
      </c>
      <c r="C56" s="157">
        <v>1046658</v>
      </c>
      <c r="D56" s="157">
        <v>1116911</v>
      </c>
      <c r="E56" s="157">
        <f t="shared" si="0"/>
        <v>70253</v>
      </c>
      <c r="F56" s="161">
        <f t="shared" si="1"/>
        <v>6.7121256418046768E-2</v>
      </c>
    </row>
    <row r="57" spans="1:6" ht="15" customHeight="1" x14ac:dyDescent="0.2">
      <c r="A57" s="147">
        <v>5</v>
      </c>
      <c r="B57" s="160" t="s">
        <v>192</v>
      </c>
      <c r="C57" s="157">
        <v>511072</v>
      </c>
      <c r="D57" s="157">
        <v>460116</v>
      </c>
      <c r="E57" s="157">
        <f t="shared" si="0"/>
        <v>-50956</v>
      </c>
      <c r="F57" s="161">
        <f t="shared" si="1"/>
        <v>-9.9704151274184458E-2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2062053</v>
      </c>
      <c r="D59" s="158">
        <f>SUM(D53:D58)</f>
        <v>2082369</v>
      </c>
      <c r="E59" s="158">
        <f t="shared" si="0"/>
        <v>20316</v>
      </c>
      <c r="F59" s="159">
        <f t="shared" si="1"/>
        <v>9.8523170839934764E-3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244675</v>
      </c>
      <c r="D62" s="157">
        <v>96625</v>
      </c>
      <c r="E62" s="157">
        <f t="shared" ref="E62:E90" si="2">+D62-C62</f>
        <v>-148050</v>
      </c>
      <c r="F62" s="161">
        <f t="shared" ref="F62:F90" si="3">IF(C62=0,0,E62/C62)</f>
        <v>-0.60508838254827835</v>
      </c>
    </row>
    <row r="63" spans="1:6" ht="15" customHeight="1" x14ac:dyDescent="0.2">
      <c r="A63" s="147">
        <v>2</v>
      </c>
      <c r="B63" s="160" t="s">
        <v>198</v>
      </c>
      <c r="C63" s="157">
        <v>638280</v>
      </c>
      <c r="D63" s="157">
        <v>511781</v>
      </c>
      <c r="E63" s="157">
        <f t="shared" si="2"/>
        <v>-126499</v>
      </c>
      <c r="F63" s="161">
        <f t="shared" si="3"/>
        <v>-0.1981873159115122</v>
      </c>
    </row>
    <row r="64" spans="1:6" ht="15" customHeight="1" x14ac:dyDescent="0.2">
      <c r="A64" s="147">
        <v>3</v>
      </c>
      <c r="B64" s="160" t="s">
        <v>199</v>
      </c>
      <c r="C64" s="157">
        <v>1844713</v>
      </c>
      <c r="D64" s="157">
        <v>700117</v>
      </c>
      <c r="E64" s="157">
        <f t="shared" si="2"/>
        <v>-1144596</v>
      </c>
      <c r="F64" s="161">
        <f t="shared" si="3"/>
        <v>-0.62047375391185511</v>
      </c>
    </row>
    <row r="65" spans="1:6" ht="15" customHeight="1" x14ac:dyDescent="0.2">
      <c r="A65" s="147">
        <v>4</v>
      </c>
      <c r="B65" s="160" t="s">
        <v>200</v>
      </c>
      <c r="C65" s="157">
        <v>312874</v>
      </c>
      <c r="D65" s="157">
        <v>481945</v>
      </c>
      <c r="E65" s="157">
        <f t="shared" si="2"/>
        <v>169071</v>
      </c>
      <c r="F65" s="161">
        <f t="shared" si="3"/>
        <v>0.54038047265033207</v>
      </c>
    </row>
    <row r="66" spans="1:6" ht="15" customHeight="1" x14ac:dyDescent="0.2">
      <c r="A66" s="147">
        <v>5</v>
      </c>
      <c r="B66" s="160" t="s">
        <v>201</v>
      </c>
      <c r="C66" s="157">
        <v>693957</v>
      </c>
      <c r="D66" s="157">
        <v>655973</v>
      </c>
      <c r="E66" s="157">
        <f t="shared" si="2"/>
        <v>-37984</v>
      </c>
      <c r="F66" s="161">
        <f t="shared" si="3"/>
        <v>-5.4735379857829808E-2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1353283</v>
      </c>
      <c r="D68" s="157">
        <v>1638213</v>
      </c>
      <c r="E68" s="157">
        <f t="shared" si="2"/>
        <v>284930</v>
      </c>
      <c r="F68" s="161">
        <f t="shared" si="3"/>
        <v>0.21054723956482124</v>
      </c>
    </row>
    <row r="69" spans="1:6" ht="15" customHeight="1" x14ac:dyDescent="0.2">
      <c r="A69" s="147">
        <v>8</v>
      </c>
      <c r="B69" s="160" t="s">
        <v>204</v>
      </c>
      <c r="C69" s="157">
        <v>780115</v>
      </c>
      <c r="D69" s="157">
        <v>777567</v>
      </c>
      <c r="E69" s="157">
        <f t="shared" si="2"/>
        <v>-2548</v>
      </c>
      <c r="F69" s="161">
        <f t="shared" si="3"/>
        <v>-3.2661851137332316E-3</v>
      </c>
    </row>
    <row r="70" spans="1:6" ht="15" customHeight="1" x14ac:dyDescent="0.2">
      <c r="A70" s="147">
        <v>9</v>
      </c>
      <c r="B70" s="160" t="s">
        <v>205</v>
      </c>
      <c r="C70" s="157">
        <v>310845</v>
      </c>
      <c r="D70" s="157">
        <v>243696</v>
      </c>
      <c r="E70" s="157">
        <f t="shared" si="2"/>
        <v>-67149</v>
      </c>
      <c r="F70" s="161">
        <f t="shared" si="3"/>
        <v>-0.2160208464025479</v>
      </c>
    </row>
    <row r="71" spans="1:6" ht="15" customHeight="1" x14ac:dyDescent="0.2">
      <c r="A71" s="147">
        <v>10</v>
      </c>
      <c r="B71" s="160" t="s">
        <v>206</v>
      </c>
      <c r="C71" s="157">
        <v>26871</v>
      </c>
      <c r="D71" s="157">
        <v>12765</v>
      </c>
      <c r="E71" s="157">
        <f t="shared" si="2"/>
        <v>-14106</v>
      </c>
      <c r="F71" s="161">
        <f t="shared" si="3"/>
        <v>-0.5249525510773696</v>
      </c>
    </row>
    <row r="72" spans="1:6" ht="15" customHeight="1" x14ac:dyDescent="0.2">
      <c r="A72" s="147">
        <v>11</v>
      </c>
      <c r="B72" s="160" t="s">
        <v>207</v>
      </c>
      <c r="C72" s="157">
        <v>142389</v>
      </c>
      <c r="D72" s="157">
        <v>101243</v>
      </c>
      <c r="E72" s="157">
        <f t="shared" si="2"/>
        <v>-41146</v>
      </c>
      <c r="F72" s="161">
        <f t="shared" si="3"/>
        <v>-0.28896895125325694</v>
      </c>
    </row>
    <row r="73" spans="1:6" ht="15" customHeight="1" x14ac:dyDescent="0.2">
      <c r="A73" s="147">
        <v>12</v>
      </c>
      <c r="B73" s="160" t="s">
        <v>208</v>
      </c>
      <c r="C73" s="157">
        <v>214082</v>
      </c>
      <c r="D73" s="157">
        <v>263971</v>
      </c>
      <c r="E73" s="157">
        <f t="shared" si="2"/>
        <v>49889</v>
      </c>
      <c r="F73" s="161">
        <f t="shared" si="3"/>
        <v>0.23303687372128437</v>
      </c>
    </row>
    <row r="74" spans="1:6" ht="15" customHeight="1" x14ac:dyDescent="0.2">
      <c r="A74" s="147">
        <v>13</v>
      </c>
      <c r="B74" s="160" t="s">
        <v>209</v>
      </c>
      <c r="C74" s="157">
        <v>64172</v>
      </c>
      <c r="D74" s="157">
        <v>94808</v>
      </c>
      <c r="E74" s="157">
        <f t="shared" si="2"/>
        <v>30636</v>
      </c>
      <c r="F74" s="161">
        <f t="shared" si="3"/>
        <v>0.47740447547216852</v>
      </c>
    </row>
    <row r="75" spans="1:6" ht="15" customHeight="1" x14ac:dyDescent="0.2">
      <c r="A75" s="147">
        <v>14</v>
      </c>
      <c r="B75" s="160" t="s">
        <v>210</v>
      </c>
      <c r="C75" s="157">
        <v>182118</v>
      </c>
      <c r="D75" s="157">
        <v>100262</v>
      </c>
      <c r="E75" s="157">
        <f t="shared" si="2"/>
        <v>-81856</v>
      </c>
      <c r="F75" s="161">
        <f t="shared" si="3"/>
        <v>-0.44946682919865144</v>
      </c>
    </row>
    <row r="76" spans="1:6" ht="15" customHeight="1" x14ac:dyDescent="0.2">
      <c r="A76" s="147">
        <v>15</v>
      </c>
      <c r="B76" s="160" t="s">
        <v>211</v>
      </c>
      <c r="C76" s="157">
        <v>210957</v>
      </c>
      <c r="D76" s="157">
        <v>255135</v>
      </c>
      <c r="E76" s="157">
        <f t="shared" si="2"/>
        <v>44178</v>
      </c>
      <c r="F76" s="161">
        <f t="shared" si="3"/>
        <v>0.20941708499836459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2671019</v>
      </c>
      <c r="D78" s="157">
        <v>2793162</v>
      </c>
      <c r="E78" s="157">
        <f t="shared" si="2"/>
        <v>122143</v>
      </c>
      <c r="F78" s="161">
        <f t="shared" si="3"/>
        <v>4.5728989572893342E-2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646445</v>
      </c>
      <c r="D80" s="157">
        <v>604077</v>
      </c>
      <c r="E80" s="157">
        <f t="shared" si="2"/>
        <v>-42368</v>
      </c>
      <c r="F80" s="161">
        <f t="shared" si="3"/>
        <v>-6.5539991801313341E-2</v>
      </c>
    </row>
    <row r="81" spans="1:6" ht="15" customHeight="1" x14ac:dyDescent="0.2">
      <c r="A81" s="147">
        <v>20</v>
      </c>
      <c r="B81" s="160" t="s">
        <v>216</v>
      </c>
      <c r="C81" s="157">
        <v>1502961</v>
      </c>
      <c r="D81" s="157">
        <v>1653075</v>
      </c>
      <c r="E81" s="157">
        <f t="shared" si="2"/>
        <v>150114</v>
      </c>
      <c r="F81" s="161">
        <f t="shared" si="3"/>
        <v>9.9878839171475511E-2</v>
      </c>
    </row>
    <row r="82" spans="1:6" ht="15" customHeight="1" x14ac:dyDescent="0.2">
      <c r="A82" s="147">
        <v>21</v>
      </c>
      <c r="B82" s="160" t="s">
        <v>217</v>
      </c>
      <c r="C82" s="157">
        <v>159527</v>
      </c>
      <c r="D82" s="157">
        <v>129723</v>
      </c>
      <c r="E82" s="157">
        <f t="shared" si="2"/>
        <v>-29804</v>
      </c>
      <c r="F82" s="161">
        <f t="shared" si="3"/>
        <v>-0.1868273082299548</v>
      </c>
    </row>
    <row r="83" spans="1:6" ht="15" customHeight="1" x14ac:dyDescent="0.2">
      <c r="A83" s="147">
        <v>22</v>
      </c>
      <c r="B83" s="160" t="s">
        <v>218</v>
      </c>
      <c r="C83" s="157">
        <v>67515</v>
      </c>
      <c r="D83" s="157">
        <v>302015</v>
      </c>
      <c r="E83" s="157">
        <f t="shared" si="2"/>
        <v>234500</v>
      </c>
      <c r="F83" s="161">
        <f t="shared" si="3"/>
        <v>3.4733022291342666</v>
      </c>
    </row>
    <row r="84" spans="1:6" ht="15" customHeight="1" x14ac:dyDescent="0.2">
      <c r="A84" s="147">
        <v>23</v>
      </c>
      <c r="B84" s="160" t="s">
        <v>219</v>
      </c>
      <c r="C84" s="157">
        <v>327069</v>
      </c>
      <c r="D84" s="157">
        <v>326773</v>
      </c>
      <c r="E84" s="157">
        <f t="shared" si="2"/>
        <v>-296</v>
      </c>
      <c r="F84" s="161">
        <f t="shared" si="3"/>
        <v>-9.0500781180729445E-4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122036</v>
      </c>
      <c r="D86" s="157">
        <v>123269</v>
      </c>
      <c r="E86" s="157">
        <f t="shared" si="2"/>
        <v>1233</v>
      </c>
      <c r="F86" s="161">
        <f t="shared" si="3"/>
        <v>1.0103575993968992E-2</v>
      </c>
    </row>
    <row r="87" spans="1:6" ht="15" customHeight="1" x14ac:dyDescent="0.2">
      <c r="A87" s="147">
        <v>26</v>
      </c>
      <c r="B87" s="160" t="s">
        <v>222</v>
      </c>
      <c r="C87" s="157">
        <v>1246632</v>
      </c>
      <c r="D87" s="157">
        <v>1354620</v>
      </c>
      <c r="E87" s="157">
        <f t="shared" si="2"/>
        <v>107988</v>
      </c>
      <c r="F87" s="161">
        <f t="shared" si="3"/>
        <v>8.6623799164468746E-2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4597935</v>
      </c>
      <c r="D89" s="157">
        <v>6234379</v>
      </c>
      <c r="E89" s="157">
        <f t="shared" si="2"/>
        <v>1636444</v>
      </c>
      <c r="F89" s="161">
        <f t="shared" si="3"/>
        <v>0.35590846760556644</v>
      </c>
    </row>
    <row r="90" spans="1:6" ht="15.75" customHeight="1" x14ac:dyDescent="0.25">
      <c r="A90" s="147"/>
      <c r="B90" s="162" t="s">
        <v>225</v>
      </c>
      <c r="C90" s="158">
        <f>SUM(C62:C89)</f>
        <v>18360470</v>
      </c>
      <c r="D90" s="158">
        <f>SUM(D62:D89)</f>
        <v>19455194</v>
      </c>
      <c r="E90" s="158">
        <f t="shared" si="2"/>
        <v>1094724</v>
      </c>
      <c r="F90" s="159">
        <f t="shared" si="3"/>
        <v>5.9623963874563125E-2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2480566</v>
      </c>
      <c r="D93" s="157">
        <v>3794876</v>
      </c>
      <c r="E93" s="157">
        <f>+D93-C93</f>
        <v>1314310</v>
      </c>
      <c r="F93" s="161">
        <f>IF(C93=0,0,E93/C93)</f>
        <v>0.5298427858803193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111527723</v>
      </c>
      <c r="D95" s="158">
        <f>+D93+D90+D59+D50+D47+D44+D41+D35+D30+D24+D18</f>
        <v>108420147</v>
      </c>
      <c r="E95" s="158">
        <f>+D95-C95</f>
        <v>-3107576</v>
      </c>
      <c r="F95" s="159">
        <f>IF(C95=0,0,E95/C95)</f>
        <v>-2.7863708828700824E-2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6180389</v>
      </c>
      <c r="D103" s="157">
        <v>4761687</v>
      </c>
      <c r="E103" s="157">
        <f t="shared" ref="E103:E121" si="4">D103-C103</f>
        <v>-1418702</v>
      </c>
      <c r="F103" s="161">
        <f t="shared" ref="F103:F121" si="5">IF(C103=0,0,E103/C103)</f>
        <v>-0.22954898146378813</v>
      </c>
    </row>
    <row r="104" spans="1:6" ht="15" customHeight="1" x14ac:dyDescent="0.2">
      <c r="A104" s="147">
        <v>2</v>
      </c>
      <c r="B104" s="169" t="s">
        <v>234</v>
      </c>
      <c r="C104" s="157">
        <v>1262449</v>
      </c>
      <c r="D104" s="157">
        <v>821887</v>
      </c>
      <c r="E104" s="157">
        <f t="shared" si="4"/>
        <v>-440562</v>
      </c>
      <c r="F104" s="161">
        <f t="shared" si="5"/>
        <v>-0.34897409717145011</v>
      </c>
    </row>
    <row r="105" spans="1:6" ht="15" customHeight="1" x14ac:dyDescent="0.2">
      <c r="A105" s="147">
        <v>3</v>
      </c>
      <c r="B105" s="169" t="s">
        <v>235</v>
      </c>
      <c r="C105" s="157">
        <v>2951851</v>
      </c>
      <c r="D105" s="157">
        <v>2881002</v>
      </c>
      <c r="E105" s="157">
        <f t="shared" si="4"/>
        <v>-70849</v>
      </c>
      <c r="F105" s="161">
        <f t="shared" si="5"/>
        <v>-2.4001550213747239E-2</v>
      </c>
    </row>
    <row r="106" spans="1:6" ht="15" customHeight="1" x14ac:dyDescent="0.2">
      <c r="A106" s="147">
        <v>4</v>
      </c>
      <c r="B106" s="169" t="s">
        <v>236</v>
      </c>
      <c r="C106" s="157">
        <v>0</v>
      </c>
      <c r="D106" s="157">
        <v>0</v>
      </c>
      <c r="E106" s="157">
        <f t="shared" si="4"/>
        <v>0</v>
      </c>
      <c r="F106" s="161">
        <f t="shared" si="5"/>
        <v>0</v>
      </c>
    </row>
    <row r="107" spans="1:6" ht="15" customHeight="1" x14ac:dyDescent="0.2">
      <c r="A107" s="147">
        <v>5</v>
      </c>
      <c r="B107" s="169" t="s">
        <v>237</v>
      </c>
      <c r="C107" s="157">
        <v>413503</v>
      </c>
      <c r="D107" s="157">
        <v>433100</v>
      </c>
      <c r="E107" s="157">
        <f t="shared" si="4"/>
        <v>19597</v>
      </c>
      <c r="F107" s="161">
        <f t="shared" si="5"/>
        <v>4.7392642858697522E-2</v>
      </c>
    </row>
    <row r="108" spans="1:6" ht="15" customHeight="1" x14ac:dyDescent="0.2">
      <c r="A108" s="147">
        <v>6</v>
      </c>
      <c r="B108" s="169" t="s">
        <v>238</v>
      </c>
      <c r="C108" s="157">
        <v>731883</v>
      </c>
      <c r="D108" s="157">
        <v>626322</v>
      </c>
      <c r="E108" s="157">
        <f t="shared" si="4"/>
        <v>-105561</v>
      </c>
      <c r="F108" s="161">
        <f t="shared" si="5"/>
        <v>-0.1442320698800218</v>
      </c>
    </row>
    <row r="109" spans="1:6" ht="15" customHeight="1" x14ac:dyDescent="0.2">
      <c r="A109" s="147">
        <v>7</v>
      </c>
      <c r="B109" s="169" t="s">
        <v>239</v>
      </c>
      <c r="C109" s="157">
        <v>15860078</v>
      </c>
      <c r="D109" s="157">
        <v>11837434</v>
      </c>
      <c r="E109" s="157">
        <f t="shared" si="4"/>
        <v>-4022644</v>
      </c>
      <c r="F109" s="161">
        <f t="shared" si="5"/>
        <v>-0.25363330495600339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554626</v>
      </c>
      <c r="D111" s="157">
        <v>495267</v>
      </c>
      <c r="E111" s="157">
        <f t="shared" si="4"/>
        <v>-59359</v>
      </c>
      <c r="F111" s="161">
        <f t="shared" si="5"/>
        <v>-0.10702527468961065</v>
      </c>
    </row>
    <row r="112" spans="1:6" ht="15" customHeight="1" x14ac:dyDescent="0.2">
      <c r="A112" s="147">
        <v>10</v>
      </c>
      <c r="B112" s="169" t="s">
        <v>242</v>
      </c>
      <c r="C112" s="157">
        <v>1932784</v>
      </c>
      <c r="D112" s="157">
        <v>1850420</v>
      </c>
      <c r="E112" s="157">
        <f t="shared" si="4"/>
        <v>-82364</v>
      </c>
      <c r="F112" s="161">
        <f t="shared" si="5"/>
        <v>-4.2614177269679386E-2</v>
      </c>
    </row>
    <row r="113" spans="1:6" ht="15" customHeight="1" x14ac:dyDescent="0.2">
      <c r="A113" s="147">
        <v>11</v>
      </c>
      <c r="B113" s="169" t="s">
        <v>243</v>
      </c>
      <c r="C113" s="157">
        <v>1053013</v>
      </c>
      <c r="D113" s="157">
        <v>1150044</v>
      </c>
      <c r="E113" s="157">
        <f t="shared" si="4"/>
        <v>97031</v>
      </c>
      <c r="F113" s="161">
        <f t="shared" si="5"/>
        <v>9.2146060874842006E-2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3637811</v>
      </c>
      <c r="D115" s="157">
        <v>3423421</v>
      </c>
      <c r="E115" s="157">
        <f t="shared" si="4"/>
        <v>-214390</v>
      </c>
      <c r="F115" s="161">
        <f t="shared" si="5"/>
        <v>-5.8933792877090094E-2</v>
      </c>
    </row>
    <row r="116" spans="1:6" ht="15" customHeight="1" x14ac:dyDescent="0.2">
      <c r="A116" s="147">
        <v>14</v>
      </c>
      <c r="B116" s="169" t="s">
        <v>246</v>
      </c>
      <c r="C116" s="157">
        <v>616856</v>
      </c>
      <c r="D116" s="157">
        <v>618085</v>
      </c>
      <c r="E116" s="157">
        <f t="shared" si="4"/>
        <v>1229</v>
      </c>
      <c r="F116" s="161">
        <f t="shared" si="5"/>
        <v>1.9923612642172564E-3</v>
      </c>
    </row>
    <row r="117" spans="1:6" ht="15" customHeight="1" x14ac:dyDescent="0.2">
      <c r="A117" s="147">
        <v>15</v>
      </c>
      <c r="B117" s="169" t="s">
        <v>203</v>
      </c>
      <c r="C117" s="157">
        <v>871721</v>
      </c>
      <c r="D117" s="157">
        <v>857180</v>
      </c>
      <c r="E117" s="157">
        <f t="shared" si="4"/>
        <v>-14541</v>
      </c>
      <c r="F117" s="161">
        <f t="shared" si="5"/>
        <v>-1.6680795805079838E-2</v>
      </c>
    </row>
    <row r="118" spans="1:6" ht="15" customHeight="1" x14ac:dyDescent="0.2">
      <c r="A118" s="147">
        <v>16</v>
      </c>
      <c r="B118" s="169" t="s">
        <v>247</v>
      </c>
      <c r="C118" s="157">
        <v>243286</v>
      </c>
      <c r="D118" s="157">
        <v>279984</v>
      </c>
      <c r="E118" s="157">
        <f t="shared" si="4"/>
        <v>36698</v>
      </c>
      <c r="F118" s="161">
        <f t="shared" si="5"/>
        <v>0.15084304070106788</v>
      </c>
    </row>
    <row r="119" spans="1:6" ht="15" customHeight="1" x14ac:dyDescent="0.2">
      <c r="A119" s="147">
        <v>17</v>
      </c>
      <c r="B119" s="169" t="s">
        <v>248</v>
      </c>
      <c r="C119" s="157">
        <v>6684917</v>
      </c>
      <c r="D119" s="157">
        <v>7577745</v>
      </c>
      <c r="E119" s="157">
        <f t="shared" si="4"/>
        <v>892828</v>
      </c>
      <c r="F119" s="161">
        <f t="shared" si="5"/>
        <v>0.13355857671830482</v>
      </c>
    </row>
    <row r="120" spans="1:6" ht="15" customHeight="1" x14ac:dyDescent="0.2">
      <c r="A120" s="147">
        <v>18</v>
      </c>
      <c r="B120" s="169" t="s">
        <v>249</v>
      </c>
      <c r="C120" s="157">
        <v>2051348</v>
      </c>
      <c r="D120" s="157">
        <v>2257947</v>
      </c>
      <c r="E120" s="157">
        <f t="shared" si="4"/>
        <v>206599</v>
      </c>
      <c r="F120" s="161">
        <f t="shared" si="5"/>
        <v>0.10071377455214815</v>
      </c>
    </row>
    <row r="121" spans="1:6" ht="15.75" customHeight="1" x14ac:dyDescent="0.25">
      <c r="A121" s="147"/>
      <c r="B121" s="165" t="s">
        <v>250</v>
      </c>
      <c r="C121" s="158">
        <f>SUM(C103:C120)</f>
        <v>45046515</v>
      </c>
      <c r="D121" s="158">
        <f>SUM(D103:D120)</f>
        <v>39871525</v>
      </c>
      <c r="E121" s="158">
        <f t="shared" si="4"/>
        <v>-5174990</v>
      </c>
      <c r="F121" s="159">
        <f t="shared" si="5"/>
        <v>-0.1148810290873778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130423</v>
      </c>
      <c r="D124" s="157">
        <v>129158</v>
      </c>
      <c r="E124" s="157">
        <f t="shared" ref="E124:E130" si="6">D124-C124</f>
        <v>-1265</v>
      </c>
      <c r="F124" s="161">
        <f t="shared" ref="F124:F130" si="7">IF(C124=0,0,E124/C124)</f>
        <v>-9.6992094952577379E-3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1458627</v>
      </c>
      <c r="D126" s="157">
        <v>1188630</v>
      </c>
      <c r="E126" s="157">
        <f t="shared" si="6"/>
        <v>-269997</v>
      </c>
      <c r="F126" s="161">
        <f t="shared" si="7"/>
        <v>-0.1851035254386488</v>
      </c>
    </row>
    <row r="127" spans="1:6" ht="15" customHeight="1" x14ac:dyDescent="0.2">
      <c r="A127" s="147">
        <v>4</v>
      </c>
      <c r="B127" s="169" t="s">
        <v>255</v>
      </c>
      <c r="C127" s="157">
        <v>1024630</v>
      </c>
      <c r="D127" s="157">
        <v>932937</v>
      </c>
      <c r="E127" s="157">
        <f t="shared" si="6"/>
        <v>-91693</v>
      </c>
      <c r="F127" s="161">
        <f t="shared" si="7"/>
        <v>-8.9488888672008438E-2</v>
      </c>
    </row>
    <row r="128" spans="1:6" ht="15" customHeight="1" x14ac:dyDescent="0.2">
      <c r="A128" s="147">
        <v>5</v>
      </c>
      <c r="B128" s="169" t="s">
        <v>256</v>
      </c>
      <c r="C128" s="157">
        <v>750568</v>
      </c>
      <c r="D128" s="157">
        <v>732396</v>
      </c>
      <c r="E128" s="157">
        <f t="shared" si="6"/>
        <v>-18172</v>
      </c>
      <c r="F128" s="161">
        <f t="shared" si="7"/>
        <v>-2.4210997537864657E-2</v>
      </c>
    </row>
    <row r="129" spans="1:6" ht="15" customHeight="1" x14ac:dyDescent="0.2">
      <c r="A129" s="147">
        <v>6</v>
      </c>
      <c r="B129" s="169" t="s">
        <v>257</v>
      </c>
      <c r="C129" s="157">
        <v>90716</v>
      </c>
      <c r="D129" s="157">
        <v>16279</v>
      </c>
      <c r="E129" s="157">
        <f t="shared" si="6"/>
        <v>-74437</v>
      </c>
      <c r="F129" s="161">
        <f t="shared" si="7"/>
        <v>-0.82054984787689056</v>
      </c>
    </row>
    <row r="130" spans="1:6" ht="15.75" customHeight="1" x14ac:dyDescent="0.25">
      <c r="A130" s="147"/>
      <c r="B130" s="165" t="s">
        <v>258</v>
      </c>
      <c r="C130" s="158">
        <f>SUM(C124:C129)</f>
        <v>3454964</v>
      </c>
      <c r="D130" s="158">
        <f>SUM(D124:D129)</f>
        <v>2999400</v>
      </c>
      <c r="E130" s="158">
        <f t="shared" si="6"/>
        <v>-455564</v>
      </c>
      <c r="F130" s="159">
        <f t="shared" si="7"/>
        <v>-0.1318578138585525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6225228</v>
      </c>
      <c r="D133" s="157">
        <v>6598657</v>
      </c>
      <c r="E133" s="157">
        <f t="shared" ref="E133:E167" si="8">D133-C133</f>
        <v>373429</v>
      </c>
      <c r="F133" s="161">
        <f t="shared" ref="F133:F167" si="9">IF(C133=0,0,E133/C133)</f>
        <v>5.9986397285368503E-2</v>
      </c>
    </row>
    <row r="134" spans="1:6" ht="15" customHeight="1" x14ac:dyDescent="0.2">
      <c r="A134" s="147">
        <v>2</v>
      </c>
      <c r="B134" s="169" t="s">
        <v>261</v>
      </c>
      <c r="C134" s="157">
        <v>515903</v>
      </c>
      <c r="D134" s="157">
        <v>489867</v>
      </c>
      <c r="E134" s="157">
        <f t="shared" si="8"/>
        <v>-26036</v>
      </c>
      <c r="F134" s="161">
        <f t="shared" si="9"/>
        <v>-5.0466851326702887E-2</v>
      </c>
    </row>
    <row r="135" spans="1:6" ht="15" customHeight="1" x14ac:dyDescent="0.2">
      <c r="A135" s="147">
        <v>3</v>
      </c>
      <c r="B135" s="169" t="s">
        <v>262</v>
      </c>
      <c r="C135" s="157">
        <v>230943</v>
      </c>
      <c r="D135" s="157">
        <v>110391</v>
      </c>
      <c r="E135" s="157">
        <f t="shared" si="8"/>
        <v>-120552</v>
      </c>
      <c r="F135" s="161">
        <f t="shared" si="9"/>
        <v>-0.52199893480209403</v>
      </c>
    </row>
    <row r="136" spans="1:6" ht="15" customHeight="1" x14ac:dyDescent="0.2">
      <c r="A136" s="147">
        <v>4</v>
      </c>
      <c r="B136" s="169" t="s">
        <v>263</v>
      </c>
      <c r="C136" s="157">
        <v>1311257</v>
      </c>
      <c r="D136" s="157">
        <v>1199501</v>
      </c>
      <c r="E136" s="157">
        <f t="shared" si="8"/>
        <v>-111756</v>
      </c>
      <c r="F136" s="161">
        <f t="shared" si="9"/>
        <v>-8.5228143681978438E-2</v>
      </c>
    </row>
    <row r="137" spans="1:6" ht="15" customHeight="1" x14ac:dyDescent="0.2">
      <c r="A137" s="147">
        <v>5</v>
      </c>
      <c r="B137" s="169" t="s">
        <v>264</v>
      </c>
      <c r="C137" s="157">
        <v>2273776</v>
      </c>
      <c r="D137" s="157">
        <v>2317367</v>
      </c>
      <c r="E137" s="157">
        <f t="shared" si="8"/>
        <v>43591</v>
      </c>
      <c r="F137" s="161">
        <f t="shared" si="9"/>
        <v>1.9171193644404727E-2</v>
      </c>
    </row>
    <row r="138" spans="1:6" ht="15" customHeight="1" x14ac:dyDescent="0.2">
      <c r="A138" s="147">
        <v>6</v>
      </c>
      <c r="B138" s="169" t="s">
        <v>265</v>
      </c>
      <c r="C138" s="157">
        <v>890975</v>
      </c>
      <c r="D138" s="157">
        <v>942853</v>
      </c>
      <c r="E138" s="157">
        <f t="shared" si="8"/>
        <v>51878</v>
      </c>
      <c r="F138" s="161">
        <f t="shared" si="9"/>
        <v>5.8226100620107184E-2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477869</v>
      </c>
      <c r="D140" s="157">
        <v>523872</v>
      </c>
      <c r="E140" s="157">
        <f t="shared" si="8"/>
        <v>46003</v>
      </c>
      <c r="F140" s="161">
        <f t="shared" si="9"/>
        <v>9.6266968562513988E-2</v>
      </c>
    </row>
    <row r="141" spans="1:6" ht="15" customHeight="1" x14ac:dyDescent="0.2">
      <c r="A141" s="147">
        <v>9</v>
      </c>
      <c r="B141" s="169" t="s">
        <v>268</v>
      </c>
      <c r="C141" s="157">
        <v>633229</v>
      </c>
      <c r="D141" s="157">
        <v>719733</v>
      </c>
      <c r="E141" s="157">
        <f t="shared" si="8"/>
        <v>86504</v>
      </c>
      <c r="F141" s="161">
        <f t="shared" si="9"/>
        <v>0.1366077674901181</v>
      </c>
    </row>
    <row r="142" spans="1:6" ht="15" customHeight="1" x14ac:dyDescent="0.2">
      <c r="A142" s="147">
        <v>10</v>
      </c>
      <c r="B142" s="169" t="s">
        <v>269</v>
      </c>
      <c r="C142" s="157">
        <v>6505027</v>
      </c>
      <c r="D142" s="157">
        <v>6492794</v>
      </c>
      <c r="E142" s="157">
        <f t="shared" si="8"/>
        <v>-12233</v>
      </c>
      <c r="F142" s="161">
        <f t="shared" si="9"/>
        <v>-1.8805456149528664E-3</v>
      </c>
    </row>
    <row r="143" spans="1:6" ht="15" customHeight="1" x14ac:dyDescent="0.2">
      <c r="A143" s="147">
        <v>11</v>
      </c>
      <c r="B143" s="169" t="s">
        <v>270</v>
      </c>
      <c r="C143" s="157">
        <v>312915</v>
      </c>
      <c r="D143" s="157">
        <v>410002</v>
      </c>
      <c r="E143" s="157">
        <f t="shared" si="8"/>
        <v>97087</v>
      </c>
      <c r="F143" s="161">
        <f t="shared" si="9"/>
        <v>0.31026636626559928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414061</v>
      </c>
      <c r="D145" s="157">
        <v>386390</v>
      </c>
      <c r="E145" s="157">
        <f t="shared" si="8"/>
        <v>-27671</v>
      </c>
      <c r="F145" s="161">
        <f t="shared" si="9"/>
        <v>-6.6828317566735337E-2</v>
      </c>
    </row>
    <row r="146" spans="1:6" ht="15" customHeight="1" x14ac:dyDescent="0.2">
      <c r="A146" s="147">
        <v>14</v>
      </c>
      <c r="B146" s="169" t="s">
        <v>273</v>
      </c>
      <c r="C146" s="157">
        <v>126300</v>
      </c>
      <c r="D146" s="157">
        <v>57389</v>
      </c>
      <c r="E146" s="157">
        <f t="shared" si="8"/>
        <v>-68911</v>
      </c>
      <c r="F146" s="161">
        <f t="shared" si="9"/>
        <v>-0.54561361836896283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642307</v>
      </c>
      <c r="D150" s="157">
        <v>629315</v>
      </c>
      <c r="E150" s="157">
        <f t="shared" si="8"/>
        <v>-12992</v>
      </c>
      <c r="F150" s="161">
        <f t="shared" si="9"/>
        <v>-2.0227087669914854E-2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344363</v>
      </c>
      <c r="D152" s="157">
        <v>413169</v>
      </c>
      <c r="E152" s="157">
        <f t="shared" si="8"/>
        <v>68806</v>
      </c>
      <c r="F152" s="161">
        <f t="shared" si="9"/>
        <v>0.19980659943141393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3541472</v>
      </c>
      <c r="D156" s="157">
        <v>3861065</v>
      </c>
      <c r="E156" s="157">
        <f t="shared" si="8"/>
        <v>319593</v>
      </c>
      <c r="F156" s="161">
        <f t="shared" si="9"/>
        <v>9.024298370846924E-2</v>
      </c>
    </row>
    <row r="157" spans="1:6" ht="15" customHeight="1" x14ac:dyDescent="0.2">
      <c r="A157" s="147">
        <v>25</v>
      </c>
      <c r="B157" s="169" t="s">
        <v>284</v>
      </c>
      <c r="C157" s="157">
        <v>1297166</v>
      </c>
      <c r="D157" s="157">
        <v>1299862</v>
      </c>
      <c r="E157" s="157">
        <f t="shared" si="8"/>
        <v>2696</v>
      </c>
      <c r="F157" s="161">
        <f t="shared" si="9"/>
        <v>2.0783770157404681E-3</v>
      </c>
    </row>
    <row r="158" spans="1:6" ht="15" customHeight="1" x14ac:dyDescent="0.2">
      <c r="A158" s="147">
        <v>26</v>
      </c>
      <c r="B158" s="169" t="s">
        <v>285</v>
      </c>
      <c r="C158" s="157">
        <v>181930</v>
      </c>
      <c r="D158" s="157">
        <v>173894</v>
      </c>
      <c r="E158" s="157">
        <f t="shared" si="8"/>
        <v>-8036</v>
      </c>
      <c r="F158" s="161">
        <f t="shared" si="9"/>
        <v>-4.4170834936514046E-2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933042</v>
      </c>
      <c r="D160" s="157">
        <v>972954</v>
      </c>
      <c r="E160" s="157">
        <f t="shared" si="8"/>
        <v>39912</v>
      </c>
      <c r="F160" s="161">
        <f t="shared" si="9"/>
        <v>4.2776209431086704E-2</v>
      </c>
    </row>
    <row r="161" spans="1:6" ht="15" customHeight="1" x14ac:dyDescent="0.2">
      <c r="A161" s="147">
        <v>29</v>
      </c>
      <c r="B161" s="169" t="s">
        <v>288</v>
      </c>
      <c r="C161" s="157">
        <v>466766</v>
      </c>
      <c r="D161" s="157">
        <v>439866</v>
      </c>
      <c r="E161" s="157">
        <f t="shared" si="8"/>
        <v>-26900</v>
      </c>
      <c r="F161" s="161">
        <f t="shared" si="9"/>
        <v>-5.7630590060115776E-2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309738</v>
      </c>
      <c r="D163" s="157">
        <v>265366</v>
      </c>
      <c r="E163" s="157">
        <f t="shared" si="8"/>
        <v>-44372</v>
      </c>
      <c r="F163" s="161">
        <f t="shared" si="9"/>
        <v>-0.14325655876902416</v>
      </c>
    </row>
    <row r="164" spans="1:6" ht="15" customHeight="1" x14ac:dyDescent="0.2">
      <c r="A164" s="147">
        <v>32</v>
      </c>
      <c r="B164" s="169" t="s">
        <v>291</v>
      </c>
      <c r="C164" s="157">
        <v>0</v>
      </c>
      <c r="D164" s="157">
        <v>0</v>
      </c>
      <c r="E164" s="157">
        <f t="shared" si="8"/>
        <v>0</v>
      </c>
      <c r="F164" s="161">
        <f t="shared" si="9"/>
        <v>0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2220754</v>
      </c>
      <c r="D166" s="157">
        <v>2164898</v>
      </c>
      <c r="E166" s="157">
        <f t="shared" si="8"/>
        <v>-55856</v>
      </c>
      <c r="F166" s="161">
        <f t="shared" si="9"/>
        <v>-2.5151817806024442E-2</v>
      </c>
    </row>
    <row r="167" spans="1:6" ht="15.75" customHeight="1" x14ac:dyDescent="0.25">
      <c r="A167" s="147"/>
      <c r="B167" s="165" t="s">
        <v>294</v>
      </c>
      <c r="C167" s="158">
        <f>SUM(C133:C166)</f>
        <v>29855021</v>
      </c>
      <c r="D167" s="158">
        <f>SUM(D133:D166)</f>
        <v>30469205</v>
      </c>
      <c r="E167" s="158">
        <f t="shared" si="8"/>
        <v>614184</v>
      </c>
      <c r="F167" s="159">
        <f t="shared" si="9"/>
        <v>2.0572217986381588E-2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3097561</v>
      </c>
      <c r="D170" s="157">
        <v>2994703</v>
      </c>
      <c r="E170" s="157">
        <f t="shared" ref="E170:E183" si="10">D170-C170</f>
        <v>-102858</v>
      </c>
      <c r="F170" s="161">
        <f t="shared" ref="F170:F183" si="11">IF(C170=0,0,E170/C170)</f>
        <v>-3.320612572278641E-2</v>
      </c>
    </row>
    <row r="171" spans="1:6" ht="15" customHeight="1" x14ac:dyDescent="0.2">
      <c r="A171" s="147">
        <v>2</v>
      </c>
      <c r="B171" s="169" t="s">
        <v>297</v>
      </c>
      <c r="C171" s="157">
        <v>2629471</v>
      </c>
      <c r="D171" s="157">
        <v>2474198</v>
      </c>
      <c r="E171" s="157">
        <f t="shared" si="10"/>
        <v>-155273</v>
      </c>
      <c r="F171" s="161">
        <f t="shared" si="11"/>
        <v>-5.9051041064913816E-2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2527982</v>
      </c>
      <c r="D173" s="157">
        <v>2580291</v>
      </c>
      <c r="E173" s="157">
        <f t="shared" si="10"/>
        <v>52309</v>
      </c>
      <c r="F173" s="161">
        <f t="shared" si="11"/>
        <v>2.0691998598091284E-2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404101</v>
      </c>
      <c r="D175" s="157">
        <v>363091</v>
      </c>
      <c r="E175" s="157">
        <f t="shared" si="10"/>
        <v>-41010</v>
      </c>
      <c r="F175" s="161">
        <f t="shared" si="11"/>
        <v>-0.10148452985763461</v>
      </c>
    </row>
    <row r="176" spans="1:6" ht="15" customHeight="1" x14ac:dyDescent="0.2">
      <c r="A176" s="147">
        <v>7</v>
      </c>
      <c r="B176" s="169" t="s">
        <v>302</v>
      </c>
      <c r="C176" s="157">
        <v>632286</v>
      </c>
      <c r="D176" s="157">
        <v>489469</v>
      </c>
      <c r="E176" s="157">
        <f t="shared" si="10"/>
        <v>-142817</v>
      </c>
      <c r="F176" s="161">
        <f t="shared" si="11"/>
        <v>-0.22587405066694502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2163345</v>
      </c>
      <c r="D178" s="157">
        <v>2010629</v>
      </c>
      <c r="E178" s="157">
        <f t="shared" si="10"/>
        <v>-152716</v>
      </c>
      <c r="F178" s="161">
        <f t="shared" si="11"/>
        <v>-7.0592531473250911E-2</v>
      </c>
    </row>
    <row r="179" spans="1:6" ht="15" customHeight="1" x14ac:dyDescent="0.2">
      <c r="A179" s="147">
        <v>10</v>
      </c>
      <c r="B179" s="169" t="s">
        <v>305</v>
      </c>
      <c r="C179" s="157">
        <v>1399311</v>
      </c>
      <c r="D179" s="157">
        <v>1312114</v>
      </c>
      <c r="E179" s="157">
        <f t="shared" si="10"/>
        <v>-87197</v>
      </c>
      <c r="F179" s="161">
        <f t="shared" si="11"/>
        <v>-6.2314238936162156E-2</v>
      </c>
    </row>
    <row r="180" spans="1:6" ht="15" customHeight="1" x14ac:dyDescent="0.2">
      <c r="A180" s="147">
        <v>11</v>
      </c>
      <c r="B180" s="169" t="s">
        <v>306</v>
      </c>
      <c r="C180" s="157">
        <v>5444024</v>
      </c>
      <c r="D180" s="157">
        <v>5808398</v>
      </c>
      <c r="E180" s="157">
        <f t="shared" si="10"/>
        <v>364374</v>
      </c>
      <c r="F180" s="161">
        <f t="shared" si="11"/>
        <v>6.6931005447441086E-2</v>
      </c>
    </row>
    <row r="181" spans="1:6" ht="15" customHeight="1" x14ac:dyDescent="0.2">
      <c r="A181" s="147">
        <v>12</v>
      </c>
      <c r="B181" s="169" t="s">
        <v>307</v>
      </c>
      <c r="C181" s="157">
        <v>1241536</v>
      </c>
      <c r="D181" s="157">
        <v>1115151</v>
      </c>
      <c r="E181" s="157">
        <f t="shared" si="10"/>
        <v>-126385</v>
      </c>
      <c r="F181" s="161">
        <f t="shared" si="11"/>
        <v>-0.10179728980875302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19539617</v>
      </c>
      <c r="D183" s="158">
        <f>SUM(D170:D182)</f>
        <v>19148044</v>
      </c>
      <c r="E183" s="158">
        <f t="shared" si="10"/>
        <v>-391573</v>
      </c>
      <c r="F183" s="159">
        <f t="shared" si="11"/>
        <v>-2.0039952676656866E-2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13631606</v>
      </c>
      <c r="D186" s="157">
        <v>15931973</v>
      </c>
      <c r="E186" s="157">
        <f>D186-C186</f>
        <v>2300367</v>
      </c>
      <c r="F186" s="161">
        <f>IF(C186=0,0,E186/C186)</f>
        <v>0.16875245660709384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111527723</v>
      </c>
      <c r="D188" s="158">
        <f>+D186+D183+D167+D130+D121</f>
        <v>108420147</v>
      </c>
      <c r="E188" s="158">
        <f>D188-C188</f>
        <v>-3107576</v>
      </c>
      <c r="F188" s="159">
        <f>IF(C188=0,0,E188/C188)</f>
        <v>-2.7863708828700824E-2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FILING&amp;RDAY KIMBALL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104847336</v>
      </c>
      <c r="D11" s="183">
        <v>106271224</v>
      </c>
      <c r="E11" s="76">
        <v>107636099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6695752</v>
      </c>
      <c r="D12" s="185">
        <v>3398748</v>
      </c>
      <c r="E12" s="185">
        <v>6439110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111543088</v>
      </c>
      <c r="D13" s="76">
        <f>+D11+D12</f>
        <v>109669972</v>
      </c>
      <c r="E13" s="76">
        <f>+E11+E12</f>
        <v>114075209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109004882</v>
      </c>
      <c r="D14" s="185">
        <v>111527723</v>
      </c>
      <c r="E14" s="185">
        <v>108420147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2538206</v>
      </c>
      <c r="D15" s="76">
        <f>+D13-D14</f>
        <v>-1857751</v>
      </c>
      <c r="E15" s="76">
        <f>+E13-E14</f>
        <v>5655062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519164</v>
      </c>
      <c r="D16" s="185">
        <v>1280830</v>
      </c>
      <c r="E16" s="185">
        <v>646682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3057370</v>
      </c>
      <c r="D17" s="76">
        <f>D15+D16</f>
        <v>-576921</v>
      </c>
      <c r="E17" s="76">
        <f>E15+E16</f>
        <v>6301744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2.2649964235949855E-2</v>
      </c>
      <c r="D20" s="189">
        <f>IF(+D27=0,0,+D24/+D27)</f>
        <v>-1.674391682179999E-2</v>
      </c>
      <c r="E20" s="189">
        <f>IF(+E27=0,0,+E24/+E27)</f>
        <v>4.9293660963102497E-2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4.6328178377139876E-3</v>
      </c>
      <c r="D21" s="189">
        <f>IF(D27=0,0,+D26/D27)</f>
        <v>1.1544125656703229E-2</v>
      </c>
      <c r="E21" s="189">
        <f>IF(E27=0,0,+E26/E27)</f>
        <v>5.6369538050937461E-3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2.7282782073663841E-2</v>
      </c>
      <c r="D22" s="189">
        <f>IF(D27=0,0,+D28/D27)</f>
        <v>-5.1997911650967605E-3</v>
      </c>
      <c r="E22" s="189">
        <f>IF(E27=0,0,+E28/E27)</f>
        <v>5.4930614768196245E-2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2538206</v>
      </c>
      <c r="D24" s="76">
        <f>+D15</f>
        <v>-1857751</v>
      </c>
      <c r="E24" s="76">
        <f>+E15</f>
        <v>5655062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111543088</v>
      </c>
      <c r="D25" s="76">
        <f>+D13</f>
        <v>109669972</v>
      </c>
      <c r="E25" s="76">
        <f>+E13</f>
        <v>114075209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519164</v>
      </c>
      <c r="D26" s="76">
        <f>+D16</f>
        <v>1280830</v>
      </c>
      <c r="E26" s="76">
        <f>+E16</f>
        <v>646682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112062252</v>
      </c>
      <c r="D27" s="76">
        <f>+D25+D26</f>
        <v>110950802</v>
      </c>
      <c r="E27" s="76">
        <f>+E25+E26</f>
        <v>114721891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3057370</v>
      </c>
      <c r="D28" s="76">
        <f>+D17</f>
        <v>-576921</v>
      </c>
      <c r="E28" s="76">
        <f>+E17</f>
        <v>6301744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-2707529</v>
      </c>
      <c r="D31" s="76">
        <v>-17585755</v>
      </c>
      <c r="E31" s="76">
        <v>-21133489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4838633</v>
      </c>
      <c r="D32" s="76">
        <v>-10625859</v>
      </c>
      <c r="E32" s="76">
        <v>-14651395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-11246290</v>
      </c>
      <c r="D33" s="76">
        <f>+D32-C32</f>
        <v>-15464492</v>
      </c>
      <c r="E33" s="76">
        <f>+E32-D32</f>
        <v>-4025536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0.30080000000000001</v>
      </c>
      <c r="D34" s="193">
        <f>IF(C32=0,0,+D33/C32)</f>
        <v>-3.1960456600035587</v>
      </c>
      <c r="E34" s="193">
        <f>IF(D32=0,0,+E33/D32)</f>
        <v>0.37884334810013948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0.47183863723590846</v>
      </c>
      <c r="D38" s="195">
        <f>IF((D40+D41)=0,0,+D39/(D40+D41))</f>
        <v>0.45210220100314014</v>
      </c>
      <c r="E38" s="195">
        <f>IF((E40+E41)=0,0,+E39/(E40+E41))</f>
        <v>0.42652428338677145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109004882</v>
      </c>
      <c r="D39" s="76">
        <v>111527723</v>
      </c>
      <c r="E39" s="196">
        <v>108420147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224868002</v>
      </c>
      <c r="D40" s="76">
        <v>243567848</v>
      </c>
      <c r="E40" s="196">
        <v>248594671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6153524</v>
      </c>
      <c r="D41" s="76">
        <v>3119124</v>
      </c>
      <c r="E41" s="196">
        <v>5599876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1.2940167044700994</v>
      </c>
      <c r="D43" s="197">
        <f>IF(D38=0,0,IF((D46-D47)=0,0,((+D44-D45)/(D46-D47)/D38)))</f>
        <v>1.2466724845963244</v>
      </c>
      <c r="E43" s="197">
        <f>IF(E38=0,0,IF((E46-E47)=0,0,((+E44-E45)/(E46-E47)/E38)))</f>
        <v>1.3144521932641777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48281638</v>
      </c>
      <c r="D44" s="76">
        <v>44948249</v>
      </c>
      <c r="E44" s="196">
        <v>46005253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36334</v>
      </c>
      <c r="D45" s="76">
        <v>25986</v>
      </c>
      <c r="E45" s="196">
        <v>43882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82014227</v>
      </c>
      <c r="D46" s="76">
        <v>82410476</v>
      </c>
      <c r="E46" s="196">
        <v>84206186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2997022</v>
      </c>
      <c r="D47" s="76">
        <v>2707850</v>
      </c>
      <c r="E47" s="76">
        <v>2226846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0.91585567068460005</v>
      </c>
      <c r="D49" s="198">
        <f>IF(D38=0,0,IF(D51=0,0,(D50/D51)/D38))</f>
        <v>0.86667408412452007</v>
      </c>
      <c r="E49" s="198">
        <f>IF(E38=0,0,IF(E51=0,0,(E50/E51)/E38))</f>
        <v>0.88358455374488332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39726318</v>
      </c>
      <c r="D50" s="199">
        <v>41379564</v>
      </c>
      <c r="E50" s="199">
        <v>41488994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91930109</v>
      </c>
      <c r="D51" s="199">
        <v>105607188</v>
      </c>
      <c r="E51" s="199">
        <v>110088265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0.72514237764613032</v>
      </c>
      <c r="D53" s="198">
        <f>IF(D38=0,0,IF(D55=0,0,(D54/D55)/D38))</f>
        <v>0.71693335348370735</v>
      </c>
      <c r="E53" s="198">
        <f>IF(E38=0,0,IF(E55=0,0,(E54/E55)/E38))</f>
        <v>0.75417957509302391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16917039</v>
      </c>
      <c r="D54" s="199">
        <v>17542179</v>
      </c>
      <c r="E54" s="199">
        <v>16963645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49443313</v>
      </c>
      <c r="D55" s="199">
        <v>54121289</v>
      </c>
      <c r="E55" s="199">
        <v>52735206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1733173.2529699677</v>
      </c>
      <c r="D57" s="88">
        <f>+D60*D38</f>
        <v>2066548.7624347305</v>
      </c>
      <c r="E57" s="88">
        <f>+E60*E38</f>
        <v>1572279.4048773202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522721</v>
      </c>
      <c r="D58" s="199">
        <v>477319</v>
      </c>
      <c r="E58" s="199">
        <v>344715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3150512</v>
      </c>
      <c r="D59" s="199">
        <v>4093658</v>
      </c>
      <c r="E59" s="199">
        <v>3341545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3673233</v>
      </c>
      <c r="D60" s="76">
        <v>4570977</v>
      </c>
      <c r="E60" s="201">
        <v>3686260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1.5899959902437834E-2</v>
      </c>
      <c r="D62" s="202">
        <f>IF(D63=0,0,+D57/D63)</f>
        <v>1.8529462512515658E-2</v>
      </c>
      <c r="E62" s="202">
        <f>IF(E63=0,0,+E57/E63)</f>
        <v>1.4501727293150784E-2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109004882</v>
      </c>
      <c r="D63" s="199">
        <v>111527723</v>
      </c>
      <c r="E63" s="199">
        <v>108420147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0.96893157796917573</v>
      </c>
      <c r="D67" s="203">
        <f>IF(D69=0,0,D68/D69)</f>
        <v>1.0683445285711177</v>
      </c>
      <c r="E67" s="203">
        <f>IF(E69=0,0,E68/E69)</f>
        <v>1.1886093280876295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26608830</v>
      </c>
      <c r="D68" s="204">
        <v>25237334</v>
      </c>
      <c r="E68" s="204">
        <v>26229130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27462032</v>
      </c>
      <c r="D69" s="204">
        <v>23622842</v>
      </c>
      <c r="E69" s="204">
        <v>22067074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32.32511504308367</v>
      </c>
      <c r="D71" s="203">
        <f>IF((D77/365)=0,0,+D74/(D77/365))</f>
        <v>22.305812472383678</v>
      </c>
      <c r="E71" s="203">
        <f>IF((E77/365)=0,0,+E74/(E77/365))</f>
        <v>41.451518547228794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6171314</v>
      </c>
      <c r="D72" s="183">
        <v>3619557</v>
      </c>
      <c r="E72" s="183">
        <v>8332457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3023883</v>
      </c>
      <c r="D73" s="206">
        <v>2841383</v>
      </c>
      <c r="E73" s="206">
        <v>3332258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9195197</v>
      </c>
      <c r="D74" s="204">
        <f>+D72+D73</f>
        <v>6460940</v>
      </c>
      <c r="E74" s="204">
        <f>+E72+E73</f>
        <v>11664715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109004882</v>
      </c>
      <c r="D75" s="204">
        <f>+D14</f>
        <v>111527723</v>
      </c>
      <c r="E75" s="204">
        <f>+E14</f>
        <v>108420147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5177041</v>
      </c>
      <c r="D76" s="204">
        <v>5804468</v>
      </c>
      <c r="E76" s="204">
        <v>5706878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103827841</v>
      </c>
      <c r="D77" s="204">
        <f>+D75-D76</f>
        <v>105723255</v>
      </c>
      <c r="E77" s="204">
        <f>+E75-E76</f>
        <v>102713269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41.024835290044948</v>
      </c>
      <c r="D79" s="203">
        <f>IF((D84/365)=0,0,+D83/(D84/365))</f>
        <v>25.852672497683848</v>
      </c>
      <c r="E79" s="203">
        <f>IF((E84/365)=0,0,+E83/(E84/365))</f>
        <v>14.770390508113824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12518755</v>
      </c>
      <c r="D80" s="212">
        <v>10634409</v>
      </c>
      <c r="E80" s="212">
        <v>9475141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1352274</v>
      </c>
      <c r="E81" s="212">
        <v>809012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734249</v>
      </c>
      <c r="D82" s="212">
        <v>4459573</v>
      </c>
      <c r="E82" s="212">
        <v>5928462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11784506</v>
      </c>
      <c r="D83" s="212">
        <f>+D80+D81-D82</f>
        <v>7527110</v>
      </c>
      <c r="E83" s="212">
        <f>+E80+E81-E82</f>
        <v>4355691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104847336</v>
      </c>
      <c r="D84" s="204">
        <f>+D11</f>
        <v>106271224</v>
      </c>
      <c r="E84" s="204">
        <f>+E11</f>
        <v>107636099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96.540981527295742</v>
      </c>
      <c r="D86" s="203">
        <f>IF((D90/365)=0,0,+D87/(D90/365))</f>
        <v>81.555730855997581</v>
      </c>
      <c r="E86" s="203">
        <f>IF((E90/365)=0,0,+E87/(E90/365))</f>
        <v>78.417151828747663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27462032</v>
      </c>
      <c r="D87" s="76">
        <f>+D69</f>
        <v>23622842</v>
      </c>
      <c r="E87" s="76">
        <f>+E69</f>
        <v>22067074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109004882</v>
      </c>
      <c r="D88" s="76">
        <f t="shared" si="0"/>
        <v>111527723</v>
      </c>
      <c r="E88" s="76">
        <f t="shared" si="0"/>
        <v>108420147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5177041</v>
      </c>
      <c r="D89" s="201">
        <f t="shared" si="0"/>
        <v>5804468</v>
      </c>
      <c r="E89" s="201">
        <f t="shared" si="0"/>
        <v>5706878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103827841</v>
      </c>
      <c r="D90" s="76">
        <f>+D88-D89</f>
        <v>105723255</v>
      </c>
      <c r="E90" s="76">
        <f>+E88-E89</f>
        <v>102713269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5.0458952147634468</v>
      </c>
      <c r="D94" s="214">
        <f>IF(D96=0,0,(D95/D96)*100)</f>
        <v>-11.742333580519402</v>
      </c>
      <c r="E94" s="214">
        <f>IF(E96=0,0,(E95/E96)*100)</f>
        <v>-16.209021507190815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4838633</v>
      </c>
      <c r="D95" s="76">
        <f>+D32</f>
        <v>-10625859</v>
      </c>
      <c r="E95" s="76">
        <f>+E32</f>
        <v>-14651395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95892459</v>
      </c>
      <c r="D96" s="76">
        <v>90491885</v>
      </c>
      <c r="E96" s="76">
        <v>90390373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14.440336521260519</v>
      </c>
      <c r="D98" s="214">
        <f>IF(D104=0,0,(D101/D104)*100)</f>
        <v>10.164357198997056</v>
      </c>
      <c r="E98" s="214">
        <f>IF(E104=0,0,(E101/E104)*100)</f>
        <v>25.003477152236471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3057370</v>
      </c>
      <c r="D99" s="76">
        <f>+D28</f>
        <v>-576921</v>
      </c>
      <c r="E99" s="76">
        <f>+E28</f>
        <v>6301744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5177041</v>
      </c>
      <c r="D100" s="201">
        <f>+D76</f>
        <v>5804468</v>
      </c>
      <c r="E100" s="201">
        <f>+E76</f>
        <v>5706878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8234411</v>
      </c>
      <c r="D101" s="76">
        <f>+D99+D100</f>
        <v>5227547</v>
      </c>
      <c r="E101" s="76">
        <f>+E99+E100</f>
        <v>12008622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27462032</v>
      </c>
      <c r="D102" s="204">
        <f>+D69</f>
        <v>23622842</v>
      </c>
      <c r="E102" s="204">
        <f>+E69</f>
        <v>22067074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29561646</v>
      </c>
      <c r="D103" s="216">
        <v>27807336</v>
      </c>
      <c r="E103" s="216">
        <v>25960734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57023678</v>
      </c>
      <c r="D104" s="204">
        <f>+D102+D103</f>
        <v>51430178</v>
      </c>
      <c r="E104" s="204">
        <f>+E102+E103</f>
        <v>48027808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85.934320474551967</v>
      </c>
      <c r="D106" s="214">
        <f>IF(D109=0,0,(D107/D109)*100)</f>
        <v>161.84485187158239</v>
      </c>
      <c r="E106" s="214">
        <f>IF(E109=0,0,(E107/E109)*100)</f>
        <v>229.55129384661652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29561646</v>
      </c>
      <c r="D107" s="204">
        <f>+D103</f>
        <v>27807336</v>
      </c>
      <c r="E107" s="204">
        <f>+E103</f>
        <v>25960734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4838633</v>
      </c>
      <c r="D108" s="204">
        <f>+D32</f>
        <v>-10625859</v>
      </c>
      <c r="E108" s="204">
        <f>+E32</f>
        <v>-14651395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34400279</v>
      </c>
      <c r="D109" s="204">
        <f>+D107+D108</f>
        <v>17181477</v>
      </c>
      <c r="E109" s="204">
        <f>+E107+E108</f>
        <v>11309339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4.5187548592607127</v>
      </c>
      <c r="D111" s="214">
        <f>IF((+D113+D115)=0,0,((+D112+D113+D114)/(+D113+D115)))</f>
        <v>2.9075438226068711</v>
      </c>
      <c r="E111" s="214">
        <f>IF((+E113+E115)=0,0,((+E112+E113+E114)/(+E113+E115)))</f>
        <v>4.9916978521222513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3057370</v>
      </c>
      <c r="D112" s="76">
        <f>+D17</f>
        <v>-576921</v>
      </c>
      <c r="E112" s="76">
        <f>+E17</f>
        <v>6301744</v>
      </c>
    </row>
    <row r="113" spans="1:8" ht="24" customHeight="1" x14ac:dyDescent="0.2">
      <c r="A113" s="85">
        <v>17</v>
      </c>
      <c r="B113" s="75" t="s">
        <v>88</v>
      </c>
      <c r="C113" s="218">
        <v>1343831</v>
      </c>
      <c r="D113" s="76">
        <v>1451212</v>
      </c>
      <c r="E113" s="76">
        <v>1684933</v>
      </c>
    </row>
    <row r="114" spans="1:8" ht="24" customHeight="1" x14ac:dyDescent="0.2">
      <c r="A114" s="85">
        <v>18</v>
      </c>
      <c r="B114" s="75" t="s">
        <v>374</v>
      </c>
      <c r="C114" s="218">
        <v>5177041</v>
      </c>
      <c r="D114" s="76">
        <v>5804468</v>
      </c>
      <c r="E114" s="76">
        <v>5706878</v>
      </c>
    </row>
    <row r="115" spans="1:8" ht="24" customHeight="1" x14ac:dyDescent="0.2">
      <c r="A115" s="85">
        <v>19</v>
      </c>
      <c r="B115" s="75" t="s">
        <v>104</v>
      </c>
      <c r="C115" s="218">
        <v>775833</v>
      </c>
      <c r="D115" s="76">
        <v>845833</v>
      </c>
      <c r="E115" s="76">
        <v>1058333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13.932687031066589</v>
      </c>
      <c r="D119" s="214">
        <f>IF(+D121=0,0,(+D120)/(+D121))</f>
        <v>12.615056539203938</v>
      </c>
      <c r="E119" s="214">
        <f>IF(+E121=0,0,(+E120)/(+E121))</f>
        <v>13.763892446973633</v>
      </c>
    </row>
    <row r="120" spans="1:8" ht="24" customHeight="1" x14ac:dyDescent="0.2">
      <c r="A120" s="85">
        <v>21</v>
      </c>
      <c r="B120" s="75" t="s">
        <v>378</v>
      </c>
      <c r="C120" s="218">
        <v>72130092</v>
      </c>
      <c r="D120" s="218">
        <v>73223692</v>
      </c>
      <c r="E120" s="218">
        <v>78548855</v>
      </c>
    </row>
    <row r="121" spans="1:8" ht="24" customHeight="1" x14ac:dyDescent="0.2">
      <c r="A121" s="85">
        <v>22</v>
      </c>
      <c r="B121" s="75" t="s">
        <v>374</v>
      </c>
      <c r="C121" s="218">
        <v>5177041</v>
      </c>
      <c r="D121" s="218">
        <v>5804468</v>
      </c>
      <c r="E121" s="218">
        <v>5706878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16844</v>
      </c>
      <c r="D124" s="218">
        <v>16760</v>
      </c>
      <c r="E124" s="218">
        <v>16237</v>
      </c>
    </row>
    <row r="125" spans="1:8" ht="24" customHeight="1" x14ac:dyDescent="0.2">
      <c r="A125" s="85">
        <v>2</v>
      </c>
      <c r="B125" s="75" t="s">
        <v>381</v>
      </c>
      <c r="C125" s="218">
        <v>4511</v>
      </c>
      <c r="D125" s="218">
        <v>4451</v>
      </c>
      <c r="E125" s="218">
        <v>4118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3.7339835956550655</v>
      </c>
      <c r="D126" s="219">
        <f>IF(D125=0,0,D124/D125)</f>
        <v>3.7654459671983824</v>
      </c>
      <c r="E126" s="219">
        <f>IF(E125=0,0,E124/E125)</f>
        <v>3.942933462846042</v>
      </c>
    </row>
    <row r="127" spans="1:8" ht="24" customHeight="1" x14ac:dyDescent="0.2">
      <c r="A127" s="85">
        <v>4</v>
      </c>
      <c r="B127" s="75" t="s">
        <v>383</v>
      </c>
      <c r="C127" s="218">
        <v>65</v>
      </c>
      <c r="D127" s="218">
        <v>65</v>
      </c>
      <c r="E127" s="218">
        <v>65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0.70989999999999998</v>
      </c>
      <c r="D130" s="193">
        <v>0.70640000000000003</v>
      </c>
      <c r="E130" s="193">
        <v>0.68430000000000002</v>
      </c>
    </row>
    <row r="131" spans="1:7" ht="24" customHeight="1" x14ac:dyDescent="0.2">
      <c r="A131" s="85">
        <v>8</v>
      </c>
      <c r="B131" s="75" t="s">
        <v>387</v>
      </c>
      <c r="C131" s="193">
        <v>0.37819999999999998</v>
      </c>
      <c r="D131" s="193">
        <v>0.37630000000000002</v>
      </c>
      <c r="E131" s="193">
        <v>0.36459999999999998</v>
      </c>
    </row>
    <row r="132" spans="1:7" ht="24" customHeight="1" x14ac:dyDescent="0.2">
      <c r="A132" s="85">
        <v>9</v>
      </c>
      <c r="B132" s="75" t="s">
        <v>388</v>
      </c>
      <c r="C132" s="219">
        <v>783.9</v>
      </c>
      <c r="D132" s="219">
        <v>758.1</v>
      </c>
      <c r="E132" s="219">
        <v>702.2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0.35139372563998678</v>
      </c>
      <c r="D135" s="227">
        <f>IF(D149=0,0,D143/D149)</f>
        <v>0.32722966785008506</v>
      </c>
      <c r="E135" s="227">
        <f>IF(E149=0,0,E143/E149)</f>
        <v>0.32977110760350931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0.40881809853942669</v>
      </c>
      <c r="D136" s="227">
        <f>IF(D149=0,0,D144/D149)</f>
        <v>0.43358427176315983</v>
      </c>
      <c r="E136" s="227">
        <f>IF(E149=0,0,E144/E149)</f>
        <v>0.44284241716508876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0.21987705035952604</v>
      </c>
      <c r="D137" s="227">
        <f>IF(D149=0,0,D145/D149)</f>
        <v>0.22220210690534162</v>
      </c>
      <c r="E137" s="227">
        <f>IF(E149=0,0,E145/E149)</f>
        <v>0.21213329226996985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1.3327916703773621E-2</v>
      </c>
      <c r="D139" s="227">
        <f>IF(D149=0,0,D147/D149)</f>
        <v>1.1117436156844478E-2</v>
      </c>
      <c r="E139" s="227">
        <f>IF(E149=0,0,E147/E149)</f>
        <v>8.9577382775031401E-3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6.5832087572868635E-3</v>
      </c>
      <c r="D140" s="227">
        <f>IF(D149=0,0,D148/D149)</f>
        <v>5.866517324569046E-3</v>
      </c>
      <c r="E140" s="227">
        <f>IF(E149=0,0,E148/E149)</f>
        <v>6.2954446839288847E-3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79017205</v>
      </c>
      <c r="D143" s="229">
        <f>+D46-D147</f>
        <v>79702626</v>
      </c>
      <c r="E143" s="229">
        <f>+E46-E147</f>
        <v>81979340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91930109</v>
      </c>
      <c r="D144" s="229">
        <f>+D51</f>
        <v>105607188</v>
      </c>
      <c r="E144" s="229">
        <f>+E51</f>
        <v>110088265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49443313</v>
      </c>
      <c r="D145" s="229">
        <f>+D55</f>
        <v>54121289</v>
      </c>
      <c r="E145" s="229">
        <f>+E55</f>
        <v>52735206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2997022</v>
      </c>
      <c r="D147" s="229">
        <f>+D47</f>
        <v>2707850</v>
      </c>
      <c r="E147" s="229">
        <f>+E47</f>
        <v>2226846</v>
      </c>
    </row>
    <row r="148" spans="1:7" ht="20.100000000000001" customHeight="1" x14ac:dyDescent="0.2">
      <c r="A148" s="226">
        <v>13</v>
      </c>
      <c r="B148" s="224" t="s">
        <v>402</v>
      </c>
      <c r="C148" s="230">
        <v>1480353</v>
      </c>
      <c r="D148" s="229">
        <v>1428895</v>
      </c>
      <c r="E148" s="229">
        <v>1565014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224868002</v>
      </c>
      <c r="D149" s="229">
        <f>SUM(D143:D148)</f>
        <v>243567848</v>
      </c>
      <c r="E149" s="229">
        <f>SUM(E143:E148)</f>
        <v>248594671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0.45788742106948976</v>
      </c>
      <c r="D152" s="227">
        <f>IF(D166=0,0,D160/D166)</f>
        <v>0.43063633561050702</v>
      </c>
      <c r="E152" s="227">
        <f>IF(E166=0,0,E160/E166)</f>
        <v>0.43790801953545061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0.37703527161123185</v>
      </c>
      <c r="D153" s="227">
        <f>IF(D166=0,0,D161/D166)</f>
        <v>0.39667511429957247</v>
      </c>
      <c r="E153" s="227">
        <f>IF(E166=0,0,E161/E166)</f>
        <v>0.39529637170871584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0.16055654576955261</v>
      </c>
      <c r="D154" s="227">
        <f>IF(D166=0,0,D162/D166)</f>
        <v>0.16816382743637801</v>
      </c>
      <c r="E154" s="227">
        <f>IF(E166=0,0,E162/E166)</f>
        <v>0.16162520883139994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3.448393973668161E-4</v>
      </c>
      <c r="D156" s="227">
        <f>IF(D166=0,0,D164/D166)</f>
        <v>2.491084613696918E-4</v>
      </c>
      <c r="E156" s="227">
        <f>IF(E166=0,0,E164/E166)</f>
        <v>4.1809631208030422E-4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4.1759221523589365E-3</v>
      </c>
      <c r="D157" s="227">
        <f>IF(D166=0,0,D165/D166)</f>
        <v>4.2756141921728276E-3</v>
      </c>
      <c r="E157" s="227">
        <f>IF(E166=0,0,E165/E166)</f>
        <v>4.7523036123532795E-3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48245304</v>
      </c>
      <c r="D160" s="229">
        <f>+D44-D164</f>
        <v>44922263</v>
      </c>
      <c r="E160" s="229">
        <f>+E44-E164</f>
        <v>45961371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39726318</v>
      </c>
      <c r="D161" s="229">
        <f>+D50</f>
        <v>41379564</v>
      </c>
      <c r="E161" s="229">
        <f>+E50</f>
        <v>41488994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16917039</v>
      </c>
      <c r="D162" s="229">
        <f>+D54</f>
        <v>17542179</v>
      </c>
      <c r="E162" s="229">
        <f>+E54</f>
        <v>16963645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36334</v>
      </c>
      <c r="D164" s="229">
        <f>+D45</f>
        <v>25986</v>
      </c>
      <c r="E164" s="229">
        <f>+E45</f>
        <v>43882</v>
      </c>
    </row>
    <row r="165" spans="1:6" ht="20.100000000000001" customHeight="1" x14ac:dyDescent="0.2">
      <c r="A165" s="226">
        <v>13</v>
      </c>
      <c r="B165" s="224" t="s">
        <v>417</v>
      </c>
      <c r="C165" s="230">
        <v>439996</v>
      </c>
      <c r="D165" s="229">
        <v>446015</v>
      </c>
      <c r="E165" s="229">
        <v>498786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105364991</v>
      </c>
      <c r="D166" s="229">
        <f>SUM(D160:D165)</f>
        <v>104316007</v>
      </c>
      <c r="E166" s="229">
        <f>SUM(E160:E165)</f>
        <v>104956678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1728</v>
      </c>
      <c r="D169" s="218">
        <v>1033</v>
      </c>
      <c r="E169" s="218">
        <v>1089</v>
      </c>
    </row>
    <row r="170" spans="1:6" ht="20.100000000000001" customHeight="1" x14ac:dyDescent="0.2">
      <c r="A170" s="226">
        <v>2</v>
      </c>
      <c r="B170" s="224" t="s">
        <v>420</v>
      </c>
      <c r="C170" s="218">
        <v>1804</v>
      </c>
      <c r="D170" s="218">
        <v>2105</v>
      </c>
      <c r="E170" s="218">
        <v>1903</v>
      </c>
    </row>
    <row r="171" spans="1:6" ht="20.100000000000001" customHeight="1" x14ac:dyDescent="0.2">
      <c r="A171" s="226">
        <v>3</v>
      </c>
      <c r="B171" s="224" t="s">
        <v>421</v>
      </c>
      <c r="C171" s="218">
        <v>948</v>
      </c>
      <c r="D171" s="218">
        <v>1259</v>
      </c>
      <c r="E171" s="218">
        <v>1096</v>
      </c>
    </row>
    <row r="172" spans="1:6" ht="20.100000000000001" customHeight="1" x14ac:dyDescent="0.2">
      <c r="A172" s="226">
        <v>4</v>
      </c>
      <c r="B172" s="224" t="s">
        <v>422</v>
      </c>
      <c r="C172" s="218">
        <v>948</v>
      </c>
      <c r="D172" s="218">
        <v>1259</v>
      </c>
      <c r="E172" s="218">
        <v>1096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31</v>
      </c>
      <c r="D174" s="218">
        <v>54</v>
      </c>
      <c r="E174" s="218">
        <v>30</v>
      </c>
    </row>
    <row r="175" spans="1:6" ht="20.100000000000001" customHeight="1" x14ac:dyDescent="0.2">
      <c r="A175" s="226">
        <v>7</v>
      </c>
      <c r="B175" s="224" t="s">
        <v>425</v>
      </c>
      <c r="C175" s="218">
        <v>61</v>
      </c>
      <c r="D175" s="218">
        <v>23</v>
      </c>
      <c r="E175" s="218">
        <v>22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4511</v>
      </c>
      <c r="D176" s="218">
        <f>+D169+D170+D171+D174</f>
        <v>4451</v>
      </c>
      <c r="E176" s="218">
        <f>+E169+E170+E171+E174</f>
        <v>4118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0.96589999999999998</v>
      </c>
      <c r="D179" s="231">
        <v>1.0525</v>
      </c>
      <c r="E179" s="231">
        <v>1.0461</v>
      </c>
    </row>
    <row r="180" spans="1:6" ht="20.100000000000001" customHeight="1" x14ac:dyDescent="0.2">
      <c r="A180" s="226">
        <v>2</v>
      </c>
      <c r="B180" s="224" t="s">
        <v>420</v>
      </c>
      <c r="C180" s="231">
        <v>1.1778</v>
      </c>
      <c r="D180" s="231">
        <v>1.2448999999999999</v>
      </c>
      <c r="E180" s="231">
        <v>1.2315</v>
      </c>
    </row>
    <row r="181" spans="1:6" ht="20.100000000000001" customHeight="1" x14ac:dyDescent="0.2">
      <c r="A181" s="226">
        <v>3</v>
      </c>
      <c r="B181" s="224" t="s">
        <v>421</v>
      </c>
      <c r="C181" s="231">
        <v>0.89770000000000005</v>
      </c>
      <c r="D181" s="231">
        <v>1.1313</v>
      </c>
      <c r="E181" s="231">
        <v>1.0474000000000001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0.89770000000000005</v>
      </c>
      <c r="D182" s="231">
        <v>1.1313</v>
      </c>
      <c r="E182" s="231">
        <v>1.0474000000000001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0.73329999999999995</v>
      </c>
      <c r="D184" s="231">
        <v>0.72760000000000002</v>
      </c>
      <c r="E184" s="231">
        <v>1.0713999999999999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0.88460000000000005</v>
      </c>
      <c r="D185" s="231">
        <v>1.0710999999999999</v>
      </c>
      <c r="E185" s="231">
        <v>0.84660000000000002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1.03471</v>
      </c>
      <c r="D186" s="231">
        <v>1.1618379999999999</v>
      </c>
      <c r="E186" s="231">
        <v>1.132306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2856</v>
      </c>
      <c r="D189" s="218">
        <v>2870</v>
      </c>
      <c r="E189" s="218">
        <v>2653</v>
      </c>
    </row>
    <row r="190" spans="1:6" ht="20.100000000000001" customHeight="1" x14ac:dyDescent="0.2">
      <c r="A190" s="226">
        <v>2</v>
      </c>
      <c r="B190" s="224" t="s">
        <v>433</v>
      </c>
      <c r="C190" s="218">
        <v>23609</v>
      </c>
      <c r="D190" s="218">
        <v>19151</v>
      </c>
      <c r="E190" s="218">
        <v>20719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26465</v>
      </c>
      <c r="D191" s="218">
        <f>+D190+D189</f>
        <v>22021</v>
      </c>
      <c r="E191" s="218">
        <f>+E190+E189</f>
        <v>23372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9" orientation="portrait" horizontalDpi="1200" verticalDpi="1200" r:id="rId1"/>
  <headerFooter>
    <oddHeader>&amp;LOFFICE OF HEALTH CARE ACCESS&amp;CTWELVE MONTHS ACTUAL FILING&amp;RDAY KIMBALL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145721</v>
      </c>
      <c r="D14" s="258">
        <v>332734</v>
      </c>
      <c r="E14" s="258">
        <f t="shared" ref="E14:E24" si="0">D14-C14</f>
        <v>187013</v>
      </c>
      <c r="F14" s="259">
        <f t="shared" ref="F14:F24" si="1">IF(C14=0,0,E14/C14)</f>
        <v>1.2833634136466261</v>
      </c>
    </row>
    <row r="15" spans="1:7" ht="20.25" customHeight="1" x14ac:dyDescent="0.3">
      <c r="A15" s="256">
        <v>2</v>
      </c>
      <c r="B15" s="257" t="s">
        <v>442</v>
      </c>
      <c r="C15" s="258">
        <v>35717</v>
      </c>
      <c r="D15" s="258">
        <v>91732</v>
      </c>
      <c r="E15" s="258">
        <f t="shared" si="0"/>
        <v>56015</v>
      </c>
      <c r="F15" s="259">
        <f t="shared" si="1"/>
        <v>1.5683008091385056</v>
      </c>
    </row>
    <row r="16" spans="1:7" ht="20.25" customHeight="1" x14ac:dyDescent="0.3">
      <c r="A16" s="256">
        <v>3</v>
      </c>
      <c r="B16" s="257" t="s">
        <v>443</v>
      </c>
      <c r="C16" s="258">
        <v>92194</v>
      </c>
      <c r="D16" s="258">
        <v>675914</v>
      </c>
      <c r="E16" s="258">
        <f t="shared" si="0"/>
        <v>583720</v>
      </c>
      <c r="F16" s="259">
        <f t="shared" si="1"/>
        <v>6.3314315465214657</v>
      </c>
    </row>
    <row r="17" spans="1:6" ht="20.25" customHeight="1" x14ac:dyDescent="0.3">
      <c r="A17" s="256">
        <v>4</v>
      </c>
      <c r="B17" s="257" t="s">
        <v>444</v>
      </c>
      <c r="C17" s="258">
        <v>27074</v>
      </c>
      <c r="D17" s="258">
        <v>283430</v>
      </c>
      <c r="E17" s="258">
        <f t="shared" si="0"/>
        <v>256356</v>
      </c>
      <c r="F17" s="259">
        <f t="shared" si="1"/>
        <v>9.4687153726822775</v>
      </c>
    </row>
    <row r="18" spans="1:6" ht="20.25" customHeight="1" x14ac:dyDescent="0.3">
      <c r="A18" s="256">
        <v>5</v>
      </c>
      <c r="B18" s="257" t="s">
        <v>381</v>
      </c>
      <c r="C18" s="260">
        <v>8</v>
      </c>
      <c r="D18" s="260">
        <v>16</v>
      </c>
      <c r="E18" s="260">
        <f t="shared" si="0"/>
        <v>8</v>
      </c>
      <c r="F18" s="259">
        <f t="shared" si="1"/>
        <v>1</v>
      </c>
    </row>
    <row r="19" spans="1:6" ht="20.25" customHeight="1" x14ac:dyDescent="0.3">
      <c r="A19" s="256">
        <v>6</v>
      </c>
      <c r="B19" s="257" t="s">
        <v>380</v>
      </c>
      <c r="C19" s="260">
        <v>32</v>
      </c>
      <c r="D19" s="260">
        <v>70</v>
      </c>
      <c r="E19" s="260">
        <f t="shared" si="0"/>
        <v>38</v>
      </c>
      <c r="F19" s="259">
        <f t="shared" si="1"/>
        <v>1.1875</v>
      </c>
    </row>
    <row r="20" spans="1:6" ht="20.25" customHeight="1" x14ac:dyDescent="0.3">
      <c r="A20" s="256">
        <v>7</v>
      </c>
      <c r="B20" s="257" t="s">
        <v>445</v>
      </c>
      <c r="C20" s="260">
        <v>342</v>
      </c>
      <c r="D20" s="260">
        <v>674</v>
      </c>
      <c r="E20" s="260">
        <f t="shared" si="0"/>
        <v>332</v>
      </c>
      <c r="F20" s="259">
        <f t="shared" si="1"/>
        <v>0.9707602339181286</v>
      </c>
    </row>
    <row r="21" spans="1:6" ht="20.25" customHeight="1" x14ac:dyDescent="0.3">
      <c r="A21" s="256">
        <v>8</v>
      </c>
      <c r="B21" s="257" t="s">
        <v>446</v>
      </c>
      <c r="C21" s="260">
        <v>17</v>
      </c>
      <c r="D21" s="260">
        <v>52</v>
      </c>
      <c r="E21" s="260">
        <f t="shared" si="0"/>
        <v>35</v>
      </c>
      <c r="F21" s="259">
        <f t="shared" si="1"/>
        <v>2.0588235294117645</v>
      </c>
    </row>
    <row r="22" spans="1:6" ht="20.25" customHeight="1" x14ac:dyDescent="0.3">
      <c r="A22" s="256">
        <v>9</v>
      </c>
      <c r="B22" s="257" t="s">
        <v>447</v>
      </c>
      <c r="C22" s="260">
        <v>7</v>
      </c>
      <c r="D22" s="260">
        <v>11</v>
      </c>
      <c r="E22" s="260">
        <f t="shared" si="0"/>
        <v>4</v>
      </c>
      <c r="F22" s="259">
        <f t="shared" si="1"/>
        <v>0.5714285714285714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237915</v>
      </c>
      <c r="D23" s="263">
        <f>+D14+D16</f>
        <v>1008648</v>
      </c>
      <c r="E23" s="263">
        <f t="shared" si="0"/>
        <v>770733</v>
      </c>
      <c r="F23" s="264">
        <f t="shared" si="1"/>
        <v>3.2395309249101572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62791</v>
      </c>
      <c r="D24" s="263">
        <f>+D15+D17</f>
        <v>375162</v>
      </c>
      <c r="E24" s="263">
        <f t="shared" si="0"/>
        <v>312371</v>
      </c>
      <c r="F24" s="264">
        <f t="shared" si="1"/>
        <v>4.9747734547944766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3697850</v>
      </c>
      <c r="D40" s="258">
        <v>3614552</v>
      </c>
      <c r="E40" s="258">
        <f t="shared" ref="E40:E50" si="4">D40-C40</f>
        <v>-83298</v>
      </c>
      <c r="F40" s="259">
        <f t="shared" ref="F40:F50" si="5">IF(C40=0,0,E40/C40)</f>
        <v>-2.2526062441689091E-2</v>
      </c>
    </row>
    <row r="41" spans="1:6" ht="20.25" customHeight="1" x14ac:dyDescent="0.3">
      <c r="A41" s="256">
        <v>2</v>
      </c>
      <c r="B41" s="257" t="s">
        <v>442</v>
      </c>
      <c r="C41" s="258">
        <v>1619164</v>
      </c>
      <c r="D41" s="258">
        <v>1628588</v>
      </c>
      <c r="E41" s="258">
        <f t="shared" si="4"/>
        <v>9424</v>
      </c>
      <c r="F41" s="259">
        <f t="shared" si="5"/>
        <v>5.8202875063921872E-3</v>
      </c>
    </row>
    <row r="42" spans="1:6" ht="20.25" customHeight="1" x14ac:dyDescent="0.3">
      <c r="A42" s="256">
        <v>3</v>
      </c>
      <c r="B42" s="257" t="s">
        <v>443</v>
      </c>
      <c r="C42" s="258">
        <v>6690301</v>
      </c>
      <c r="D42" s="258">
        <v>7427850</v>
      </c>
      <c r="E42" s="258">
        <f t="shared" si="4"/>
        <v>737549</v>
      </c>
      <c r="F42" s="259">
        <f t="shared" si="5"/>
        <v>0.11024152724967083</v>
      </c>
    </row>
    <row r="43" spans="1:6" ht="20.25" customHeight="1" x14ac:dyDescent="0.3">
      <c r="A43" s="256">
        <v>4</v>
      </c>
      <c r="B43" s="257" t="s">
        <v>444</v>
      </c>
      <c r="C43" s="258">
        <v>2077980</v>
      </c>
      <c r="D43" s="258">
        <v>2338978</v>
      </c>
      <c r="E43" s="258">
        <f t="shared" si="4"/>
        <v>260998</v>
      </c>
      <c r="F43" s="259">
        <f t="shared" si="5"/>
        <v>0.1256017863502055</v>
      </c>
    </row>
    <row r="44" spans="1:6" ht="20.25" customHeight="1" x14ac:dyDescent="0.3">
      <c r="A44" s="256">
        <v>5</v>
      </c>
      <c r="B44" s="257" t="s">
        <v>381</v>
      </c>
      <c r="C44" s="260">
        <v>194</v>
      </c>
      <c r="D44" s="260">
        <v>179</v>
      </c>
      <c r="E44" s="260">
        <f t="shared" si="4"/>
        <v>-15</v>
      </c>
      <c r="F44" s="259">
        <f t="shared" si="5"/>
        <v>-7.7319587628865982E-2</v>
      </c>
    </row>
    <row r="45" spans="1:6" ht="20.25" customHeight="1" x14ac:dyDescent="0.3">
      <c r="A45" s="256">
        <v>6</v>
      </c>
      <c r="B45" s="257" t="s">
        <v>380</v>
      </c>
      <c r="C45" s="260">
        <v>824</v>
      </c>
      <c r="D45" s="260">
        <v>764</v>
      </c>
      <c r="E45" s="260">
        <f t="shared" si="4"/>
        <v>-60</v>
      </c>
      <c r="F45" s="259">
        <f t="shared" si="5"/>
        <v>-7.281553398058252E-2</v>
      </c>
    </row>
    <row r="46" spans="1:6" ht="20.25" customHeight="1" x14ac:dyDescent="0.3">
      <c r="A46" s="256">
        <v>7</v>
      </c>
      <c r="B46" s="257" t="s">
        <v>445</v>
      </c>
      <c r="C46" s="260">
        <v>8691</v>
      </c>
      <c r="D46" s="260">
        <v>7382</v>
      </c>
      <c r="E46" s="260">
        <f t="shared" si="4"/>
        <v>-1309</v>
      </c>
      <c r="F46" s="259">
        <f t="shared" si="5"/>
        <v>-0.15061557933494418</v>
      </c>
    </row>
    <row r="47" spans="1:6" ht="20.25" customHeight="1" x14ac:dyDescent="0.3">
      <c r="A47" s="256">
        <v>8</v>
      </c>
      <c r="B47" s="257" t="s">
        <v>446</v>
      </c>
      <c r="C47" s="260">
        <v>419</v>
      </c>
      <c r="D47" s="260">
        <v>566</v>
      </c>
      <c r="E47" s="260">
        <f t="shared" si="4"/>
        <v>147</v>
      </c>
      <c r="F47" s="259">
        <f t="shared" si="5"/>
        <v>0.35083532219570407</v>
      </c>
    </row>
    <row r="48" spans="1:6" ht="20.25" customHeight="1" x14ac:dyDescent="0.3">
      <c r="A48" s="256">
        <v>9</v>
      </c>
      <c r="B48" s="257" t="s">
        <v>447</v>
      </c>
      <c r="C48" s="260">
        <v>146</v>
      </c>
      <c r="D48" s="260">
        <v>115</v>
      </c>
      <c r="E48" s="260">
        <f t="shared" si="4"/>
        <v>-31</v>
      </c>
      <c r="F48" s="259">
        <f t="shared" si="5"/>
        <v>-0.21232876712328766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10388151</v>
      </c>
      <c r="D49" s="263">
        <f>+D40+D42</f>
        <v>11042402</v>
      </c>
      <c r="E49" s="263">
        <f t="shared" si="4"/>
        <v>654251</v>
      </c>
      <c r="F49" s="264">
        <f t="shared" si="5"/>
        <v>6.2980505385414595E-2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3697144</v>
      </c>
      <c r="D50" s="263">
        <f>+D41+D43</f>
        <v>3967566</v>
      </c>
      <c r="E50" s="263">
        <f t="shared" si="4"/>
        <v>270422</v>
      </c>
      <c r="F50" s="264">
        <f t="shared" si="5"/>
        <v>7.3143485890730789E-2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132040</v>
      </c>
      <c r="D66" s="258">
        <v>54072</v>
      </c>
      <c r="E66" s="258">
        <f t="shared" ref="E66:E76" si="8">D66-C66</f>
        <v>-77968</v>
      </c>
      <c r="F66" s="259">
        <f t="shared" ref="F66:F76" si="9">IF(C66=0,0,E66/C66)</f>
        <v>-0.59048773099060892</v>
      </c>
    </row>
    <row r="67" spans="1:6" ht="20.25" customHeight="1" x14ac:dyDescent="0.3">
      <c r="A67" s="256">
        <v>2</v>
      </c>
      <c r="B67" s="257" t="s">
        <v>442</v>
      </c>
      <c r="C67" s="258">
        <v>48818</v>
      </c>
      <c r="D67" s="258">
        <v>18774</v>
      </c>
      <c r="E67" s="258">
        <f t="shared" si="8"/>
        <v>-30044</v>
      </c>
      <c r="F67" s="259">
        <f t="shared" si="9"/>
        <v>-0.61542873530255238</v>
      </c>
    </row>
    <row r="68" spans="1:6" ht="20.25" customHeight="1" x14ac:dyDescent="0.3">
      <c r="A68" s="256">
        <v>3</v>
      </c>
      <c r="B68" s="257" t="s">
        <v>443</v>
      </c>
      <c r="C68" s="258">
        <v>49018</v>
      </c>
      <c r="D68" s="258">
        <v>75167</v>
      </c>
      <c r="E68" s="258">
        <f t="shared" si="8"/>
        <v>26149</v>
      </c>
      <c r="F68" s="259">
        <f t="shared" si="9"/>
        <v>0.53345709739279445</v>
      </c>
    </row>
    <row r="69" spans="1:6" ht="20.25" customHeight="1" x14ac:dyDescent="0.3">
      <c r="A69" s="256">
        <v>4</v>
      </c>
      <c r="B69" s="257" t="s">
        <v>444</v>
      </c>
      <c r="C69" s="258">
        <v>17674</v>
      </c>
      <c r="D69" s="258">
        <v>20725</v>
      </c>
      <c r="E69" s="258">
        <f t="shared" si="8"/>
        <v>3051</v>
      </c>
      <c r="F69" s="259">
        <f t="shared" si="9"/>
        <v>0.17262645694240128</v>
      </c>
    </row>
    <row r="70" spans="1:6" ht="20.25" customHeight="1" x14ac:dyDescent="0.3">
      <c r="A70" s="256">
        <v>5</v>
      </c>
      <c r="B70" s="257" t="s">
        <v>381</v>
      </c>
      <c r="C70" s="260">
        <v>6</v>
      </c>
      <c r="D70" s="260">
        <v>2</v>
      </c>
      <c r="E70" s="260">
        <f t="shared" si="8"/>
        <v>-4</v>
      </c>
      <c r="F70" s="259">
        <f t="shared" si="9"/>
        <v>-0.66666666666666663</v>
      </c>
    </row>
    <row r="71" spans="1:6" ht="20.25" customHeight="1" x14ac:dyDescent="0.3">
      <c r="A71" s="256">
        <v>6</v>
      </c>
      <c r="B71" s="257" t="s">
        <v>380</v>
      </c>
      <c r="C71" s="260">
        <v>30</v>
      </c>
      <c r="D71" s="260">
        <v>9</v>
      </c>
      <c r="E71" s="260">
        <f t="shared" si="8"/>
        <v>-21</v>
      </c>
      <c r="F71" s="259">
        <f t="shared" si="9"/>
        <v>-0.7</v>
      </c>
    </row>
    <row r="72" spans="1:6" ht="20.25" customHeight="1" x14ac:dyDescent="0.3">
      <c r="A72" s="256">
        <v>7</v>
      </c>
      <c r="B72" s="257" t="s">
        <v>445</v>
      </c>
      <c r="C72" s="260">
        <v>310</v>
      </c>
      <c r="D72" s="260">
        <v>87</v>
      </c>
      <c r="E72" s="260">
        <f t="shared" si="8"/>
        <v>-223</v>
      </c>
      <c r="F72" s="259">
        <f t="shared" si="9"/>
        <v>-0.71935483870967742</v>
      </c>
    </row>
    <row r="73" spans="1:6" ht="20.25" customHeight="1" x14ac:dyDescent="0.3">
      <c r="A73" s="256">
        <v>8</v>
      </c>
      <c r="B73" s="257" t="s">
        <v>446</v>
      </c>
      <c r="C73" s="260">
        <v>14</v>
      </c>
      <c r="D73" s="260">
        <v>8</v>
      </c>
      <c r="E73" s="260">
        <f t="shared" si="8"/>
        <v>-6</v>
      </c>
      <c r="F73" s="259">
        <f t="shared" si="9"/>
        <v>-0.42857142857142855</v>
      </c>
    </row>
    <row r="74" spans="1:6" ht="20.25" customHeight="1" x14ac:dyDescent="0.3">
      <c r="A74" s="256">
        <v>9</v>
      </c>
      <c r="B74" s="257" t="s">
        <v>447</v>
      </c>
      <c r="C74" s="260">
        <v>32</v>
      </c>
      <c r="D74" s="260">
        <v>1</v>
      </c>
      <c r="E74" s="260">
        <f t="shared" si="8"/>
        <v>-31</v>
      </c>
      <c r="F74" s="259">
        <f t="shared" si="9"/>
        <v>-0.96875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181058</v>
      </c>
      <c r="D75" s="263">
        <f>+D66+D68</f>
        <v>129239</v>
      </c>
      <c r="E75" s="263">
        <f t="shared" si="8"/>
        <v>-51819</v>
      </c>
      <c r="F75" s="264">
        <f t="shared" si="9"/>
        <v>-0.28620110682764638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66492</v>
      </c>
      <c r="D76" s="263">
        <f>+D67+D69</f>
        <v>39499</v>
      </c>
      <c r="E76" s="263">
        <f t="shared" si="8"/>
        <v>-26993</v>
      </c>
      <c r="F76" s="264">
        <f t="shared" si="9"/>
        <v>-0.40595861156229318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5495497</v>
      </c>
      <c r="D92" s="258">
        <v>4855012</v>
      </c>
      <c r="E92" s="258">
        <f t="shared" ref="E92:E102" si="12">D92-C92</f>
        <v>-640485</v>
      </c>
      <c r="F92" s="259">
        <f t="shared" ref="F92:F102" si="13">IF(C92=0,0,E92/C92)</f>
        <v>-0.11654723858460846</v>
      </c>
    </row>
    <row r="93" spans="1:6" ht="20.25" customHeight="1" x14ac:dyDescent="0.3">
      <c r="A93" s="256">
        <v>2</v>
      </c>
      <c r="B93" s="257" t="s">
        <v>442</v>
      </c>
      <c r="C93" s="258">
        <v>2335684</v>
      </c>
      <c r="D93" s="258">
        <v>2211780</v>
      </c>
      <c r="E93" s="258">
        <f t="shared" si="12"/>
        <v>-123904</v>
      </c>
      <c r="F93" s="259">
        <f t="shared" si="13"/>
        <v>-5.3048271940896112E-2</v>
      </c>
    </row>
    <row r="94" spans="1:6" ht="20.25" customHeight="1" x14ac:dyDescent="0.3">
      <c r="A94" s="256">
        <v>3</v>
      </c>
      <c r="B94" s="257" t="s">
        <v>443</v>
      </c>
      <c r="C94" s="258">
        <v>8185338</v>
      </c>
      <c r="D94" s="258">
        <v>9632923</v>
      </c>
      <c r="E94" s="258">
        <f t="shared" si="12"/>
        <v>1447585</v>
      </c>
      <c r="F94" s="259">
        <f t="shared" si="13"/>
        <v>0.17685097426642613</v>
      </c>
    </row>
    <row r="95" spans="1:6" ht="20.25" customHeight="1" x14ac:dyDescent="0.3">
      <c r="A95" s="256">
        <v>4</v>
      </c>
      <c r="B95" s="257" t="s">
        <v>444</v>
      </c>
      <c r="C95" s="258">
        <v>2550778</v>
      </c>
      <c r="D95" s="258">
        <v>3153155</v>
      </c>
      <c r="E95" s="258">
        <f t="shared" si="12"/>
        <v>602377</v>
      </c>
      <c r="F95" s="259">
        <f t="shared" si="13"/>
        <v>0.2361542243190117</v>
      </c>
    </row>
    <row r="96" spans="1:6" ht="20.25" customHeight="1" x14ac:dyDescent="0.3">
      <c r="A96" s="256">
        <v>5</v>
      </c>
      <c r="B96" s="257" t="s">
        <v>381</v>
      </c>
      <c r="C96" s="260">
        <v>288</v>
      </c>
      <c r="D96" s="260">
        <v>235</v>
      </c>
      <c r="E96" s="260">
        <f t="shared" si="12"/>
        <v>-53</v>
      </c>
      <c r="F96" s="259">
        <f t="shared" si="13"/>
        <v>-0.18402777777777779</v>
      </c>
    </row>
    <row r="97" spans="1:6" ht="20.25" customHeight="1" x14ac:dyDescent="0.3">
      <c r="A97" s="256">
        <v>6</v>
      </c>
      <c r="B97" s="257" t="s">
        <v>380</v>
      </c>
      <c r="C97" s="260">
        <v>1224</v>
      </c>
      <c r="D97" s="260">
        <v>1003</v>
      </c>
      <c r="E97" s="260">
        <f t="shared" si="12"/>
        <v>-221</v>
      </c>
      <c r="F97" s="259">
        <f t="shared" si="13"/>
        <v>-0.18055555555555555</v>
      </c>
    </row>
    <row r="98" spans="1:6" ht="20.25" customHeight="1" x14ac:dyDescent="0.3">
      <c r="A98" s="256">
        <v>7</v>
      </c>
      <c r="B98" s="257" t="s">
        <v>445</v>
      </c>
      <c r="C98" s="260">
        <v>12916</v>
      </c>
      <c r="D98" s="260">
        <v>9686</v>
      </c>
      <c r="E98" s="260">
        <f t="shared" si="12"/>
        <v>-3230</v>
      </c>
      <c r="F98" s="259">
        <f t="shared" si="13"/>
        <v>-0.25007742335088262</v>
      </c>
    </row>
    <row r="99" spans="1:6" ht="20.25" customHeight="1" x14ac:dyDescent="0.3">
      <c r="A99" s="256">
        <v>8</v>
      </c>
      <c r="B99" s="257" t="s">
        <v>446</v>
      </c>
      <c r="C99" s="260">
        <v>623</v>
      </c>
      <c r="D99" s="260">
        <v>742</v>
      </c>
      <c r="E99" s="260">
        <f t="shared" si="12"/>
        <v>119</v>
      </c>
      <c r="F99" s="259">
        <f t="shared" si="13"/>
        <v>0.19101123595505617</v>
      </c>
    </row>
    <row r="100" spans="1:6" ht="20.25" customHeight="1" x14ac:dyDescent="0.3">
      <c r="A100" s="256">
        <v>9</v>
      </c>
      <c r="B100" s="257" t="s">
        <v>447</v>
      </c>
      <c r="C100" s="260">
        <v>208</v>
      </c>
      <c r="D100" s="260">
        <v>151</v>
      </c>
      <c r="E100" s="260">
        <f t="shared" si="12"/>
        <v>-57</v>
      </c>
      <c r="F100" s="259">
        <f t="shared" si="13"/>
        <v>-0.27403846153846156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13680835</v>
      </c>
      <c r="D101" s="263">
        <f>+D92+D94</f>
        <v>14487935</v>
      </c>
      <c r="E101" s="263">
        <f t="shared" si="12"/>
        <v>807100</v>
      </c>
      <c r="F101" s="264">
        <f t="shared" si="13"/>
        <v>5.899493707803654E-2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4886462</v>
      </c>
      <c r="D102" s="263">
        <f>+D93+D95</f>
        <v>5364935</v>
      </c>
      <c r="E102" s="263">
        <f t="shared" si="12"/>
        <v>478473</v>
      </c>
      <c r="F102" s="264">
        <f t="shared" si="13"/>
        <v>9.7918084700136826E-2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24354</v>
      </c>
      <c r="E107" s="258">
        <f t="shared" si="14"/>
        <v>24354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6067</v>
      </c>
      <c r="E108" s="258">
        <f t="shared" si="14"/>
        <v>6067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1</v>
      </c>
      <c r="E109" s="260">
        <f t="shared" si="14"/>
        <v>1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2</v>
      </c>
      <c r="E110" s="260">
        <f t="shared" si="14"/>
        <v>2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16</v>
      </c>
      <c r="E111" s="260">
        <f t="shared" si="14"/>
        <v>16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1</v>
      </c>
      <c r="E112" s="260">
        <f t="shared" si="14"/>
        <v>1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24354</v>
      </c>
      <c r="E114" s="263">
        <f t="shared" si="14"/>
        <v>24354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6067</v>
      </c>
      <c r="E115" s="263">
        <f t="shared" si="14"/>
        <v>6067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217272</v>
      </c>
      <c r="D118" s="258">
        <v>434963</v>
      </c>
      <c r="E118" s="258">
        <f t="shared" ref="E118:E128" si="16">D118-C118</f>
        <v>217691</v>
      </c>
      <c r="F118" s="259">
        <f t="shared" ref="F118:F128" si="17">IF(C118=0,0,E118/C118)</f>
        <v>1.0019284583379358</v>
      </c>
    </row>
    <row r="119" spans="1:6" ht="20.25" customHeight="1" x14ac:dyDescent="0.3">
      <c r="A119" s="256">
        <v>2</v>
      </c>
      <c r="B119" s="257" t="s">
        <v>442</v>
      </c>
      <c r="C119" s="258">
        <v>73493</v>
      </c>
      <c r="D119" s="258">
        <v>190844</v>
      </c>
      <c r="E119" s="258">
        <f t="shared" si="16"/>
        <v>117351</v>
      </c>
      <c r="F119" s="259">
        <f t="shared" si="17"/>
        <v>1.5967643176901201</v>
      </c>
    </row>
    <row r="120" spans="1:6" ht="20.25" customHeight="1" x14ac:dyDescent="0.3">
      <c r="A120" s="256">
        <v>3</v>
      </c>
      <c r="B120" s="257" t="s">
        <v>443</v>
      </c>
      <c r="C120" s="258">
        <v>220904</v>
      </c>
      <c r="D120" s="258">
        <v>307894</v>
      </c>
      <c r="E120" s="258">
        <f t="shared" si="16"/>
        <v>86990</v>
      </c>
      <c r="F120" s="259">
        <f t="shared" si="17"/>
        <v>0.39379096802230834</v>
      </c>
    </row>
    <row r="121" spans="1:6" ht="20.25" customHeight="1" x14ac:dyDescent="0.3">
      <c r="A121" s="256">
        <v>4</v>
      </c>
      <c r="B121" s="257" t="s">
        <v>444</v>
      </c>
      <c r="C121" s="258">
        <v>73228</v>
      </c>
      <c r="D121" s="258">
        <v>120372</v>
      </c>
      <c r="E121" s="258">
        <f t="shared" si="16"/>
        <v>47144</v>
      </c>
      <c r="F121" s="259">
        <f t="shared" si="17"/>
        <v>0.64379745452559134</v>
      </c>
    </row>
    <row r="122" spans="1:6" ht="20.25" customHeight="1" x14ac:dyDescent="0.3">
      <c r="A122" s="256">
        <v>5</v>
      </c>
      <c r="B122" s="257" t="s">
        <v>381</v>
      </c>
      <c r="C122" s="260">
        <v>11</v>
      </c>
      <c r="D122" s="260">
        <v>12</v>
      </c>
      <c r="E122" s="260">
        <f t="shared" si="16"/>
        <v>1</v>
      </c>
      <c r="F122" s="259">
        <f t="shared" si="17"/>
        <v>9.0909090909090912E-2</v>
      </c>
    </row>
    <row r="123" spans="1:6" ht="20.25" customHeight="1" x14ac:dyDescent="0.3">
      <c r="A123" s="256">
        <v>6</v>
      </c>
      <c r="B123" s="257" t="s">
        <v>380</v>
      </c>
      <c r="C123" s="260">
        <v>48</v>
      </c>
      <c r="D123" s="260">
        <v>51</v>
      </c>
      <c r="E123" s="260">
        <f t="shared" si="16"/>
        <v>3</v>
      </c>
      <c r="F123" s="259">
        <f t="shared" si="17"/>
        <v>6.25E-2</v>
      </c>
    </row>
    <row r="124" spans="1:6" ht="20.25" customHeight="1" x14ac:dyDescent="0.3">
      <c r="A124" s="256">
        <v>7</v>
      </c>
      <c r="B124" s="257" t="s">
        <v>445</v>
      </c>
      <c r="C124" s="260">
        <v>511</v>
      </c>
      <c r="D124" s="260">
        <v>497</v>
      </c>
      <c r="E124" s="260">
        <f t="shared" si="16"/>
        <v>-14</v>
      </c>
      <c r="F124" s="259">
        <f t="shared" si="17"/>
        <v>-2.7397260273972601E-2</v>
      </c>
    </row>
    <row r="125" spans="1:6" ht="20.25" customHeight="1" x14ac:dyDescent="0.3">
      <c r="A125" s="256">
        <v>8</v>
      </c>
      <c r="B125" s="257" t="s">
        <v>446</v>
      </c>
      <c r="C125" s="260">
        <v>25</v>
      </c>
      <c r="D125" s="260">
        <v>38</v>
      </c>
      <c r="E125" s="260">
        <f t="shared" si="16"/>
        <v>13</v>
      </c>
      <c r="F125" s="259">
        <f t="shared" si="17"/>
        <v>0.52</v>
      </c>
    </row>
    <row r="126" spans="1:6" ht="20.25" customHeight="1" x14ac:dyDescent="0.3">
      <c r="A126" s="256">
        <v>9</v>
      </c>
      <c r="B126" s="257" t="s">
        <v>447</v>
      </c>
      <c r="C126" s="260">
        <v>7</v>
      </c>
      <c r="D126" s="260">
        <v>8</v>
      </c>
      <c r="E126" s="260">
        <f t="shared" si="16"/>
        <v>1</v>
      </c>
      <c r="F126" s="259">
        <f t="shared" si="17"/>
        <v>0.14285714285714285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438176</v>
      </c>
      <c r="D127" s="263">
        <f>+D118+D120</f>
        <v>742857</v>
      </c>
      <c r="E127" s="263">
        <f t="shared" si="16"/>
        <v>304681</v>
      </c>
      <c r="F127" s="264">
        <f t="shared" si="17"/>
        <v>0.69533931570875629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146721</v>
      </c>
      <c r="D128" s="263">
        <f>+D119+D121</f>
        <v>311216</v>
      </c>
      <c r="E128" s="263">
        <f t="shared" si="16"/>
        <v>164495</v>
      </c>
      <c r="F128" s="264">
        <f t="shared" si="17"/>
        <v>1.1211414862221496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8205</v>
      </c>
      <c r="D131" s="258">
        <v>29919</v>
      </c>
      <c r="E131" s="258">
        <f t="shared" ref="E131:E141" si="18">D131-C131</f>
        <v>21714</v>
      </c>
      <c r="F131" s="259">
        <f t="shared" ref="F131:F141" si="19">IF(C131=0,0,E131/C131)</f>
        <v>2.6464351005484459</v>
      </c>
    </row>
    <row r="132" spans="1:6" ht="20.25" customHeight="1" x14ac:dyDescent="0.3">
      <c r="A132" s="256">
        <v>2</v>
      </c>
      <c r="B132" s="257" t="s">
        <v>442</v>
      </c>
      <c r="C132" s="258">
        <v>8205</v>
      </c>
      <c r="D132" s="258">
        <v>9394</v>
      </c>
      <c r="E132" s="258">
        <f t="shared" si="18"/>
        <v>1189</v>
      </c>
      <c r="F132" s="259">
        <f t="shared" si="19"/>
        <v>0.14491163924436321</v>
      </c>
    </row>
    <row r="133" spans="1:6" ht="20.25" customHeight="1" x14ac:dyDescent="0.3">
      <c r="A133" s="256">
        <v>3</v>
      </c>
      <c r="B133" s="257" t="s">
        <v>443</v>
      </c>
      <c r="C133" s="258">
        <v>16263</v>
      </c>
      <c r="D133" s="258">
        <v>31950</v>
      </c>
      <c r="E133" s="258">
        <f t="shared" si="18"/>
        <v>15687</v>
      </c>
      <c r="F133" s="259">
        <f t="shared" si="19"/>
        <v>0.96458218040951849</v>
      </c>
    </row>
    <row r="134" spans="1:6" ht="20.25" customHeight="1" x14ac:dyDescent="0.3">
      <c r="A134" s="256">
        <v>4</v>
      </c>
      <c r="B134" s="257" t="s">
        <v>444</v>
      </c>
      <c r="C134" s="258">
        <v>7712</v>
      </c>
      <c r="D134" s="258">
        <v>7790</v>
      </c>
      <c r="E134" s="258">
        <f t="shared" si="18"/>
        <v>78</v>
      </c>
      <c r="F134" s="259">
        <f t="shared" si="19"/>
        <v>1.0114107883817428E-2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1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2</v>
      </c>
      <c r="D136" s="260">
        <v>4</v>
      </c>
      <c r="E136" s="260">
        <f t="shared" si="18"/>
        <v>2</v>
      </c>
      <c r="F136" s="259">
        <f t="shared" si="19"/>
        <v>1</v>
      </c>
    </row>
    <row r="137" spans="1:6" ht="20.25" customHeight="1" x14ac:dyDescent="0.3">
      <c r="A137" s="256">
        <v>7</v>
      </c>
      <c r="B137" s="257" t="s">
        <v>445</v>
      </c>
      <c r="C137" s="260">
        <v>20</v>
      </c>
      <c r="D137" s="260">
        <v>41</v>
      </c>
      <c r="E137" s="260">
        <f t="shared" si="18"/>
        <v>21</v>
      </c>
      <c r="F137" s="259">
        <f t="shared" si="19"/>
        <v>1.05</v>
      </c>
    </row>
    <row r="138" spans="1:6" ht="20.25" customHeight="1" x14ac:dyDescent="0.3">
      <c r="A138" s="256">
        <v>8</v>
      </c>
      <c r="B138" s="257" t="s">
        <v>446</v>
      </c>
      <c r="C138" s="260">
        <v>1</v>
      </c>
      <c r="D138" s="260">
        <v>2</v>
      </c>
      <c r="E138" s="260">
        <f t="shared" si="18"/>
        <v>1</v>
      </c>
      <c r="F138" s="259">
        <f t="shared" si="19"/>
        <v>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1</v>
      </c>
      <c r="E139" s="260">
        <f t="shared" si="18"/>
        <v>1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24468</v>
      </c>
      <c r="D140" s="263">
        <f>+D131+D133</f>
        <v>61869</v>
      </c>
      <c r="E140" s="263">
        <f t="shared" si="18"/>
        <v>37401</v>
      </c>
      <c r="F140" s="264">
        <f t="shared" si="19"/>
        <v>1.5285679254536537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15917</v>
      </c>
      <c r="D141" s="263">
        <f>+D132+D134</f>
        <v>17184</v>
      </c>
      <c r="E141" s="263">
        <f t="shared" si="18"/>
        <v>1267</v>
      </c>
      <c r="F141" s="264">
        <f t="shared" si="19"/>
        <v>7.9600427216183961E-2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9696585</v>
      </c>
      <c r="D198" s="263">
        <f t="shared" si="28"/>
        <v>9321252</v>
      </c>
      <c r="E198" s="263">
        <f t="shared" ref="E198:E208" si="29">D198-C198</f>
        <v>-375333</v>
      </c>
      <c r="F198" s="273">
        <f t="shared" ref="F198:F208" si="30">IF(C198=0,0,E198/C198)</f>
        <v>-3.8707751234068492E-2</v>
      </c>
    </row>
    <row r="199" spans="1:9" ht="20.25" customHeight="1" x14ac:dyDescent="0.3">
      <c r="A199" s="271"/>
      <c r="B199" s="272" t="s">
        <v>466</v>
      </c>
      <c r="C199" s="263">
        <f t="shared" si="28"/>
        <v>4121081</v>
      </c>
      <c r="D199" s="263">
        <f t="shared" si="28"/>
        <v>4151112</v>
      </c>
      <c r="E199" s="263">
        <f t="shared" si="29"/>
        <v>30031</v>
      </c>
      <c r="F199" s="273">
        <f t="shared" si="30"/>
        <v>7.2871656732784434E-3</v>
      </c>
    </row>
    <row r="200" spans="1:9" ht="20.25" customHeight="1" x14ac:dyDescent="0.3">
      <c r="A200" s="271"/>
      <c r="B200" s="272" t="s">
        <v>467</v>
      </c>
      <c r="C200" s="263">
        <f t="shared" si="28"/>
        <v>15254018</v>
      </c>
      <c r="D200" s="263">
        <f t="shared" si="28"/>
        <v>18176052</v>
      </c>
      <c r="E200" s="263">
        <f t="shared" si="29"/>
        <v>2922034</v>
      </c>
      <c r="F200" s="273">
        <f t="shared" si="30"/>
        <v>0.19155831597943571</v>
      </c>
    </row>
    <row r="201" spans="1:9" ht="20.25" customHeight="1" x14ac:dyDescent="0.3">
      <c r="A201" s="271"/>
      <c r="B201" s="272" t="s">
        <v>468</v>
      </c>
      <c r="C201" s="263">
        <f t="shared" si="28"/>
        <v>4754446</v>
      </c>
      <c r="D201" s="263">
        <f t="shared" si="28"/>
        <v>5930517</v>
      </c>
      <c r="E201" s="263">
        <f t="shared" si="29"/>
        <v>1176071</v>
      </c>
      <c r="F201" s="273">
        <f t="shared" si="30"/>
        <v>0.24736236356454569</v>
      </c>
    </row>
    <row r="202" spans="1:9" ht="20.25" customHeight="1" x14ac:dyDescent="0.3">
      <c r="A202" s="271"/>
      <c r="B202" s="272" t="s">
        <v>138</v>
      </c>
      <c r="C202" s="274">
        <f t="shared" si="28"/>
        <v>508</v>
      </c>
      <c r="D202" s="274">
        <f t="shared" si="28"/>
        <v>446</v>
      </c>
      <c r="E202" s="274">
        <f t="shared" si="29"/>
        <v>-62</v>
      </c>
      <c r="F202" s="273">
        <f t="shared" si="30"/>
        <v>-0.12204724409448819</v>
      </c>
    </row>
    <row r="203" spans="1:9" ht="20.25" customHeight="1" x14ac:dyDescent="0.3">
      <c r="A203" s="271"/>
      <c r="B203" s="272" t="s">
        <v>140</v>
      </c>
      <c r="C203" s="274">
        <f t="shared" si="28"/>
        <v>2160</v>
      </c>
      <c r="D203" s="274">
        <f t="shared" si="28"/>
        <v>1903</v>
      </c>
      <c r="E203" s="274">
        <f t="shared" si="29"/>
        <v>-257</v>
      </c>
      <c r="F203" s="273">
        <f t="shared" si="30"/>
        <v>-0.11898148148148148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22790</v>
      </c>
      <c r="D204" s="274">
        <f t="shared" si="28"/>
        <v>18383</v>
      </c>
      <c r="E204" s="274">
        <f t="shared" si="29"/>
        <v>-4407</v>
      </c>
      <c r="F204" s="273">
        <f t="shared" si="30"/>
        <v>-0.19337428696796841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1099</v>
      </c>
      <c r="D205" s="274">
        <f t="shared" si="28"/>
        <v>1409</v>
      </c>
      <c r="E205" s="274">
        <f t="shared" si="29"/>
        <v>310</v>
      </c>
      <c r="F205" s="273">
        <f t="shared" si="30"/>
        <v>0.28207461328480438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400</v>
      </c>
      <c r="D206" s="274">
        <f t="shared" si="28"/>
        <v>287</v>
      </c>
      <c r="E206" s="274">
        <f t="shared" si="29"/>
        <v>-113</v>
      </c>
      <c r="F206" s="273">
        <f t="shared" si="30"/>
        <v>-0.28249999999999997</v>
      </c>
    </row>
    <row r="207" spans="1:9" ht="20.25" customHeight="1" x14ac:dyDescent="0.3">
      <c r="A207" s="271"/>
      <c r="B207" s="262" t="s">
        <v>471</v>
      </c>
      <c r="C207" s="263">
        <f>+C198+C200</f>
        <v>24950603</v>
      </c>
      <c r="D207" s="263">
        <f>+D198+D200</f>
        <v>27497304</v>
      </c>
      <c r="E207" s="263">
        <f t="shared" si="29"/>
        <v>2546701</v>
      </c>
      <c r="F207" s="273">
        <f t="shared" si="30"/>
        <v>0.10206971751344046</v>
      </c>
    </row>
    <row r="208" spans="1:9" ht="20.25" customHeight="1" x14ac:dyDescent="0.3">
      <c r="A208" s="271"/>
      <c r="B208" s="262" t="s">
        <v>472</v>
      </c>
      <c r="C208" s="263">
        <f>+C199+C201</f>
        <v>8875527</v>
      </c>
      <c r="D208" s="263">
        <f>+D199+D201</f>
        <v>10081629</v>
      </c>
      <c r="E208" s="263">
        <f t="shared" si="29"/>
        <v>1206102</v>
      </c>
      <c r="F208" s="273">
        <f t="shared" si="30"/>
        <v>0.13589074767053269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FILING&amp;RDAY KIMBALL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280455</v>
      </c>
      <c r="D50" s="258">
        <v>0</v>
      </c>
      <c r="E50" s="258">
        <f t="shared" ref="E50:E60" si="6">D50-C50</f>
        <v>-280455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89117</v>
      </c>
      <c r="D51" s="258">
        <v>0</v>
      </c>
      <c r="E51" s="258">
        <f t="shared" si="6"/>
        <v>-89117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509988</v>
      </c>
      <c r="D52" s="258">
        <v>0</v>
      </c>
      <c r="E52" s="258">
        <f t="shared" si="6"/>
        <v>-509988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144634</v>
      </c>
      <c r="D53" s="258">
        <v>0</v>
      </c>
      <c r="E53" s="258">
        <f t="shared" si="6"/>
        <v>-144634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22</v>
      </c>
      <c r="D54" s="260">
        <v>0</v>
      </c>
      <c r="E54" s="260">
        <f t="shared" si="6"/>
        <v>-22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80</v>
      </c>
      <c r="D55" s="260">
        <v>0</v>
      </c>
      <c r="E55" s="260">
        <f t="shared" si="6"/>
        <v>-80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98</v>
      </c>
      <c r="D56" s="260">
        <v>0</v>
      </c>
      <c r="E56" s="260">
        <f t="shared" si="6"/>
        <v>-98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215</v>
      </c>
      <c r="D57" s="260">
        <v>0</v>
      </c>
      <c r="E57" s="260">
        <f t="shared" si="6"/>
        <v>-215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3</v>
      </c>
      <c r="D58" s="260">
        <v>0</v>
      </c>
      <c r="E58" s="260">
        <f t="shared" si="6"/>
        <v>-3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790443</v>
      </c>
      <c r="D59" s="263">
        <f>+D50+D52</f>
        <v>0</v>
      </c>
      <c r="E59" s="263">
        <f t="shared" si="6"/>
        <v>-790443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233751</v>
      </c>
      <c r="D60" s="263">
        <f>+D51+D53</f>
        <v>0</v>
      </c>
      <c r="E60" s="263">
        <f t="shared" si="6"/>
        <v>-233751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280455</v>
      </c>
      <c r="D112" s="263">
        <f t="shared" si="16"/>
        <v>0</v>
      </c>
      <c r="E112" s="263">
        <f t="shared" ref="E112:E122" si="17">D112-C112</f>
        <v>-280455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89117</v>
      </c>
      <c r="D113" s="263">
        <f t="shared" si="16"/>
        <v>0</v>
      </c>
      <c r="E113" s="263">
        <f t="shared" si="17"/>
        <v>-89117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509988</v>
      </c>
      <c r="D114" s="263">
        <f t="shared" si="16"/>
        <v>0</v>
      </c>
      <c r="E114" s="263">
        <f t="shared" si="17"/>
        <v>-509988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144634</v>
      </c>
      <c r="D115" s="263">
        <f t="shared" si="16"/>
        <v>0</v>
      </c>
      <c r="E115" s="263">
        <f t="shared" si="17"/>
        <v>-144634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22</v>
      </c>
      <c r="D116" s="287">
        <f t="shared" si="16"/>
        <v>0</v>
      </c>
      <c r="E116" s="287">
        <f t="shared" si="17"/>
        <v>-22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80</v>
      </c>
      <c r="D117" s="287">
        <f t="shared" si="16"/>
        <v>0</v>
      </c>
      <c r="E117" s="287">
        <f t="shared" si="17"/>
        <v>-80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98</v>
      </c>
      <c r="D118" s="287">
        <f t="shared" si="16"/>
        <v>0</v>
      </c>
      <c r="E118" s="287">
        <f t="shared" si="17"/>
        <v>-98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215</v>
      </c>
      <c r="D119" s="287">
        <f t="shared" si="16"/>
        <v>0</v>
      </c>
      <c r="E119" s="287">
        <f t="shared" si="17"/>
        <v>-215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3</v>
      </c>
      <c r="D120" s="287">
        <f t="shared" si="16"/>
        <v>0</v>
      </c>
      <c r="E120" s="287">
        <f t="shared" si="17"/>
        <v>-3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790443</v>
      </c>
      <c r="D121" s="263">
        <f>+D112+D114</f>
        <v>0</v>
      </c>
      <c r="E121" s="263">
        <f t="shared" si="17"/>
        <v>-790443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233751</v>
      </c>
      <c r="D122" s="263">
        <f>+D113+D115</f>
        <v>0</v>
      </c>
      <c r="E122" s="263">
        <f t="shared" si="17"/>
        <v>-233751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2" orientation="portrait" horizontalDpi="1200" verticalDpi="1200" r:id="rId1"/>
  <headerFooter>
    <oddHeader>&amp;LOFFICE OF HEALTH CARE ACCESS&amp;CTWELVE MONTHS ACTUAL FILING&amp;RDAY KIMBALL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4911198</v>
      </c>
      <c r="D13" s="22">
        <v>9604840</v>
      </c>
      <c r="E13" s="22">
        <f t="shared" ref="E13:E22" si="0">D13-C13</f>
        <v>4693642</v>
      </c>
      <c r="F13" s="306">
        <f t="shared" ref="F13:F22" si="1">IF(C13=0,0,E13/C13)</f>
        <v>0.9557020507012749</v>
      </c>
    </row>
    <row r="14" spans="1:8" ht="24" customHeight="1" x14ac:dyDescent="0.2">
      <c r="A14" s="304">
        <v>2</v>
      </c>
      <c r="B14" s="305" t="s">
        <v>17</v>
      </c>
      <c r="C14" s="22">
        <v>2841383</v>
      </c>
      <c r="D14" s="22">
        <v>3332258</v>
      </c>
      <c r="E14" s="22">
        <f t="shared" si="0"/>
        <v>490875</v>
      </c>
      <c r="F14" s="306">
        <f t="shared" si="1"/>
        <v>0.17275918100446155</v>
      </c>
    </row>
    <row r="15" spans="1:8" ht="35.1" customHeight="1" x14ac:dyDescent="0.2">
      <c r="A15" s="304">
        <v>3</v>
      </c>
      <c r="B15" s="305" t="s">
        <v>18</v>
      </c>
      <c r="C15" s="22">
        <v>15185290</v>
      </c>
      <c r="D15" s="22">
        <v>10982888</v>
      </c>
      <c r="E15" s="22">
        <f t="shared" si="0"/>
        <v>-4202402</v>
      </c>
      <c r="F15" s="306">
        <f t="shared" si="1"/>
        <v>-0.27674163614919439</v>
      </c>
    </row>
    <row r="16" spans="1:8" ht="35.1" customHeight="1" x14ac:dyDescent="0.2">
      <c r="A16" s="304">
        <v>4</v>
      </c>
      <c r="B16" s="305" t="s">
        <v>19</v>
      </c>
      <c r="C16" s="22">
        <v>654243</v>
      </c>
      <c r="D16" s="22">
        <v>733355</v>
      </c>
      <c r="E16" s="22">
        <f t="shared" si="0"/>
        <v>79112</v>
      </c>
      <c r="F16" s="306">
        <f t="shared" si="1"/>
        <v>0.12092143133361763</v>
      </c>
    </row>
    <row r="17" spans="1:11" ht="24" customHeight="1" x14ac:dyDescent="0.2">
      <c r="A17" s="304">
        <v>5</v>
      </c>
      <c r="B17" s="305" t="s">
        <v>20</v>
      </c>
      <c r="C17" s="22">
        <v>1869</v>
      </c>
      <c r="D17" s="22">
        <v>15091</v>
      </c>
      <c r="E17" s="22">
        <f t="shared" si="0"/>
        <v>13222</v>
      </c>
      <c r="F17" s="306">
        <f t="shared" si="1"/>
        <v>7.0743713215623325</v>
      </c>
    </row>
    <row r="18" spans="1:11" ht="24" customHeight="1" x14ac:dyDescent="0.2">
      <c r="A18" s="304">
        <v>6</v>
      </c>
      <c r="B18" s="305" t="s">
        <v>21</v>
      </c>
      <c r="C18" s="22">
        <v>1352274</v>
      </c>
      <c r="D18" s="22">
        <v>809012</v>
      </c>
      <c r="E18" s="22">
        <f t="shared" si="0"/>
        <v>-543262</v>
      </c>
      <c r="F18" s="306">
        <f t="shared" si="1"/>
        <v>-0.40173958827870682</v>
      </c>
    </row>
    <row r="19" spans="1:11" ht="24" customHeight="1" x14ac:dyDescent="0.2">
      <c r="A19" s="304">
        <v>7</v>
      </c>
      <c r="B19" s="305" t="s">
        <v>22</v>
      </c>
      <c r="C19" s="22">
        <v>2153470</v>
      </c>
      <c r="D19" s="22">
        <v>2604870</v>
      </c>
      <c r="E19" s="22">
        <f t="shared" si="0"/>
        <v>451400</v>
      </c>
      <c r="F19" s="306">
        <f t="shared" si="1"/>
        <v>0.20961517922237133</v>
      </c>
    </row>
    <row r="20" spans="1:11" ht="24" customHeight="1" x14ac:dyDescent="0.2">
      <c r="A20" s="304">
        <v>8</v>
      </c>
      <c r="B20" s="305" t="s">
        <v>23</v>
      </c>
      <c r="C20" s="22">
        <v>344869</v>
      </c>
      <c r="D20" s="22">
        <v>301548</v>
      </c>
      <c r="E20" s="22">
        <f t="shared" si="0"/>
        <v>-43321</v>
      </c>
      <c r="F20" s="306">
        <f t="shared" si="1"/>
        <v>-0.12561581354079376</v>
      </c>
    </row>
    <row r="21" spans="1:11" ht="24" customHeight="1" x14ac:dyDescent="0.2">
      <c r="A21" s="304">
        <v>9</v>
      </c>
      <c r="B21" s="305" t="s">
        <v>24</v>
      </c>
      <c r="C21" s="22">
        <v>1449487</v>
      </c>
      <c r="D21" s="22">
        <v>1066990</v>
      </c>
      <c r="E21" s="22">
        <f t="shared" si="0"/>
        <v>-382497</v>
      </c>
      <c r="F21" s="306">
        <f t="shared" si="1"/>
        <v>-0.26388439496180371</v>
      </c>
    </row>
    <row r="22" spans="1:11" ht="24" customHeight="1" x14ac:dyDescent="0.25">
      <c r="A22" s="307"/>
      <c r="B22" s="308" t="s">
        <v>25</v>
      </c>
      <c r="C22" s="309">
        <f>SUM(C13:C21)</f>
        <v>28894083</v>
      </c>
      <c r="D22" s="309">
        <f>SUM(D13:D21)</f>
        <v>29450852</v>
      </c>
      <c r="E22" s="309">
        <f t="shared" si="0"/>
        <v>556769</v>
      </c>
      <c r="F22" s="310">
        <f t="shared" si="1"/>
        <v>1.9269308529362223E-2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4209026</v>
      </c>
      <c r="D25" s="22">
        <v>4040534</v>
      </c>
      <c r="E25" s="22">
        <f>D25-C25</f>
        <v>-168492</v>
      </c>
      <c r="F25" s="306">
        <f>IF(C25=0,0,E25/C25)</f>
        <v>-4.0031114086726952E-2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2061464</v>
      </c>
      <c r="D27" s="22">
        <v>2261884</v>
      </c>
      <c r="E27" s="22">
        <f>D27-C27</f>
        <v>200420</v>
      </c>
      <c r="F27" s="306">
        <f>IF(C27=0,0,E27/C27)</f>
        <v>9.722216832309466E-2</v>
      </c>
    </row>
    <row r="28" spans="1:11" ht="35.1" customHeight="1" x14ac:dyDescent="0.2">
      <c r="A28" s="304">
        <v>4</v>
      </c>
      <c r="B28" s="305" t="s">
        <v>31</v>
      </c>
      <c r="C28" s="22">
        <v>1472779</v>
      </c>
      <c r="D28" s="22">
        <v>1780785</v>
      </c>
      <c r="E28" s="22">
        <f>D28-C28</f>
        <v>308006</v>
      </c>
      <c r="F28" s="306">
        <f>IF(C28=0,0,E28/C28)</f>
        <v>0.20913253108579088</v>
      </c>
    </row>
    <row r="29" spans="1:11" ht="35.1" customHeight="1" x14ac:dyDescent="0.25">
      <c r="A29" s="307"/>
      <c r="B29" s="308" t="s">
        <v>32</v>
      </c>
      <c r="C29" s="309">
        <f>SUM(C25:C28)</f>
        <v>7743269</v>
      </c>
      <c r="D29" s="309">
        <f>SUM(D25:D28)</f>
        <v>8083203</v>
      </c>
      <c r="E29" s="309">
        <f>D29-C29</f>
        <v>339934</v>
      </c>
      <c r="F29" s="310">
        <f>IF(C29=0,0,E29/C29)</f>
        <v>4.3900579974685112E-2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8384272</v>
      </c>
      <c r="D32" s="22">
        <v>8670707</v>
      </c>
      <c r="E32" s="22">
        <f>D32-C32</f>
        <v>286435</v>
      </c>
      <c r="F32" s="306">
        <f>IF(C32=0,0,E32/C32)</f>
        <v>3.4163371608173017E-2</v>
      </c>
    </row>
    <row r="33" spans="1:8" ht="24" customHeight="1" x14ac:dyDescent="0.2">
      <c r="A33" s="304">
        <v>7</v>
      </c>
      <c r="B33" s="305" t="s">
        <v>35</v>
      </c>
      <c r="C33" s="22">
        <v>48270</v>
      </c>
      <c r="D33" s="22">
        <v>9440220</v>
      </c>
      <c r="E33" s="22">
        <f>D33-C33</f>
        <v>9391950</v>
      </c>
      <c r="F33" s="306">
        <f>IF(C33=0,0,E33/C33)</f>
        <v>194.57116221255438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118239708</v>
      </c>
      <c r="D36" s="22">
        <v>113909353</v>
      </c>
      <c r="E36" s="22">
        <f>D36-C36</f>
        <v>-4330355</v>
      </c>
      <c r="F36" s="306">
        <f>IF(C36=0,0,E36/C36)</f>
        <v>-3.6623525829410877E-2</v>
      </c>
    </row>
    <row r="37" spans="1:8" ht="24" customHeight="1" x14ac:dyDescent="0.2">
      <c r="A37" s="304">
        <v>2</v>
      </c>
      <c r="B37" s="305" t="s">
        <v>39</v>
      </c>
      <c r="C37" s="22">
        <v>73541843</v>
      </c>
      <c r="D37" s="22">
        <v>78930676</v>
      </c>
      <c r="E37" s="22">
        <f>D37-C37</f>
        <v>5388833</v>
      </c>
      <c r="F37" s="22">
        <f>IF(C37=0,0,E37/C37)</f>
        <v>7.3275740451595697E-2</v>
      </c>
    </row>
    <row r="38" spans="1:8" ht="24" customHeight="1" x14ac:dyDescent="0.25">
      <c r="A38" s="307"/>
      <c r="B38" s="308" t="s">
        <v>40</v>
      </c>
      <c r="C38" s="309">
        <f>C36-C37</f>
        <v>44697865</v>
      </c>
      <c r="D38" s="309">
        <f>D36-D37</f>
        <v>34978677</v>
      </c>
      <c r="E38" s="309">
        <f>D38-C38</f>
        <v>-9719188</v>
      </c>
      <c r="F38" s="310">
        <f>IF(C38=0,0,E38/C38)</f>
        <v>-0.21744188452848923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4666369</v>
      </c>
      <c r="D40" s="22">
        <v>3192013</v>
      </c>
      <c r="E40" s="22">
        <f>D40-C40</f>
        <v>-1474356</v>
      </c>
      <c r="F40" s="306">
        <f>IF(C40=0,0,E40/C40)</f>
        <v>-0.31595358189633094</v>
      </c>
    </row>
    <row r="41" spans="1:8" ht="24" customHeight="1" x14ac:dyDescent="0.25">
      <c r="A41" s="307"/>
      <c r="B41" s="308" t="s">
        <v>42</v>
      </c>
      <c r="C41" s="309">
        <f>+C38+C40</f>
        <v>49364234</v>
      </c>
      <c r="D41" s="309">
        <f>+D38+D40</f>
        <v>38170690</v>
      </c>
      <c r="E41" s="309">
        <f>D41-C41</f>
        <v>-11193544</v>
      </c>
      <c r="F41" s="310">
        <f>IF(C41=0,0,E41/C41)</f>
        <v>-0.22675413134132699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94434128</v>
      </c>
      <c r="D43" s="309">
        <f>D22+D29+D31+D32+D33+D41</f>
        <v>93815672</v>
      </c>
      <c r="E43" s="309">
        <f>D43-C43</f>
        <v>-618456</v>
      </c>
      <c r="F43" s="310">
        <f>IF(C43=0,0,E43/C43)</f>
        <v>-6.5490730215669486E-3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10078631</v>
      </c>
      <c r="D49" s="22">
        <v>8992159</v>
      </c>
      <c r="E49" s="22">
        <f t="shared" ref="E49:E56" si="2">D49-C49</f>
        <v>-1086472</v>
      </c>
      <c r="F49" s="306">
        <f t="shared" ref="F49:F56" si="3">IF(C49=0,0,E49/C49)</f>
        <v>-0.10779956126977959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2090408</v>
      </c>
      <c r="D50" s="22">
        <v>1487016</v>
      </c>
      <c r="E50" s="22">
        <f t="shared" si="2"/>
        <v>-603392</v>
      </c>
      <c r="F50" s="306">
        <f t="shared" si="3"/>
        <v>-0.28864795771925861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4459573</v>
      </c>
      <c r="D51" s="22">
        <v>5928286</v>
      </c>
      <c r="E51" s="22">
        <f t="shared" si="2"/>
        <v>1468713</v>
      </c>
      <c r="F51" s="306">
        <f t="shared" si="3"/>
        <v>0.32933937845618849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4261</v>
      </c>
      <c r="D52" s="22">
        <v>15027</v>
      </c>
      <c r="E52" s="22">
        <f t="shared" si="2"/>
        <v>10766</v>
      </c>
      <c r="F52" s="306">
        <f t="shared" si="3"/>
        <v>2.5266369396855199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1473425</v>
      </c>
      <c r="D53" s="22">
        <v>1616174</v>
      </c>
      <c r="E53" s="22">
        <f t="shared" si="2"/>
        <v>142749</v>
      </c>
      <c r="F53" s="306">
        <f t="shared" si="3"/>
        <v>9.6882433785228289E-2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750400</v>
      </c>
      <c r="D54" s="22">
        <v>723607</v>
      </c>
      <c r="E54" s="22">
        <f t="shared" si="2"/>
        <v>-26793</v>
      </c>
      <c r="F54" s="306">
        <f t="shared" si="3"/>
        <v>-3.5704957356076761E-2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7374387</v>
      </c>
      <c r="D55" s="22">
        <v>5263801</v>
      </c>
      <c r="E55" s="22">
        <f t="shared" si="2"/>
        <v>-2110586</v>
      </c>
      <c r="F55" s="306">
        <f t="shared" si="3"/>
        <v>-0.28620494150903664</v>
      </c>
    </row>
    <row r="56" spans="1:6" ht="24" customHeight="1" x14ac:dyDescent="0.25">
      <c r="A56" s="307"/>
      <c r="B56" s="308" t="s">
        <v>54</v>
      </c>
      <c r="C56" s="309">
        <f>SUM(C49:C55)</f>
        <v>26231085</v>
      </c>
      <c r="D56" s="309">
        <f>SUM(D49:D55)</f>
        <v>24026070</v>
      </c>
      <c r="E56" s="309">
        <f t="shared" si="2"/>
        <v>-2205015</v>
      </c>
      <c r="F56" s="310">
        <f t="shared" si="3"/>
        <v>-8.4061143486821074E-2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27705000</v>
      </c>
      <c r="D59" s="22">
        <v>25608168</v>
      </c>
      <c r="E59" s="22">
        <f>D59-C59</f>
        <v>-2096832</v>
      </c>
      <c r="F59" s="306">
        <f>IF(C59=0,0,E59/C59)</f>
        <v>-7.5684244721169469E-2</v>
      </c>
    </row>
    <row r="60" spans="1:6" ht="24" customHeight="1" x14ac:dyDescent="0.2">
      <c r="A60" s="304">
        <v>2</v>
      </c>
      <c r="B60" s="305" t="s">
        <v>57</v>
      </c>
      <c r="C60" s="22">
        <v>102336</v>
      </c>
      <c r="D60" s="22">
        <v>352566</v>
      </c>
      <c r="E60" s="22">
        <f>D60-C60</f>
        <v>250230</v>
      </c>
      <c r="F60" s="306">
        <f>IF(C60=0,0,E60/C60)</f>
        <v>2.4451805816135086</v>
      </c>
    </row>
    <row r="61" spans="1:6" ht="24" customHeight="1" x14ac:dyDescent="0.25">
      <c r="A61" s="307"/>
      <c r="B61" s="308" t="s">
        <v>58</v>
      </c>
      <c r="C61" s="309">
        <f>SUM(C59:C60)</f>
        <v>27807336</v>
      </c>
      <c r="D61" s="309">
        <f>SUM(D59:D60)</f>
        <v>25960734</v>
      </c>
      <c r="E61" s="309">
        <f>D61-C61</f>
        <v>-1846602</v>
      </c>
      <c r="F61" s="310">
        <f>IF(C61=0,0,E61/C61)</f>
        <v>-6.6407008567811024E-2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49175366</v>
      </c>
      <c r="D63" s="22">
        <v>56290353</v>
      </c>
      <c r="E63" s="22">
        <f>D63-C63</f>
        <v>7114987</v>
      </c>
      <c r="F63" s="306">
        <f>IF(C63=0,0,E63/C63)</f>
        <v>0.14468599989677758</v>
      </c>
    </row>
    <row r="64" spans="1:6" ht="24" customHeight="1" x14ac:dyDescent="0.2">
      <c r="A64" s="304">
        <v>4</v>
      </c>
      <c r="B64" s="305" t="s">
        <v>60</v>
      </c>
      <c r="C64" s="22">
        <v>512200</v>
      </c>
      <c r="D64" s="22">
        <v>723607</v>
      </c>
      <c r="E64" s="22">
        <f>D64-C64</f>
        <v>211407</v>
      </c>
      <c r="F64" s="306">
        <f>IF(C64=0,0,E64/C64)</f>
        <v>0.41274306911362751</v>
      </c>
    </row>
    <row r="65" spans="1:6" ht="24" customHeight="1" x14ac:dyDescent="0.25">
      <c r="A65" s="307"/>
      <c r="B65" s="308" t="s">
        <v>61</v>
      </c>
      <c r="C65" s="309">
        <f>SUM(C61:C64)</f>
        <v>77494902</v>
      </c>
      <c r="D65" s="309">
        <f>SUM(D61:D64)</f>
        <v>82974694</v>
      </c>
      <c r="E65" s="309">
        <f>D65-C65</f>
        <v>5479792</v>
      </c>
      <c r="F65" s="310">
        <f>IF(C65=0,0,E65/C65)</f>
        <v>7.0711645006016011E-2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-16231755</v>
      </c>
      <c r="D70" s="22">
        <v>-19667186</v>
      </c>
      <c r="E70" s="22">
        <f>D70-C70</f>
        <v>-3435431</v>
      </c>
      <c r="F70" s="306">
        <f>IF(C70=0,0,E70/C70)</f>
        <v>0.21164877118956021</v>
      </c>
    </row>
    <row r="71" spans="1:6" ht="24" customHeight="1" x14ac:dyDescent="0.2">
      <c r="A71" s="304">
        <v>2</v>
      </c>
      <c r="B71" s="305" t="s">
        <v>65</v>
      </c>
      <c r="C71" s="22">
        <v>2873106</v>
      </c>
      <c r="D71" s="22">
        <v>2306160</v>
      </c>
      <c r="E71" s="22">
        <f>D71-C71</f>
        <v>-566946</v>
      </c>
      <c r="F71" s="306">
        <f>IF(C71=0,0,E71/C71)</f>
        <v>-0.1973286053490543</v>
      </c>
    </row>
    <row r="72" spans="1:6" ht="24" customHeight="1" x14ac:dyDescent="0.2">
      <c r="A72" s="304">
        <v>3</v>
      </c>
      <c r="B72" s="305" t="s">
        <v>66</v>
      </c>
      <c r="C72" s="22">
        <v>4066790</v>
      </c>
      <c r="D72" s="22">
        <v>4175934</v>
      </c>
      <c r="E72" s="22">
        <f>D72-C72</f>
        <v>109144</v>
      </c>
      <c r="F72" s="306">
        <f>IF(C72=0,0,E72/C72)</f>
        <v>2.6837874589049349E-2</v>
      </c>
    </row>
    <row r="73" spans="1:6" ht="24" customHeight="1" x14ac:dyDescent="0.25">
      <c r="A73" s="304"/>
      <c r="B73" s="308" t="s">
        <v>67</v>
      </c>
      <c r="C73" s="309">
        <f>SUM(C70:C72)</f>
        <v>-9291859</v>
      </c>
      <c r="D73" s="309">
        <f>SUM(D70:D72)</f>
        <v>-13185092</v>
      </c>
      <c r="E73" s="309">
        <f>D73-C73</f>
        <v>-3893233</v>
      </c>
      <c r="F73" s="310">
        <f>IF(C73=0,0,E73/C73)</f>
        <v>0.41899398172098823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94434128</v>
      </c>
      <c r="D75" s="309">
        <f>D56+D65+D67+D73</f>
        <v>93815672</v>
      </c>
      <c r="E75" s="309">
        <f>D75-C75</f>
        <v>-618456</v>
      </c>
      <c r="F75" s="310">
        <f>IF(C75=0,0,E75/C75)</f>
        <v>-6.5490730215669486E-3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2" orientation="portrait" horizontalDpi="1200" verticalDpi="1200" r:id="rId1"/>
  <headerFooter>
    <oddHeader>&amp;LOFFICE OF HEALTH CARE ACCESS&amp;CTWELVE MONTHS ACTUAL FILING&amp;RDAY KIMBALL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280131974</v>
      </c>
      <c r="D11" s="76">
        <v>286902106</v>
      </c>
      <c r="E11" s="76">
        <f t="shared" ref="E11:E20" si="0">D11-C11</f>
        <v>6770132</v>
      </c>
      <c r="F11" s="77">
        <f t="shared" ref="F11:F20" si="1">IF(C11=0,0,E11/C11)</f>
        <v>2.4167651779728652E-2</v>
      </c>
    </row>
    <row r="12" spans="1:7" ht="23.1" customHeight="1" x14ac:dyDescent="0.2">
      <c r="A12" s="74">
        <v>2</v>
      </c>
      <c r="B12" s="75" t="s">
        <v>72</v>
      </c>
      <c r="C12" s="76">
        <v>147917002</v>
      </c>
      <c r="D12" s="76">
        <v>155745858</v>
      </c>
      <c r="E12" s="76">
        <f t="shared" si="0"/>
        <v>7828856</v>
      </c>
      <c r="F12" s="77">
        <f t="shared" si="1"/>
        <v>5.2927357194543466E-2</v>
      </c>
    </row>
    <row r="13" spans="1:7" ht="23.1" customHeight="1" x14ac:dyDescent="0.2">
      <c r="A13" s="74">
        <v>3</v>
      </c>
      <c r="B13" s="75" t="s">
        <v>73</v>
      </c>
      <c r="C13" s="76">
        <v>477319</v>
      </c>
      <c r="D13" s="76">
        <v>344715</v>
      </c>
      <c r="E13" s="76">
        <f t="shared" si="0"/>
        <v>-132604</v>
      </c>
      <c r="F13" s="77">
        <f t="shared" si="1"/>
        <v>-0.27781001803825117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131737653</v>
      </c>
      <c r="D15" s="79">
        <f>D11-D12-D13-D14</f>
        <v>130811533</v>
      </c>
      <c r="E15" s="79">
        <f t="shared" si="0"/>
        <v>-926120</v>
      </c>
      <c r="F15" s="80">
        <f t="shared" si="1"/>
        <v>-7.0300326361514886E-3</v>
      </c>
    </row>
    <row r="16" spans="1:7" ht="23.1" customHeight="1" x14ac:dyDescent="0.2">
      <c r="A16" s="74">
        <v>5</v>
      </c>
      <c r="B16" s="75" t="s">
        <v>76</v>
      </c>
      <c r="C16" s="76">
        <v>4514145</v>
      </c>
      <c r="D16" s="76">
        <v>3798377</v>
      </c>
      <c r="E16" s="76">
        <f t="shared" si="0"/>
        <v>-715768</v>
      </c>
      <c r="F16" s="77">
        <f t="shared" si="1"/>
        <v>-0.15856114502303315</v>
      </c>
      <c r="G16" s="65"/>
    </row>
    <row r="17" spans="1:7" ht="31.5" customHeight="1" x14ac:dyDescent="0.25">
      <c r="A17" s="71"/>
      <c r="B17" s="81" t="s">
        <v>77</v>
      </c>
      <c r="C17" s="79">
        <f>C15-C16</f>
        <v>127223508</v>
      </c>
      <c r="D17" s="79">
        <f>D15-D16</f>
        <v>127013156</v>
      </c>
      <c r="E17" s="79">
        <f t="shared" si="0"/>
        <v>-210352</v>
      </c>
      <c r="F17" s="80">
        <f t="shared" si="1"/>
        <v>-1.6534051238392201E-3</v>
      </c>
    </row>
    <row r="18" spans="1:7" ht="23.1" customHeight="1" x14ac:dyDescent="0.2">
      <c r="A18" s="74">
        <v>6</v>
      </c>
      <c r="B18" s="75" t="s">
        <v>78</v>
      </c>
      <c r="C18" s="76">
        <v>4490229</v>
      </c>
      <c r="D18" s="76">
        <v>6622739</v>
      </c>
      <c r="E18" s="76">
        <f t="shared" si="0"/>
        <v>2132510</v>
      </c>
      <c r="F18" s="77">
        <f t="shared" si="1"/>
        <v>0.47492232578783844</v>
      </c>
      <c r="G18" s="65"/>
    </row>
    <row r="19" spans="1:7" ht="33" customHeight="1" x14ac:dyDescent="0.2">
      <c r="A19" s="74">
        <v>7</v>
      </c>
      <c r="B19" s="82" t="s">
        <v>79</v>
      </c>
      <c r="C19" s="76">
        <v>279620</v>
      </c>
      <c r="D19" s="76">
        <v>495129</v>
      </c>
      <c r="E19" s="76">
        <f t="shared" si="0"/>
        <v>215509</v>
      </c>
      <c r="F19" s="77">
        <f t="shared" si="1"/>
        <v>0.7707209784707818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131993357</v>
      </c>
      <c r="D20" s="79">
        <f>SUM(D17:D19)</f>
        <v>134131024</v>
      </c>
      <c r="E20" s="79">
        <f t="shared" si="0"/>
        <v>2137667</v>
      </c>
      <c r="F20" s="80">
        <f t="shared" si="1"/>
        <v>1.6195262008526688E-2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65526421</v>
      </c>
      <c r="D23" s="76">
        <v>61877394</v>
      </c>
      <c r="E23" s="76">
        <f t="shared" ref="E23:E32" si="2">D23-C23</f>
        <v>-3649027</v>
      </c>
      <c r="F23" s="77">
        <f t="shared" ref="F23:F32" si="3">IF(C23=0,0,E23/C23)</f>
        <v>-5.5687872835294944E-2</v>
      </c>
    </row>
    <row r="24" spans="1:7" ht="23.1" customHeight="1" x14ac:dyDescent="0.2">
      <c r="A24" s="74">
        <v>2</v>
      </c>
      <c r="B24" s="75" t="s">
        <v>83</v>
      </c>
      <c r="C24" s="76">
        <v>19190492</v>
      </c>
      <c r="D24" s="76">
        <v>15554368</v>
      </c>
      <c r="E24" s="76">
        <f t="shared" si="2"/>
        <v>-3636124</v>
      </c>
      <c r="F24" s="77">
        <f t="shared" si="3"/>
        <v>-0.18947528807494879</v>
      </c>
    </row>
    <row r="25" spans="1:7" ht="23.1" customHeight="1" x14ac:dyDescent="0.2">
      <c r="A25" s="74">
        <v>3</v>
      </c>
      <c r="B25" s="75" t="s">
        <v>84</v>
      </c>
      <c r="C25" s="76">
        <v>2450782</v>
      </c>
      <c r="D25" s="76">
        <v>2606103</v>
      </c>
      <c r="E25" s="76">
        <f t="shared" si="2"/>
        <v>155321</v>
      </c>
      <c r="F25" s="77">
        <f t="shared" si="3"/>
        <v>6.3376097914869617E-2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15266354</v>
      </c>
      <c r="D26" s="76">
        <v>15527048</v>
      </c>
      <c r="E26" s="76">
        <f t="shared" si="2"/>
        <v>260694</v>
      </c>
      <c r="F26" s="77">
        <f t="shared" si="3"/>
        <v>1.7076375931017976E-2</v>
      </c>
    </row>
    <row r="27" spans="1:7" ht="23.1" customHeight="1" x14ac:dyDescent="0.2">
      <c r="A27" s="74">
        <v>5</v>
      </c>
      <c r="B27" s="75" t="s">
        <v>86</v>
      </c>
      <c r="C27" s="76">
        <v>5898547</v>
      </c>
      <c r="D27" s="76">
        <v>5786610</v>
      </c>
      <c r="E27" s="76">
        <f t="shared" si="2"/>
        <v>-111937</v>
      </c>
      <c r="F27" s="77">
        <f t="shared" si="3"/>
        <v>-1.8977046381083343E-2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1451212</v>
      </c>
      <c r="D29" s="76">
        <v>1684933</v>
      </c>
      <c r="E29" s="76">
        <f t="shared" si="2"/>
        <v>233721</v>
      </c>
      <c r="F29" s="77">
        <f t="shared" si="3"/>
        <v>0.16105227906053698</v>
      </c>
    </row>
    <row r="30" spans="1:7" ht="23.1" customHeight="1" x14ac:dyDescent="0.2">
      <c r="A30" s="74">
        <v>8</v>
      </c>
      <c r="B30" s="75" t="s">
        <v>89</v>
      </c>
      <c r="C30" s="76">
        <v>756357</v>
      </c>
      <c r="D30" s="76">
        <v>774848</v>
      </c>
      <c r="E30" s="76">
        <f t="shared" si="2"/>
        <v>18491</v>
      </c>
      <c r="F30" s="77">
        <f t="shared" si="3"/>
        <v>2.4447450079790364E-2</v>
      </c>
    </row>
    <row r="31" spans="1:7" ht="23.1" customHeight="1" x14ac:dyDescent="0.2">
      <c r="A31" s="74">
        <v>9</v>
      </c>
      <c r="B31" s="75" t="s">
        <v>90</v>
      </c>
      <c r="C31" s="76">
        <v>29055243</v>
      </c>
      <c r="D31" s="76">
        <v>29981063</v>
      </c>
      <c r="E31" s="76">
        <f t="shared" si="2"/>
        <v>925820</v>
      </c>
      <c r="F31" s="77">
        <f t="shared" si="3"/>
        <v>3.1864128618714356E-2</v>
      </c>
    </row>
    <row r="32" spans="1:7" ht="23.1" customHeight="1" x14ac:dyDescent="0.25">
      <c r="A32" s="71"/>
      <c r="B32" s="78" t="s">
        <v>91</v>
      </c>
      <c r="C32" s="79">
        <f>SUM(C23:C31)</f>
        <v>139595408</v>
      </c>
      <c r="D32" s="79">
        <f>SUM(D23:D31)</f>
        <v>133792367</v>
      </c>
      <c r="E32" s="79">
        <f t="shared" si="2"/>
        <v>-5803041</v>
      </c>
      <c r="F32" s="80">
        <f t="shared" si="3"/>
        <v>-4.1570429021562084E-2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-7602051</v>
      </c>
      <c r="D34" s="79">
        <f>+D20-D32</f>
        <v>338657</v>
      </c>
      <c r="E34" s="79">
        <f>D34-C34</f>
        <v>7940708</v>
      </c>
      <c r="F34" s="80">
        <f>IF(C34=0,0,E34/C34)</f>
        <v>-1.044548109450989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1022028</v>
      </c>
      <c r="D37" s="76">
        <v>508080</v>
      </c>
      <c r="E37" s="76">
        <f>D37-C37</f>
        <v>-513948</v>
      </c>
      <c r="F37" s="77">
        <f>IF(C37=0,0,E37/C37)</f>
        <v>-0.50287076283624321</v>
      </c>
    </row>
    <row r="38" spans="1:6" ht="23.1" customHeight="1" x14ac:dyDescent="0.2">
      <c r="A38" s="85">
        <v>2</v>
      </c>
      <c r="B38" s="75" t="s">
        <v>95</v>
      </c>
      <c r="C38" s="76">
        <v>258802</v>
      </c>
      <c r="D38" s="76">
        <v>133898</v>
      </c>
      <c r="E38" s="76">
        <f>D38-C38</f>
        <v>-124904</v>
      </c>
      <c r="F38" s="77">
        <f>IF(C38=0,0,E38/C38)</f>
        <v>-0.48262378188731153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1280830</v>
      </c>
      <c r="D40" s="79">
        <f>SUM(D37:D39)</f>
        <v>641978</v>
      </c>
      <c r="E40" s="79">
        <f>D40-C40</f>
        <v>-638852</v>
      </c>
      <c r="F40" s="80">
        <f>IF(C40=0,0,E40/C40)</f>
        <v>-0.4987796975398765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-6321221</v>
      </c>
      <c r="D42" s="79">
        <f>D34+D40</f>
        <v>980635</v>
      </c>
      <c r="E42" s="79">
        <f>D42-C42</f>
        <v>7301856</v>
      </c>
      <c r="F42" s="80">
        <f>IF(C42=0,0,E42/C42)</f>
        <v>-1.1551337945627909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-6321221</v>
      </c>
      <c r="D49" s="79">
        <f>D42+D47</f>
        <v>980635</v>
      </c>
      <c r="E49" s="79">
        <f>D49-C49</f>
        <v>7301856</v>
      </c>
      <c r="F49" s="80">
        <f>IF(C49=0,0,E49/C49)</f>
        <v>-1.1551337945627909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68" orientation="portrait" horizontalDpi="1200" verticalDpi="1200" r:id="rId1"/>
  <headerFooter>
    <oddHeader>&amp;L&amp;8OFFICE OF HEALTH CARE ACCESS&amp;C&amp;8TWELVE MONTHS ACTUAL FILING&amp;R&amp;8DAY KIMBALL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2017-09-14T16:35:38Z</dcterms:created>
  <dcterms:modified xsi:type="dcterms:W3CDTF">2017-09-21T15:44:29Z</dcterms:modified>
</cp:coreProperties>
</file>