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Cert\FISC_SVC\2016AR12M\Excel Downloads\"/>
    </mc:Choice>
  </mc:AlternateContent>
  <bookViews>
    <workbookView xWindow="0" yWindow="0" windowWidth="19368" windowHeight="10488" firstSheet="11" activeTab="18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Report485!$A$11:$F$31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52511"/>
</workbook>
</file>

<file path=xl/calcChain.xml><?xml version="1.0" encoding="utf-8"?>
<calcChain xmlns="http://schemas.openxmlformats.org/spreadsheetml/2006/main">
  <c r="E97" i="22" l="1"/>
  <c r="D97" i="22"/>
  <c r="C97" i="22"/>
  <c r="E96" i="22"/>
  <c r="E98" i="22"/>
  <c r="D96" i="22"/>
  <c r="D98" i="22" s="1"/>
  <c r="C96" i="22"/>
  <c r="C98" i="22"/>
  <c r="E92" i="22"/>
  <c r="D92" i="22"/>
  <c r="C92" i="22"/>
  <c r="C93" i="22" s="1"/>
  <c r="E91" i="22"/>
  <c r="E93" i="22"/>
  <c r="D91" i="22"/>
  <c r="C91" i="22"/>
  <c r="E87" i="22"/>
  <c r="E88" i="22" s="1"/>
  <c r="D87" i="22"/>
  <c r="C87" i="22"/>
  <c r="E86" i="22"/>
  <c r="D86" i="22"/>
  <c r="C86" i="22"/>
  <c r="E83" i="22"/>
  <c r="D83" i="22"/>
  <c r="C83" i="22"/>
  <c r="E76" i="22"/>
  <c r="E102" i="22" s="1"/>
  <c r="E103" i="22" s="1"/>
  <c r="D76" i="22"/>
  <c r="C76" i="22"/>
  <c r="E75" i="22"/>
  <c r="E101" i="22" s="1"/>
  <c r="D75" i="22"/>
  <c r="C75" i="22"/>
  <c r="C77" i="22" s="1"/>
  <c r="C108" i="22" s="1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E28" i="22"/>
  <c r="D28" i="22"/>
  <c r="C28" i="22"/>
  <c r="E27" i="22"/>
  <c r="D27" i="22"/>
  <c r="C27" i="22"/>
  <c r="E21" i="22"/>
  <c r="D21" i="22"/>
  <c r="C21" i="22"/>
  <c r="E12" i="22"/>
  <c r="E34" i="22" s="1"/>
  <c r="D12" i="22"/>
  <c r="C12" i="22"/>
  <c r="C33" i="22"/>
  <c r="D21" i="21"/>
  <c r="C21" i="21"/>
  <c r="D19" i="21"/>
  <c r="C19" i="21"/>
  <c r="E17" i="21"/>
  <c r="F17" i="21" s="1"/>
  <c r="E15" i="21"/>
  <c r="F15" i="21" s="1"/>
  <c r="D45" i="20"/>
  <c r="C45" i="20"/>
  <c r="D44" i="20"/>
  <c r="C44" i="20"/>
  <c r="D43" i="20"/>
  <c r="C43" i="20"/>
  <c r="D36" i="20"/>
  <c r="D40" i="20" s="1"/>
  <c r="D41" i="20" s="1"/>
  <c r="C36" i="20"/>
  <c r="C40" i="20" s="1"/>
  <c r="E35" i="20"/>
  <c r="F35" i="20" s="1"/>
  <c r="E34" i="20"/>
  <c r="F34" i="20" s="1"/>
  <c r="E33" i="20"/>
  <c r="E30" i="20"/>
  <c r="F30" i="20" s="1"/>
  <c r="F29" i="20"/>
  <c r="E29" i="20"/>
  <c r="E28" i="20"/>
  <c r="F28" i="20" s="1"/>
  <c r="E27" i="20"/>
  <c r="F27" i="20" s="1"/>
  <c r="D25" i="20"/>
  <c r="D39" i="20"/>
  <c r="C25" i="20"/>
  <c r="E24" i="20"/>
  <c r="E23" i="20"/>
  <c r="F23" i="20" s="1"/>
  <c r="E22" i="20"/>
  <c r="F22" i="20" s="1"/>
  <c r="D19" i="20"/>
  <c r="C19" i="20"/>
  <c r="F18" i="20"/>
  <c r="E18" i="20"/>
  <c r="D16" i="20"/>
  <c r="C16" i="20"/>
  <c r="E16" i="20" s="1"/>
  <c r="E15" i="20"/>
  <c r="F15" i="20" s="1"/>
  <c r="F13" i="20"/>
  <c r="E13" i="20"/>
  <c r="E12" i="20"/>
  <c r="F12" i="20" s="1"/>
  <c r="C115" i="19"/>
  <c r="C105" i="19"/>
  <c r="C137" i="19" s="1"/>
  <c r="C139" i="19" s="1"/>
  <c r="C143" i="19" s="1"/>
  <c r="C96" i="19"/>
  <c r="C95" i="19"/>
  <c r="C89" i="19"/>
  <c r="C88" i="19"/>
  <c r="C83" i="19"/>
  <c r="C77" i="19"/>
  <c r="C78" i="19"/>
  <c r="C63" i="19"/>
  <c r="C59" i="19"/>
  <c r="C60" i="19"/>
  <c r="C48" i="19"/>
  <c r="C64" i="19" s="1"/>
  <c r="C36" i="19"/>
  <c r="C32" i="19"/>
  <c r="C33" i="19" s="1"/>
  <c r="C22" i="19"/>
  <c r="C21" i="19"/>
  <c r="C37" i="19" s="1"/>
  <c r="E328" i="18"/>
  <c r="E325" i="18"/>
  <c r="D324" i="18"/>
  <c r="D326" i="18" s="1"/>
  <c r="C324" i="18"/>
  <c r="E324" i="18" s="1"/>
  <c r="C326" i="18"/>
  <c r="E318" i="18"/>
  <c r="E315" i="18"/>
  <c r="D314" i="18"/>
  <c r="D316" i="18"/>
  <c r="C314" i="18"/>
  <c r="C316" i="18" s="1"/>
  <c r="C320" i="18" s="1"/>
  <c r="E308" i="18"/>
  <c r="E305" i="18"/>
  <c r="D301" i="18"/>
  <c r="C301" i="18"/>
  <c r="D293" i="18"/>
  <c r="C293" i="18"/>
  <c r="E293" i="18" s="1"/>
  <c r="D292" i="18"/>
  <c r="C292" i="18"/>
  <c r="E292" i="18" s="1"/>
  <c r="D291" i="18"/>
  <c r="C291" i="18"/>
  <c r="D290" i="18"/>
  <c r="C290" i="18"/>
  <c r="D288" i="18"/>
  <c r="C288" i="18"/>
  <c r="D287" i="18"/>
  <c r="E287" i="18" s="1"/>
  <c r="C287" i="18"/>
  <c r="D282" i="18"/>
  <c r="E282" i="18" s="1"/>
  <c r="C282" i="18"/>
  <c r="D281" i="18"/>
  <c r="C281" i="18"/>
  <c r="E281" i="18" s="1"/>
  <c r="D280" i="18"/>
  <c r="C280" i="18"/>
  <c r="E280" i="18" s="1"/>
  <c r="D279" i="18"/>
  <c r="E279" i="18" s="1"/>
  <c r="C279" i="18"/>
  <c r="D278" i="18"/>
  <c r="C278" i="18"/>
  <c r="D277" i="18"/>
  <c r="E277" i="18"/>
  <c r="C277" i="18"/>
  <c r="D276" i="18"/>
  <c r="C276" i="18"/>
  <c r="E270" i="18"/>
  <c r="D265" i="18"/>
  <c r="D302" i="18"/>
  <c r="C265" i="18"/>
  <c r="C302" i="18" s="1"/>
  <c r="D262" i="18"/>
  <c r="E262" i="18" s="1"/>
  <c r="C262" i="18"/>
  <c r="D251" i="18"/>
  <c r="C251" i="18"/>
  <c r="D233" i="18"/>
  <c r="C233" i="18"/>
  <c r="D232" i="18"/>
  <c r="C232" i="18"/>
  <c r="E232" i="18" s="1"/>
  <c r="D231" i="18"/>
  <c r="E231" i="18" s="1"/>
  <c r="C231" i="18"/>
  <c r="D230" i="18"/>
  <c r="C230" i="18"/>
  <c r="D228" i="18"/>
  <c r="E228" i="18" s="1"/>
  <c r="C228" i="18"/>
  <c r="D227" i="18"/>
  <c r="C227" i="18"/>
  <c r="D221" i="18"/>
  <c r="C221" i="18"/>
  <c r="C245" i="18"/>
  <c r="D220" i="18"/>
  <c r="D244" i="18" s="1"/>
  <c r="C220" i="18"/>
  <c r="C244" i="18"/>
  <c r="D219" i="18"/>
  <c r="D243" i="18" s="1"/>
  <c r="E243" i="18" s="1"/>
  <c r="C219" i="18"/>
  <c r="C243" i="18"/>
  <c r="D218" i="18"/>
  <c r="C218" i="18"/>
  <c r="D216" i="18"/>
  <c r="D240" i="18" s="1"/>
  <c r="C216" i="18"/>
  <c r="D215" i="18"/>
  <c r="C215" i="18"/>
  <c r="C239" i="18" s="1"/>
  <c r="E209" i="18"/>
  <c r="E208" i="18"/>
  <c r="E207" i="18"/>
  <c r="E206" i="18"/>
  <c r="D205" i="18"/>
  <c r="D175" i="18" s="1"/>
  <c r="C205" i="18"/>
  <c r="C229" i="18" s="1"/>
  <c r="C210" i="18"/>
  <c r="C211" i="18" s="1"/>
  <c r="E204" i="18"/>
  <c r="E203" i="18"/>
  <c r="E197" i="18"/>
  <c r="E196" i="18"/>
  <c r="D195" i="18"/>
  <c r="C195" i="18"/>
  <c r="C260" i="18" s="1"/>
  <c r="E194" i="18"/>
  <c r="E193" i="18"/>
  <c r="E192" i="18"/>
  <c r="E191" i="18"/>
  <c r="E190" i="18"/>
  <c r="D188" i="18"/>
  <c r="C188" i="18"/>
  <c r="E186" i="18"/>
  <c r="E185" i="18"/>
  <c r="D179" i="18"/>
  <c r="E179" i="18" s="1"/>
  <c r="C179" i="18"/>
  <c r="D178" i="18"/>
  <c r="C178" i="18"/>
  <c r="D177" i="18"/>
  <c r="E177" i="18" s="1"/>
  <c r="C177" i="18"/>
  <c r="D176" i="18"/>
  <c r="C176" i="18"/>
  <c r="D174" i="18"/>
  <c r="E174" i="18" s="1"/>
  <c r="C174" i="18"/>
  <c r="D173" i="18"/>
  <c r="E173" i="18" s="1"/>
  <c r="C173" i="18"/>
  <c r="D167" i="18"/>
  <c r="C167" i="18"/>
  <c r="D166" i="18"/>
  <c r="E166" i="18" s="1"/>
  <c r="C166" i="18"/>
  <c r="D165" i="18"/>
  <c r="C165" i="18"/>
  <c r="D164" i="18"/>
  <c r="C164" i="18"/>
  <c r="D162" i="18"/>
  <c r="C162" i="18"/>
  <c r="D161" i="18"/>
  <c r="C161" i="18"/>
  <c r="E161" i="18"/>
  <c r="E155" i="18"/>
  <c r="E154" i="18"/>
  <c r="E153" i="18"/>
  <c r="E152" i="18"/>
  <c r="D151" i="18"/>
  <c r="E151" i="18" s="1"/>
  <c r="C151" i="18"/>
  <c r="C156" i="18" s="1"/>
  <c r="C157" i="18" s="1"/>
  <c r="E150" i="18"/>
  <c r="E149" i="18"/>
  <c r="E143" i="18"/>
  <c r="E142" i="18"/>
  <c r="E141" i="18"/>
  <c r="E140" i="18"/>
  <c r="D139" i="18"/>
  <c r="D144" i="18" s="1"/>
  <c r="C139" i="18"/>
  <c r="C163" i="18"/>
  <c r="E138" i="18"/>
  <c r="E137" i="18"/>
  <c r="D75" i="18"/>
  <c r="C75" i="18"/>
  <c r="D74" i="18"/>
  <c r="C74" i="18"/>
  <c r="E74" i="18"/>
  <c r="D73" i="18"/>
  <c r="E73" i="18" s="1"/>
  <c r="C73" i="18"/>
  <c r="D72" i="18"/>
  <c r="C72" i="18"/>
  <c r="E72" i="18"/>
  <c r="D70" i="18"/>
  <c r="C70" i="18"/>
  <c r="D69" i="18"/>
  <c r="C69" i="18"/>
  <c r="E64" i="18"/>
  <c r="E63" i="18"/>
  <c r="E62" i="18"/>
  <c r="E61" i="18"/>
  <c r="D60" i="18"/>
  <c r="D289" i="18"/>
  <c r="C60" i="18"/>
  <c r="E59" i="18"/>
  <c r="E58" i="18"/>
  <c r="D54" i="18"/>
  <c r="D55" i="18" s="1"/>
  <c r="C54" i="18"/>
  <c r="E53" i="18"/>
  <c r="E52" i="18"/>
  <c r="E51" i="18"/>
  <c r="E50" i="18"/>
  <c r="E49" i="18"/>
  <c r="E48" i="18"/>
  <c r="E47" i="18"/>
  <c r="D42" i="18"/>
  <c r="C42" i="18"/>
  <c r="D41" i="18"/>
  <c r="E41" i="18" s="1"/>
  <c r="C41" i="18"/>
  <c r="D40" i="18"/>
  <c r="C40" i="18"/>
  <c r="D39" i="18"/>
  <c r="E39" i="18" s="1"/>
  <c r="C39" i="18"/>
  <c r="D38" i="18"/>
  <c r="C38" i="18"/>
  <c r="D37" i="18"/>
  <c r="C37" i="18"/>
  <c r="E37" i="18" s="1"/>
  <c r="D36" i="18"/>
  <c r="E36" i="18" s="1"/>
  <c r="C36" i="18"/>
  <c r="D33" i="18"/>
  <c r="E33" i="18" s="1"/>
  <c r="D32" i="18"/>
  <c r="C32" i="18"/>
  <c r="C33" i="18" s="1"/>
  <c r="E31" i="18"/>
  <c r="E30" i="18"/>
  <c r="E29" i="18"/>
  <c r="E28" i="18"/>
  <c r="E27" i="18"/>
  <c r="E26" i="18"/>
  <c r="E25" i="18"/>
  <c r="D21" i="18"/>
  <c r="E21" i="18" s="1"/>
  <c r="C21" i="18"/>
  <c r="C22" i="18" s="1"/>
  <c r="E20" i="18"/>
  <c r="E19" i="18"/>
  <c r="E18" i="18"/>
  <c r="E17" i="18"/>
  <c r="E16" i="18"/>
  <c r="E15" i="18"/>
  <c r="E14" i="18"/>
  <c r="E335" i="17"/>
  <c r="F335" i="17" s="1"/>
  <c r="F334" i="17"/>
  <c r="E334" i="17"/>
  <c r="E333" i="17"/>
  <c r="F333" i="17" s="1"/>
  <c r="F332" i="17"/>
  <c r="E332" i="17"/>
  <c r="F331" i="17"/>
  <c r="E331" i="17"/>
  <c r="F330" i="17"/>
  <c r="E330" i="17"/>
  <c r="E329" i="17"/>
  <c r="F329" i="17" s="1"/>
  <c r="F316" i="17"/>
  <c r="E316" i="17"/>
  <c r="D311" i="17"/>
  <c r="C311" i="17"/>
  <c r="F311" i="17" s="1"/>
  <c r="E308" i="17"/>
  <c r="F308" i="17" s="1"/>
  <c r="D307" i="17"/>
  <c r="E307" i="17" s="1"/>
  <c r="F307" i="17" s="1"/>
  <c r="C307" i="17"/>
  <c r="D299" i="17"/>
  <c r="C299" i="17"/>
  <c r="D298" i="17"/>
  <c r="C298" i="17"/>
  <c r="E298" i="17" s="1"/>
  <c r="F298" i="17" s="1"/>
  <c r="D297" i="17"/>
  <c r="E297" i="17" s="1"/>
  <c r="C297" i="17"/>
  <c r="D296" i="17"/>
  <c r="C296" i="17"/>
  <c r="D295" i="17"/>
  <c r="C295" i="17"/>
  <c r="D294" i="17"/>
  <c r="C294" i="17"/>
  <c r="D250" i="17"/>
  <c r="D306" i="17" s="1"/>
  <c r="C250" i="17"/>
  <c r="E249" i="17"/>
  <c r="F249" i="17" s="1"/>
  <c r="E248" i="17"/>
  <c r="F248" i="17" s="1"/>
  <c r="F245" i="17"/>
  <c r="E245" i="17"/>
  <c r="E244" i="17"/>
  <c r="F244" i="17" s="1"/>
  <c r="E243" i="17"/>
  <c r="F243" i="17" s="1"/>
  <c r="D238" i="17"/>
  <c r="C238" i="17"/>
  <c r="D237" i="17"/>
  <c r="C237" i="17"/>
  <c r="C239" i="17"/>
  <c r="E234" i="17"/>
  <c r="F234" i="17" s="1"/>
  <c r="E233" i="17"/>
  <c r="F233" i="17" s="1"/>
  <c r="D230" i="17"/>
  <c r="E230" i="17" s="1"/>
  <c r="F230" i="17" s="1"/>
  <c r="C230" i="17"/>
  <c r="D229" i="17"/>
  <c r="C229" i="17"/>
  <c r="E228" i="17"/>
  <c r="F228" i="17"/>
  <c r="D226" i="17"/>
  <c r="C226" i="17"/>
  <c r="C227" i="17"/>
  <c r="E225" i="17"/>
  <c r="F225" i="17" s="1"/>
  <c r="E224" i="17"/>
  <c r="F224" i="17" s="1"/>
  <c r="D223" i="17"/>
  <c r="C223" i="17"/>
  <c r="E222" i="17"/>
  <c r="F222" i="17" s="1"/>
  <c r="E221" i="17"/>
  <c r="F221" i="17"/>
  <c r="D204" i="17"/>
  <c r="D269" i="17" s="1"/>
  <c r="C204" i="17"/>
  <c r="C285" i="17" s="1"/>
  <c r="D203" i="17"/>
  <c r="C203" i="17"/>
  <c r="C283" i="17"/>
  <c r="C286" i="17" s="1"/>
  <c r="D198" i="17"/>
  <c r="C198" i="17"/>
  <c r="C290" i="17"/>
  <c r="D191" i="17"/>
  <c r="D280" i="17" s="1"/>
  <c r="C191" i="17"/>
  <c r="D189" i="17"/>
  <c r="D278" i="17"/>
  <c r="C189" i="17"/>
  <c r="D188" i="17"/>
  <c r="D277" i="17"/>
  <c r="C188" i="17"/>
  <c r="D180" i="17"/>
  <c r="C180" i="17"/>
  <c r="D179" i="17"/>
  <c r="D181" i="17"/>
  <c r="C179" i="17"/>
  <c r="E179" i="17" s="1"/>
  <c r="F179" i="17" s="1"/>
  <c r="D171" i="17"/>
  <c r="D172" i="17" s="1"/>
  <c r="D173" i="17" s="1"/>
  <c r="C171" i="17"/>
  <c r="D170" i="17"/>
  <c r="C170" i="17"/>
  <c r="E169" i="17"/>
  <c r="F169" i="17" s="1"/>
  <c r="E168" i="17"/>
  <c r="F168" i="17"/>
  <c r="D165" i="17"/>
  <c r="C165" i="17"/>
  <c r="D164" i="17"/>
  <c r="C164" i="17"/>
  <c r="E163" i="17"/>
  <c r="F163" i="17" s="1"/>
  <c r="D158" i="17"/>
  <c r="D159" i="17" s="1"/>
  <c r="D161" i="17" s="1"/>
  <c r="D162" i="17" s="1"/>
  <c r="C158" i="17"/>
  <c r="E157" i="17"/>
  <c r="F157" i="17"/>
  <c r="E156" i="17"/>
  <c r="F156" i="17" s="1"/>
  <c r="D155" i="17"/>
  <c r="C155" i="17"/>
  <c r="E154" i="17"/>
  <c r="F154" i="17"/>
  <c r="E153" i="17"/>
  <c r="F153" i="17"/>
  <c r="D145" i="17"/>
  <c r="E145" i="17" s="1"/>
  <c r="F145" i="17" s="1"/>
  <c r="C145" i="17"/>
  <c r="D144" i="17"/>
  <c r="E144" i="17" s="1"/>
  <c r="F144" i="17" s="1"/>
  <c r="C144" i="17"/>
  <c r="C146" i="17"/>
  <c r="D136" i="17"/>
  <c r="D137" i="17" s="1"/>
  <c r="C136" i="17"/>
  <c r="D135" i="17"/>
  <c r="C135" i="17"/>
  <c r="E134" i="17"/>
  <c r="F134" i="17" s="1"/>
  <c r="E133" i="17"/>
  <c r="F133" i="17" s="1"/>
  <c r="D130" i="17"/>
  <c r="C130" i="17"/>
  <c r="E130" i="17" s="1"/>
  <c r="D129" i="17"/>
  <c r="C129" i="17"/>
  <c r="E128" i="17"/>
  <c r="F128" i="17" s="1"/>
  <c r="D123" i="17"/>
  <c r="D192" i="17" s="1"/>
  <c r="C123" i="17"/>
  <c r="E122" i="17"/>
  <c r="F122" i="17" s="1"/>
  <c r="E121" i="17"/>
  <c r="F121" i="17"/>
  <c r="D120" i="17"/>
  <c r="C120" i="17"/>
  <c r="E119" i="17"/>
  <c r="F119" i="17" s="1"/>
  <c r="E118" i="17"/>
  <c r="F118" i="17" s="1"/>
  <c r="D110" i="17"/>
  <c r="C110" i="17"/>
  <c r="D109" i="17"/>
  <c r="C109" i="17"/>
  <c r="D101" i="17"/>
  <c r="E101" i="17" s="1"/>
  <c r="D102" i="17"/>
  <c r="C101" i="17"/>
  <c r="C102" i="17" s="1"/>
  <c r="D100" i="17"/>
  <c r="C100" i="17"/>
  <c r="E99" i="17"/>
  <c r="F99" i="17" s="1"/>
  <c r="E98" i="17"/>
  <c r="F98" i="17"/>
  <c r="D95" i="17"/>
  <c r="C95" i="17"/>
  <c r="D94" i="17"/>
  <c r="E94" i="17"/>
  <c r="C94" i="17"/>
  <c r="E93" i="17"/>
  <c r="F93" i="17" s="1"/>
  <c r="D88" i="17"/>
  <c r="D89" i="17"/>
  <c r="D90" i="17" s="1"/>
  <c r="C88" i="17"/>
  <c r="E87" i="17"/>
  <c r="F87" i="17" s="1"/>
  <c r="E86" i="17"/>
  <c r="F86" i="17"/>
  <c r="D85" i="17"/>
  <c r="C85" i="17"/>
  <c r="E84" i="17"/>
  <c r="F84" i="17"/>
  <c r="E83" i="17"/>
  <c r="F83" i="17" s="1"/>
  <c r="D76" i="17"/>
  <c r="D77" i="17" s="1"/>
  <c r="C76" i="17"/>
  <c r="E76" i="17" s="1"/>
  <c r="F76" i="17" s="1"/>
  <c r="E74" i="17"/>
  <c r="F74" i="17" s="1"/>
  <c r="E73" i="17"/>
  <c r="F73" i="17"/>
  <c r="D67" i="17"/>
  <c r="C67" i="17"/>
  <c r="D66" i="17"/>
  <c r="C66" i="17"/>
  <c r="D59" i="17"/>
  <c r="D60" i="17" s="1"/>
  <c r="C59" i="17"/>
  <c r="E59" i="17" s="1"/>
  <c r="C60" i="17"/>
  <c r="D58" i="17"/>
  <c r="E58" i="17" s="1"/>
  <c r="F58" i="17" s="1"/>
  <c r="C58" i="17"/>
  <c r="E57" i="17"/>
  <c r="F57" i="17"/>
  <c r="E56" i="17"/>
  <c r="F56" i="17" s="1"/>
  <c r="D53" i="17"/>
  <c r="C53" i="17"/>
  <c r="D52" i="17"/>
  <c r="C52" i="17"/>
  <c r="E51" i="17"/>
  <c r="F51" i="17"/>
  <c r="D47" i="17"/>
  <c r="D48" i="17" s="1"/>
  <c r="C47" i="17"/>
  <c r="C48" i="17" s="1"/>
  <c r="E46" i="17"/>
  <c r="F46" i="17"/>
  <c r="E45" i="17"/>
  <c r="F45" i="17" s="1"/>
  <c r="D44" i="17"/>
  <c r="C44" i="17"/>
  <c r="E43" i="17"/>
  <c r="F43" i="17" s="1"/>
  <c r="E42" i="17"/>
  <c r="F42" i="17" s="1"/>
  <c r="D36" i="17"/>
  <c r="C36" i="17"/>
  <c r="D35" i="17"/>
  <c r="C35" i="17"/>
  <c r="D30" i="17"/>
  <c r="D31" i="17" s="1"/>
  <c r="D32" i="17" s="1"/>
  <c r="C30" i="17"/>
  <c r="D29" i="17"/>
  <c r="C29" i="17"/>
  <c r="E28" i="17"/>
  <c r="F28" i="17"/>
  <c r="E27" i="17"/>
  <c r="F27" i="17" s="1"/>
  <c r="D24" i="17"/>
  <c r="E24" i="17" s="1"/>
  <c r="F24" i="17" s="1"/>
  <c r="C24" i="17"/>
  <c r="D23" i="17"/>
  <c r="E23" i="17" s="1"/>
  <c r="F23" i="17" s="1"/>
  <c r="C23" i="17"/>
  <c r="E22" i="17"/>
  <c r="F22" i="17" s="1"/>
  <c r="D20" i="17"/>
  <c r="D21" i="17" s="1"/>
  <c r="C20" i="17"/>
  <c r="E19" i="17"/>
  <c r="F19" i="17" s="1"/>
  <c r="E18" i="17"/>
  <c r="F18" i="17"/>
  <c r="D17" i="17"/>
  <c r="E17" i="17" s="1"/>
  <c r="F17" i="17" s="1"/>
  <c r="C17" i="17"/>
  <c r="E16" i="17"/>
  <c r="F16" i="17"/>
  <c r="E15" i="17"/>
  <c r="F15" i="17" s="1"/>
  <c r="D24" i="16"/>
  <c r="C24" i="16"/>
  <c r="E23" i="16"/>
  <c r="F23" i="16" s="1"/>
  <c r="E22" i="16"/>
  <c r="F22" i="16" s="1"/>
  <c r="D19" i="16"/>
  <c r="C19" i="16"/>
  <c r="F18" i="16"/>
  <c r="E18" i="16"/>
  <c r="E17" i="16"/>
  <c r="F17" i="16" s="1"/>
  <c r="D14" i="16"/>
  <c r="C14" i="16"/>
  <c r="E13" i="16"/>
  <c r="F13" i="16" s="1"/>
  <c r="E12" i="16"/>
  <c r="F12" i="16" s="1"/>
  <c r="D107" i="15"/>
  <c r="C107" i="15"/>
  <c r="E106" i="15"/>
  <c r="F106" i="15" s="1"/>
  <c r="E105" i="15"/>
  <c r="F105" i="15" s="1"/>
  <c r="F104" i="15"/>
  <c r="E104" i="15"/>
  <c r="D100" i="15"/>
  <c r="C100" i="15"/>
  <c r="F99" i="15"/>
  <c r="E99" i="15"/>
  <c r="F98" i="15"/>
  <c r="E98" i="15"/>
  <c r="E97" i="15"/>
  <c r="F97" i="15" s="1"/>
  <c r="E96" i="15"/>
  <c r="F96" i="15" s="1"/>
  <c r="E95" i="15"/>
  <c r="F95" i="15" s="1"/>
  <c r="D92" i="15"/>
  <c r="C92" i="15"/>
  <c r="E91" i="15"/>
  <c r="F91" i="15" s="1"/>
  <c r="E90" i="15"/>
  <c r="F90" i="15" s="1"/>
  <c r="F89" i="15"/>
  <c r="E89" i="15"/>
  <c r="E88" i="15"/>
  <c r="F88" i="15" s="1"/>
  <c r="F87" i="15"/>
  <c r="E87" i="15"/>
  <c r="E86" i="15"/>
  <c r="F86" i="15" s="1"/>
  <c r="E85" i="15"/>
  <c r="F85" i="15" s="1"/>
  <c r="F84" i="15"/>
  <c r="E84" i="15"/>
  <c r="E83" i="15"/>
  <c r="F83" i="15" s="1"/>
  <c r="F82" i="15"/>
  <c r="E82" i="15"/>
  <c r="E81" i="15"/>
  <c r="F81" i="15" s="1"/>
  <c r="E80" i="15"/>
  <c r="F80" i="15" s="1"/>
  <c r="F79" i="15"/>
  <c r="E79" i="15"/>
  <c r="D75" i="15"/>
  <c r="C75" i="15"/>
  <c r="E74" i="15"/>
  <c r="F74" i="15" s="1"/>
  <c r="E73" i="15"/>
  <c r="D70" i="15"/>
  <c r="E70" i="15" s="1"/>
  <c r="F70" i="15" s="1"/>
  <c r="C70" i="15"/>
  <c r="E69" i="15"/>
  <c r="F69" i="15" s="1"/>
  <c r="E68" i="15"/>
  <c r="F68" i="15" s="1"/>
  <c r="D65" i="15"/>
  <c r="E65" i="15"/>
  <c r="F65" i="15" s="1"/>
  <c r="C65" i="15"/>
  <c r="E64" i="15"/>
  <c r="F64" i="15" s="1"/>
  <c r="E63" i="15"/>
  <c r="F63" i="15" s="1"/>
  <c r="D60" i="15"/>
  <c r="C60" i="15"/>
  <c r="F59" i="15"/>
  <c r="E59" i="15"/>
  <c r="E58" i="15"/>
  <c r="D55" i="15"/>
  <c r="E55" i="15" s="1"/>
  <c r="F55" i="15" s="1"/>
  <c r="C55" i="15"/>
  <c r="E54" i="15"/>
  <c r="F54" i="15" s="1"/>
  <c r="E53" i="15"/>
  <c r="F53" i="15" s="1"/>
  <c r="D50" i="15"/>
  <c r="E50" i="15" s="1"/>
  <c r="C50" i="15"/>
  <c r="E49" i="15"/>
  <c r="F49" i="15" s="1"/>
  <c r="E48" i="15"/>
  <c r="F48" i="15" s="1"/>
  <c r="D45" i="15"/>
  <c r="C45" i="15"/>
  <c r="E45" i="15" s="1"/>
  <c r="F45" i="15" s="1"/>
  <c r="E44" i="15"/>
  <c r="F44" i="15" s="1"/>
  <c r="E43" i="15"/>
  <c r="F43" i="15" s="1"/>
  <c r="F37" i="15"/>
  <c r="D37" i="15"/>
  <c r="E37" i="15" s="1"/>
  <c r="C37" i="15"/>
  <c r="F36" i="15"/>
  <c r="E36" i="15"/>
  <c r="F35" i="15"/>
  <c r="E35" i="15"/>
  <c r="F34" i="15"/>
  <c r="E34" i="15"/>
  <c r="F33" i="15"/>
  <c r="E33" i="15"/>
  <c r="D30" i="15"/>
  <c r="C30" i="15"/>
  <c r="F29" i="15"/>
  <c r="E29" i="15"/>
  <c r="F28" i="15"/>
  <c r="E28" i="15"/>
  <c r="E27" i="15"/>
  <c r="F27" i="15" s="1"/>
  <c r="E26" i="15"/>
  <c r="F26" i="15" s="1"/>
  <c r="D23" i="15"/>
  <c r="C23" i="15"/>
  <c r="E23" i="15" s="1"/>
  <c r="E22" i="15"/>
  <c r="F22" i="15" s="1"/>
  <c r="E21" i="15"/>
  <c r="F21" i="15" s="1"/>
  <c r="F20" i="15"/>
  <c r="E20" i="15"/>
  <c r="E19" i="15"/>
  <c r="F19" i="15" s="1"/>
  <c r="D16" i="15"/>
  <c r="C16" i="15"/>
  <c r="E15" i="15"/>
  <c r="F15" i="15" s="1"/>
  <c r="E14" i="15"/>
  <c r="F14" i="15" s="1"/>
  <c r="E13" i="15"/>
  <c r="F13" i="15" s="1"/>
  <c r="E12" i="15"/>
  <c r="F12" i="15" s="1"/>
  <c r="I37" i="14"/>
  <c r="H37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F17" i="14"/>
  <c r="E17" i="14"/>
  <c r="E31" i="14" s="1"/>
  <c r="D17" i="14"/>
  <c r="D31" i="14" s="1"/>
  <c r="D33" i="14"/>
  <c r="D36" i="14" s="1"/>
  <c r="D38" i="14" s="1"/>
  <c r="D40" i="14" s="1"/>
  <c r="C17" i="14"/>
  <c r="C31" i="14"/>
  <c r="I16" i="14"/>
  <c r="H16" i="14"/>
  <c r="I15" i="14"/>
  <c r="H15" i="14"/>
  <c r="I13" i="14"/>
  <c r="H13" i="14"/>
  <c r="I11" i="14"/>
  <c r="H11" i="14"/>
  <c r="E79" i="13"/>
  <c r="D79" i="13"/>
  <c r="C79" i="13"/>
  <c r="E78" i="13"/>
  <c r="E80" i="13" s="1"/>
  <c r="E77" i="13" s="1"/>
  <c r="D78" i="13"/>
  <c r="D80" i="13"/>
  <c r="D77" i="13"/>
  <c r="C78" i="13"/>
  <c r="E73" i="13"/>
  <c r="E75" i="13" s="1"/>
  <c r="D73" i="13"/>
  <c r="D75" i="13" s="1"/>
  <c r="C73" i="13"/>
  <c r="C75" i="13" s="1"/>
  <c r="E71" i="13"/>
  <c r="D71" i="13"/>
  <c r="C71" i="13"/>
  <c r="E66" i="13"/>
  <c r="E65" i="13" s="1"/>
  <c r="D66" i="13"/>
  <c r="D65" i="13" s="1"/>
  <c r="C66" i="13"/>
  <c r="C65" i="13"/>
  <c r="E60" i="13"/>
  <c r="D60" i="13"/>
  <c r="C60" i="13"/>
  <c r="E58" i="13"/>
  <c r="D58" i="13"/>
  <c r="C58" i="13"/>
  <c r="E55" i="13"/>
  <c r="D55" i="13"/>
  <c r="D50" i="13" s="1"/>
  <c r="C55" i="13"/>
  <c r="C50" i="13" s="1"/>
  <c r="E54" i="13"/>
  <c r="E50" i="13" s="1"/>
  <c r="D54" i="13"/>
  <c r="C54" i="13"/>
  <c r="E46" i="13"/>
  <c r="E59" i="13" s="1"/>
  <c r="D46" i="13"/>
  <c r="C46" i="13"/>
  <c r="E45" i="13"/>
  <c r="D45" i="13"/>
  <c r="C45" i="13"/>
  <c r="E38" i="13"/>
  <c r="D38" i="13"/>
  <c r="C38" i="13"/>
  <c r="E33" i="13"/>
  <c r="E34" i="13" s="1"/>
  <c r="D33" i="13"/>
  <c r="D34" i="13"/>
  <c r="E26" i="13"/>
  <c r="D26" i="13"/>
  <c r="C26" i="13"/>
  <c r="E13" i="13"/>
  <c r="D13" i="13"/>
  <c r="D25" i="13" s="1"/>
  <c r="D27" i="13" s="1"/>
  <c r="C13" i="13"/>
  <c r="D47" i="12"/>
  <c r="E47" i="12" s="1"/>
  <c r="F47" i="12" s="1"/>
  <c r="C47" i="12"/>
  <c r="E46" i="12"/>
  <c r="F46" i="12" s="1"/>
  <c r="F45" i="12"/>
  <c r="E45" i="12"/>
  <c r="D40" i="12"/>
  <c r="E40" i="12" s="1"/>
  <c r="F40" i="12" s="1"/>
  <c r="C40" i="12"/>
  <c r="E39" i="12"/>
  <c r="F39" i="12" s="1"/>
  <c r="E38" i="12"/>
  <c r="F38" i="12" s="1"/>
  <c r="F37" i="12"/>
  <c r="E37" i="12"/>
  <c r="D32" i="12"/>
  <c r="C32" i="12"/>
  <c r="E31" i="12"/>
  <c r="F31" i="12" s="1"/>
  <c r="E30" i="12"/>
  <c r="F30" i="12" s="1"/>
  <c r="F29" i="12"/>
  <c r="E29" i="12"/>
  <c r="F28" i="12"/>
  <c r="E28" i="12"/>
  <c r="E27" i="12"/>
  <c r="F27" i="12" s="1"/>
  <c r="E26" i="12"/>
  <c r="F26" i="12" s="1"/>
  <c r="E25" i="12"/>
  <c r="F25" i="12" s="1"/>
  <c r="E24" i="12"/>
  <c r="F24" i="12" s="1"/>
  <c r="E23" i="12"/>
  <c r="F23" i="12" s="1"/>
  <c r="E19" i="12"/>
  <c r="F19" i="12" s="1"/>
  <c r="E18" i="12"/>
  <c r="F18" i="12" s="1"/>
  <c r="E16" i="12"/>
  <c r="F16" i="12" s="1"/>
  <c r="D15" i="12"/>
  <c r="D17" i="12"/>
  <c r="D20" i="12" s="1"/>
  <c r="C15" i="12"/>
  <c r="E15" i="12" s="1"/>
  <c r="F14" i="12"/>
  <c r="E14" i="12"/>
  <c r="E13" i="12"/>
  <c r="F13" i="12" s="1"/>
  <c r="E12" i="12"/>
  <c r="F12" i="12" s="1"/>
  <c r="F11" i="12"/>
  <c r="E11" i="12"/>
  <c r="D73" i="11"/>
  <c r="C73" i="11"/>
  <c r="F72" i="11"/>
  <c r="E72" i="11"/>
  <c r="E71" i="11"/>
  <c r="F71" i="11" s="1"/>
  <c r="F70" i="11"/>
  <c r="E70" i="11"/>
  <c r="F67" i="11"/>
  <c r="E67" i="11"/>
  <c r="F64" i="11"/>
  <c r="E64" i="11"/>
  <c r="E63" i="11"/>
  <c r="F63" i="11" s="1"/>
  <c r="D61" i="11"/>
  <c r="D65" i="11" s="1"/>
  <c r="C61" i="11"/>
  <c r="C65" i="11"/>
  <c r="E60" i="11"/>
  <c r="F60" i="11" s="1"/>
  <c r="F59" i="11"/>
  <c r="E59" i="11"/>
  <c r="D56" i="11"/>
  <c r="C56" i="11"/>
  <c r="F55" i="11"/>
  <c r="E55" i="11"/>
  <c r="F54" i="11"/>
  <c r="E54" i="11"/>
  <c r="E53" i="11"/>
  <c r="F53" i="11" s="1"/>
  <c r="F52" i="11"/>
  <c r="E52" i="11"/>
  <c r="F51" i="11"/>
  <c r="E51" i="11"/>
  <c r="E50" i="11"/>
  <c r="F50" i="11"/>
  <c r="A50" i="11"/>
  <c r="A51" i="11" s="1"/>
  <c r="A52" i="11" s="1"/>
  <c r="A53" i="11" s="1"/>
  <c r="A54" i="11" s="1"/>
  <c r="A55" i="11" s="1"/>
  <c r="E49" i="11"/>
  <c r="F49" i="11" s="1"/>
  <c r="E40" i="11"/>
  <c r="F40" i="11" s="1"/>
  <c r="D38" i="11"/>
  <c r="D41" i="11" s="1"/>
  <c r="C38" i="11"/>
  <c r="C41" i="11" s="1"/>
  <c r="E37" i="11"/>
  <c r="F37" i="11" s="1"/>
  <c r="E36" i="11"/>
  <c r="F36" i="11" s="1"/>
  <c r="E33" i="11"/>
  <c r="F33" i="11" s="1"/>
  <c r="E32" i="11"/>
  <c r="F32" i="11" s="1"/>
  <c r="F31" i="11"/>
  <c r="E31" i="11"/>
  <c r="D29" i="11"/>
  <c r="E29" i="11" s="1"/>
  <c r="F29" i="11" s="1"/>
  <c r="C29" i="11"/>
  <c r="E28" i="11"/>
  <c r="F28" i="11" s="1"/>
  <c r="F27" i="11"/>
  <c r="E27" i="11"/>
  <c r="F26" i="11"/>
  <c r="E26" i="11"/>
  <c r="F25" i="11"/>
  <c r="E25" i="11"/>
  <c r="D22" i="11"/>
  <c r="D43" i="11" s="1"/>
  <c r="C22" i="11"/>
  <c r="C43" i="11" s="1"/>
  <c r="F21" i="11"/>
  <c r="E21" i="11"/>
  <c r="E20" i="11"/>
  <c r="F20" i="11" s="1"/>
  <c r="F19" i="11"/>
  <c r="E19" i="11"/>
  <c r="F18" i="11"/>
  <c r="E18" i="11"/>
  <c r="F17" i="11"/>
  <c r="E17" i="11"/>
  <c r="E16" i="11"/>
  <c r="F16" i="11" s="1"/>
  <c r="F15" i="11"/>
  <c r="E15" i="11"/>
  <c r="E14" i="11"/>
  <c r="F14" i="11" s="1"/>
  <c r="E13" i="11"/>
  <c r="F13" i="11" s="1"/>
  <c r="D120" i="10"/>
  <c r="C120" i="10"/>
  <c r="F120" i="10"/>
  <c r="D119" i="10"/>
  <c r="E119" i="10" s="1"/>
  <c r="C119" i="10"/>
  <c r="F119" i="10" s="1"/>
  <c r="D118" i="10"/>
  <c r="C118" i="10"/>
  <c r="F118" i="10" s="1"/>
  <c r="D117" i="10"/>
  <c r="E117" i="10" s="1"/>
  <c r="C117" i="10"/>
  <c r="F117" i="10" s="1"/>
  <c r="D116" i="10"/>
  <c r="C116" i="10"/>
  <c r="F116" i="10" s="1"/>
  <c r="D115" i="10"/>
  <c r="C115" i="10"/>
  <c r="F115" i="10" s="1"/>
  <c r="D114" i="10"/>
  <c r="C114" i="10"/>
  <c r="F114" i="10" s="1"/>
  <c r="D113" i="10"/>
  <c r="C113" i="10"/>
  <c r="F113" i="10" s="1"/>
  <c r="D112" i="10"/>
  <c r="C112" i="10"/>
  <c r="D108" i="10"/>
  <c r="E108" i="10" s="1"/>
  <c r="C108" i="10"/>
  <c r="F108" i="10" s="1"/>
  <c r="D107" i="10"/>
  <c r="C107" i="10"/>
  <c r="F107" i="10" s="1"/>
  <c r="F106" i="10"/>
  <c r="E106" i="10"/>
  <c r="F105" i="10"/>
  <c r="E105" i="10"/>
  <c r="F104" i="10"/>
  <c r="E104" i="10"/>
  <c r="F103" i="10"/>
  <c r="E103" i="10"/>
  <c r="F102" i="10"/>
  <c r="E102" i="10"/>
  <c r="F101" i="10"/>
  <c r="E101" i="10"/>
  <c r="F100" i="10"/>
  <c r="E100" i="10"/>
  <c r="F99" i="10"/>
  <c r="E99" i="10"/>
  <c r="F98" i="10"/>
  <c r="E98" i="10"/>
  <c r="F96" i="10"/>
  <c r="D96" i="10"/>
  <c r="E96" i="10"/>
  <c r="C96" i="10"/>
  <c r="D95" i="10"/>
  <c r="C95" i="10"/>
  <c r="E95" i="10" s="1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D84" i="10"/>
  <c r="C84" i="10"/>
  <c r="F83" i="10"/>
  <c r="D83" i="10"/>
  <c r="E83" i="10" s="1"/>
  <c r="C83" i="10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D72" i="10"/>
  <c r="C72" i="10"/>
  <c r="F71" i="10"/>
  <c r="D71" i="10"/>
  <c r="E71" i="10" s="1"/>
  <c r="C71" i="10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D60" i="10"/>
  <c r="C60" i="10"/>
  <c r="F60" i="10" s="1"/>
  <c r="D59" i="10"/>
  <c r="C59" i="10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D48" i="10"/>
  <c r="C48" i="10"/>
  <c r="F48" i="10" s="1"/>
  <c r="D47" i="10"/>
  <c r="E47" i="10" s="1"/>
  <c r="C47" i="10"/>
  <c r="F47" i="10" s="1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D36" i="10"/>
  <c r="C36" i="10"/>
  <c r="D35" i="10"/>
  <c r="C35" i="10"/>
  <c r="F35" i="10" s="1"/>
  <c r="F34" i="10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D24" i="10"/>
  <c r="C24" i="10"/>
  <c r="F24" i="10" s="1"/>
  <c r="D23" i="10"/>
  <c r="C23" i="10"/>
  <c r="F23" i="10" s="1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E206" i="9" s="1"/>
  <c r="F206" i="9" s="1"/>
  <c r="C206" i="9"/>
  <c r="D205" i="9"/>
  <c r="C205" i="9"/>
  <c r="D204" i="9"/>
  <c r="C204" i="9"/>
  <c r="D203" i="9"/>
  <c r="E203" i="9" s="1"/>
  <c r="C203" i="9"/>
  <c r="D202" i="9"/>
  <c r="C202" i="9"/>
  <c r="D201" i="9"/>
  <c r="E201" i="9"/>
  <c r="F201" i="9" s="1"/>
  <c r="C201" i="9"/>
  <c r="D200" i="9"/>
  <c r="C200" i="9"/>
  <c r="D199" i="9"/>
  <c r="C199" i="9"/>
  <c r="E199" i="9" s="1"/>
  <c r="D198" i="9"/>
  <c r="E198" i="9" s="1"/>
  <c r="D207" i="9"/>
  <c r="C198" i="9"/>
  <c r="D193" i="9"/>
  <c r="C193" i="9"/>
  <c r="D192" i="9"/>
  <c r="E192" i="9" s="1"/>
  <c r="F192" i="9" s="1"/>
  <c r="C192" i="9"/>
  <c r="E191" i="9"/>
  <c r="F191" i="9" s="1"/>
  <c r="E190" i="9"/>
  <c r="F190" i="9" s="1"/>
  <c r="F189" i="9"/>
  <c r="E189" i="9"/>
  <c r="F188" i="9"/>
  <c r="E188" i="9"/>
  <c r="E187" i="9"/>
  <c r="F187" i="9" s="1"/>
  <c r="E186" i="9"/>
  <c r="F186" i="9" s="1"/>
  <c r="E185" i="9"/>
  <c r="F185" i="9" s="1"/>
  <c r="F184" i="9"/>
  <c r="E184" i="9"/>
  <c r="E183" i="9"/>
  <c r="F183" i="9" s="1"/>
  <c r="D180" i="9"/>
  <c r="E180" i="9" s="1"/>
  <c r="C180" i="9"/>
  <c r="F180" i="9" s="1"/>
  <c r="D179" i="9"/>
  <c r="C179" i="9"/>
  <c r="F179" i="9" s="1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D167" i="9"/>
  <c r="C167" i="9"/>
  <c r="F167" i="9" s="1"/>
  <c r="D166" i="9"/>
  <c r="C166" i="9"/>
  <c r="F166" i="9" s="1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D154" i="9"/>
  <c r="E154" i="9" s="1"/>
  <c r="C154" i="9"/>
  <c r="D153" i="9"/>
  <c r="C153" i="9"/>
  <c r="E153" i="9" s="1"/>
  <c r="E152" i="9"/>
  <c r="F152" i="9" s="1"/>
  <c r="E151" i="9"/>
  <c r="F151" i="9" s="1"/>
  <c r="E150" i="9"/>
  <c r="F150" i="9" s="1"/>
  <c r="F149" i="9"/>
  <c r="E149" i="9"/>
  <c r="E148" i="9"/>
  <c r="F148" i="9" s="1"/>
  <c r="E147" i="9"/>
  <c r="F147" i="9" s="1"/>
  <c r="E146" i="9"/>
  <c r="F146" i="9" s="1"/>
  <c r="F145" i="9"/>
  <c r="E145" i="9"/>
  <c r="F144" i="9"/>
  <c r="E144" i="9"/>
  <c r="D141" i="9"/>
  <c r="C141" i="9"/>
  <c r="F141" i="9" s="1"/>
  <c r="D140" i="9"/>
  <c r="E140" i="9" s="1"/>
  <c r="C140" i="9"/>
  <c r="F140" i="9" s="1"/>
  <c r="F139" i="9"/>
  <c r="E139" i="9"/>
  <c r="F138" i="9"/>
  <c r="E138" i="9"/>
  <c r="F137" i="9"/>
  <c r="E137" i="9"/>
  <c r="F136" i="9"/>
  <c r="E136" i="9"/>
  <c r="F135" i="9"/>
  <c r="E135" i="9"/>
  <c r="F134" i="9"/>
  <c r="E134" i="9"/>
  <c r="F133" i="9"/>
  <c r="E133" i="9"/>
  <c r="F132" i="9"/>
  <c r="E132" i="9"/>
  <c r="F131" i="9"/>
  <c r="E131" i="9"/>
  <c r="D128" i="9"/>
  <c r="E128" i="9"/>
  <c r="F128" i="9" s="1"/>
  <c r="C128" i="9"/>
  <c r="D127" i="9"/>
  <c r="E127" i="9" s="1"/>
  <c r="C127" i="9"/>
  <c r="E126" i="9"/>
  <c r="F126" i="9" s="1"/>
  <c r="E125" i="9"/>
  <c r="F125" i="9" s="1"/>
  <c r="E124" i="9"/>
  <c r="F124" i="9" s="1"/>
  <c r="E123" i="9"/>
  <c r="F123" i="9" s="1"/>
  <c r="E122" i="9"/>
  <c r="F122" i="9" s="1"/>
  <c r="E121" i="9"/>
  <c r="F121" i="9" s="1"/>
  <c r="F120" i="9"/>
  <c r="E120" i="9"/>
  <c r="E119" i="9"/>
  <c r="F119" i="9" s="1"/>
  <c r="E118" i="9"/>
  <c r="F118" i="9" s="1"/>
  <c r="F115" i="9"/>
  <c r="D115" i="9"/>
  <c r="E115" i="9" s="1"/>
  <c r="C115" i="9"/>
  <c r="D114" i="9"/>
  <c r="C114" i="9"/>
  <c r="F114" i="9" s="1"/>
  <c r="F113" i="9"/>
  <c r="E113" i="9"/>
  <c r="F112" i="9"/>
  <c r="E112" i="9"/>
  <c r="F111" i="9"/>
  <c r="E111" i="9"/>
  <c r="F110" i="9"/>
  <c r="E110" i="9"/>
  <c r="F109" i="9"/>
  <c r="E109" i="9"/>
  <c r="F108" i="9"/>
  <c r="E108" i="9"/>
  <c r="F107" i="9"/>
  <c r="E107" i="9"/>
  <c r="F106" i="9"/>
  <c r="E106" i="9"/>
  <c r="F105" i="9"/>
  <c r="E105" i="9"/>
  <c r="D102" i="9"/>
  <c r="C102" i="9"/>
  <c r="F102" i="9" s="1"/>
  <c r="D101" i="9"/>
  <c r="C101" i="9"/>
  <c r="F101" i="9" s="1"/>
  <c r="F100" i="9"/>
  <c r="E100" i="9"/>
  <c r="F99" i="9"/>
  <c r="E99" i="9"/>
  <c r="F98" i="9"/>
  <c r="E98" i="9"/>
  <c r="F97" i="9"/>
  <c r="E97" i="9"/>
  <c r="F96" i="9"/>
  <c r="E96" i="9"/>
  <c r="F95" i="9"/>
  <c r="E95" i="9"/>
  <c r="F94" i="9"/>
  <c r="E94" i="9"/>
  <c r="F93" i="9"/>
  <c r="E93" i="9"/>
  <c r="F92" i="9"/>
  <c r="E92" i="9"/>
  <c r="D89" i="9"/>
  <c r="C89" i="9"/>
  <c r="F89" i="9" s="1"/>
  <c r="F88" i="9"/>
  <c r="D88" i="9"/>
  <c r="E88" i="9" s="1"/>
  <c r="C88" i="9"/>
  <c r="F87" i="9"/>
  <c r="E87" i="9"/>
  <c r="F86" i="9"/>
  <c r="E86" i="9"/>
  <c r="F85" i="9"/>
  <c r="E85" i="9"/>
  <c r="F84" i="9"/>
  <c r="E84" i="9"/>
  <c r="F83" i="9"/>
  <c r="E83" i="9"/>
  <c r="F82" i="9"/>
  <c r="E82" i="9"/>
  <c r="F81" i="9"/>
  <c r="E81" i="9"/>
  <c r="F80" i="9"/>
  <c r="E80" i="9"/>
  <c r="F79" i="9"/>
  <c r="E79" i="9"/>
  <c r="D76" i="9"/>
  <c r="E76" i="9" s="1"/>
  <c r="C76" i="9"/>
  <c r="D75" i="9"/>
  <c r="C75" i="9"/>
  <c r="E74" i="9"/>
  <c r="F74" i="9" s="1"/>
  <c r="E73" i="9"/>
  <c r="F73" i="9" s="1"/>
  <c r="F72" i="9"/>
  <c r="E72" i="9"/>
  <c r="E71" i="9"/>
  <c r="F71" i="9" s="1"/>
  <c r="E70" i="9"/>
  <c r="F70" i="9" s="1"/>
  <c r="F69" i="9"/>
  <c r="E69" i="9"/>
  <c r="E68" i="9"/>
  <c r="F68" i="9" s="1"/>
  <c r="E67" i="9"/>
  <c r="F67" i="9" s="1"/>
  <c r="E66" i="9"/>
  <c r="F66" i="9" s="1"/>
  <c r="D63" i="9"/>
  <c r="E63" i="9"/>
  <c r="C63" i="9"/>
  <c r="F63" i="9" s="1"/>
  <c r="D62" i="9"/>
  <c r="C62" i="9"/>
  <c r="F62" i="9" s="1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D50" i="9"/>
  <c r="C50" i="9"/>
  <c r="D49" i="9"/>
  <c r="C49" i="9"/>
  <c r="E48" i="9"/>
  <c r="F48" i="9" s="1"/>
  <c r="E47" i="9"/>
  <c r="F47" i="9" s="1"/>
  <c r="E46" i="9"/>
  <c r="F46" i="9" s="1"/>
  <c r="E45" i="9"/>
  <c r="F45" i="9" s="1"/>
  <c r="F44" i="9"/>
  <c r="E44" i="9"/>
  <c r="E43" i="9"/>
  <c r="F43" i="9" s="1"/>
  <c r="E42" i="9"/>
  <c r="F42" i="9" s="1"/>
  <c r="E41" i="9"/>
  <c r="F41" i="9" s="1"/>
  <c r="E40" i="9"/>
  <c r="F40" i="9" s="1"/>
  <c r="F37" i="9"/>
  <c r="D37" i="9"/>
  <c r="E37" i="9" s="1"/>
  <c r="C37" i="9"/>
  <c r="D36" i="9"/>
  <c r="E36" i="9"/>
  <c r="C36" i="9"/>
  <c r="F36" i="9" s="1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D24" i="9"/>
  <c r="C24" i="9"/>
  <c r="D23" i="9"/>
  <c r="E23" i="9"/>
  <c r="F23" i="9"/>
  <c r="C23" i="9"/>
  <c r="E22" i="9"/>
  <c r="F22" i="9" s="1"/>
  <c r="E21" i="9"/>
  <c r="F21" i="9" s="1"/>
  <c r="E20" i="9"/>
  <c r="F20" i="9" s="1"/>
  <c r="E19" i="9"/>
  <c r="F19" i="9" s="1"/>
  <c r="E18" i="9"/>
  <c r="F18" i="9" s="1"/>
  <c r="E17" i="9"/>
  <c r="F17" i="9" s="1"/>
  <c r="F16" i="9"/>
  <c r="E16" i="9"/>
  <c r="E15" i="9"/>
  <c r="F15" i="9" s="1"/>
  <c r="E14" i="9"/>
  <c r="F14" i="9" s="1"/>
  <c r="E191" i="8"/>
  <c r="D191" i="8"/>
  <c r="C191" i="8"/>
  <c r="E176" i="8"/>
  <c r="D176" i="8"/>
  <c r="C176" i="8"/>
  <c r="E164" i="8"/>
  <c r="D164" i="8"/>
  <c r="C164" i="8"/>
  <c r="E162" i="8"/>
  <c r="D162" i="8"/>
  <c r="C162" i="8"/>
  <c r="E161" i="8"/>
  <c r="D161" i="8"/>
  <c r="C161" i="8"/>
  <c r="E160" i="8"/>
  <c r="D160" i="8"/>
  <c r="C160" i="8"/>
  <c r="E147" i="8"/>
  <c r="E143" i="8" s="1"/>
  <c r="D147" i="8"/>
  <c r="C147" i="8"/>
  <c r="E145" i="8"/>
  <c r="D145" i="8"/>
  <c r="C145" i="8"/>
  <c r="E144" i="8"/>
  <c r="D144" i="8"/>
  <c r="C144" i="8"/>
  <c r="D143" i="8"/>
  <c r="C143" i="8"/>
  <c r="E126" i="8"/>
  <c r="D126" i="8"/>
  <c r="C126" i="8"/>
  <c r="E119" i="8"/>
  <c r="D119" i="8"/>
  <c r="C119" i="8"/>
  <c r="E108" i="8"/>
  <c r="D108" i="8"/>
  <c r="D109" i="8" s="1"/>
  <c r="D106" i="8" s="1"/>
  <c r="C108" i="8"/>
  <c r="E107" i="8"/>
  <c r="D107" i="8"/>
  <c r="C107" i="8"/>
  <c r="C109" i="8" s="1"/>
  <c r="C106" i="8" s="1"/>
  <c r="E102" i="8"/>
  <c r="E104" i="8" s="1"/>
  <c r="D102" i="8"/>
  <c r="D104" i="8" s="1"/>
  <c r="C102" i="8"/>
  <c r="C104" i="8" s="1"/>
  <c r="E100" i="8"/>
  <c r="D100" i="8"/>
  <c r="C100" i="8"/>
  <c r="E95" i="8"/>
  <c r="D95" i="8"/>
  <c r="D94" i="8" s="1"/>
  <c r="C95" i="8"/>
  <c r="C94" i="8" s="1"/>
  <c r="E94" i="8"/>
  <c r="E89" i="8"/>
  <c r="D89" i="8"/>
  <c r="C89" i="8"/>
  <c r="E87" i="8"/>
  <c r="D87" i="8"/>
  <c r="C87" i="8"/>
  <c r="E84" i="8"/>
  <c r="D84" i="8"/>
  <c r="D79" i="8" s="1"/>
  <c r="C84" i="8"/>
  <c r="C79" i="8" s="1"/>
  <c r="E83" i="8"/>
  <c r="D83" i="8"/>
  <c r="C83" i="8"/>
  <c r="E75" i="8"/>
  <c r="D75" i="8"/>
  <c r="D88" i="8"/>
  <c r="D90" i="8" s="1"/>
  <c r="D86" i="8" s="1"/>
  <c r="C75" i="8"/>
  <c r="C88" i="8" s="1"/>
  <c r="C90" i="8" s="1"/>
  <c r="C86" i="8" s="1"/>
  <c r="E74" i="8"/>
  <c r="D74" i="8"/>
  <c r="C74" i="8"/>
  <c r="E67" i="8"/>
  <c r="D67" i="8"/>
  <c r="C67" i="8"/>
  <c r="E38" i="8"/>
  <c r="D38" i="8"/>
  <c r="D43" i="8" s="1"/>
  <c r="C38" i="8"/>
  <c r="C53" i="8" s="1"/>
  <c r="E33" i="8"/>
  <c r="E34" i="8"/>
  <c r="D33" i="8"/>
  <c r="D34" i="8"/>
  <c r="E26" i="8"/>
  <c r="D26" i="8"/>
  <c r="C26" i="8"/>
  <c r="E15" i="8"/>
  <c r="E24" i="8" s="1"/>
  <c r="E13" i="8"/>
  <c r="E25" i="8" s="1"/>
  <c r="D13" i="8"/>
  <c r="D15" i="8" s="1"/>
  <c r="D17" i="8" s="1"/>
  <c r="D28" i="8" s="1"/>
  <c r="D99" i="8" s="1"/>
  <c r="D101" i="8" s="1"/>
  <c r="D25" i="8"/>
  <c r="C13" i="8"/>
  <c r="C15" i="8" s="1"/>
  <c r="E186" i="7"/>
  <c r="F186" i="7" s="1"/>
  <c r="D183" i="7"/>
  <c r="E183" i="7" s="1"/>
  <c r="C183" i="7"/>
  <c r="F182" i="7"/>
  <c r="E182" i="7"/>
  <c r="E181" i="7"/>
  <c r="F181" i="7" s="1"/>
  <c r="F180" i="7"/>
  <c r="E180" i="7"/>
  <c r="E179" i="7"/>
  <c r="F179" i="7" s="1"/>
  <c r="E178" i="7"/>
  <c r="F178" i="7" s="1"/>
  <c r="F177" i="7"/>
  <c r="E177" i="7"/>
  <c r="F176" i="7"/>
  <c r="E176" i="7"/>
  <c r="F175" i="7"/>
  <c r="E175" i="7"/>
  <c r="E174" i="7"/>
  <c r="F174" i="7" s="1"/>
  <c r="F173" i="7"/>
  <c r="E173" i="7"/>
  <c r="F172" i="7"/>
  <c r="E172" i="7"/>
  <c r="E171" i="7"/>
  <c r="F171" i="7" s="1"/>
  <c r="E170" i="7"/>
  <c r="F170" i="7" s="1"/>
  <c r="D167" i="7"/>
  <c r="C167" i="7"/>
  <c r="F166" i="7"/>
  <c r="E166" i="7"/>
  <c r="E165" i="7"/>
  <c r="F165" i="7" s="1"/>
  <c r="E164" i="7"/>
  <c r="F164" i="7" s="1"/>
  <c r="E163" i="7"/>
  <c r="F163" i="7" s="1"/>
  <c r="F162" i="7"/>
  <c r="E162" i="7"/>
  <c r="E161" i="7"/>
  <c r="F161" i="7" s="1"/>
  <c r="E160" i="7"/>
  <c r="F160" i="7" s="1"/>
  <c r="F159" i="7"/>
  <c r="E159" i="7"/>
  <c r="E158" i="7"/>
  <c r="F158" i="7" s="1"/>
  <c r="E157" i="7"/>
  <c r="F157" i="7" s="1"/>
  <c r="E156" i="7"/>
  <c r="F156" i="7" s="1"/>
  <c r="F155" i="7"/>
  <c r="E155" i="7"/>
  <c r="E154" i="7"/>
  <c r="F154" i="7" s="1"/>
  <c r="E153" i="7"/>
  <c r="F153" i="7" s="1"/>
  <c r="F152" i="7"/>
  <c r="E152" i="7"/>
  <c r="F151" i="7"/>
  <c r="E151" i="7"/>
  <c r="F150" i="7"/>
  <c r="E150" i="7"/>
  <c r="F149" i="7"/>
  <c r="E149" i="7"/>
  <c r="F148" i="7"/>
  <c r="E148" i="7"/>
  <c r="F147" i="7"/>
  <c r="E147" i="7"/>
  <c r="F146" i="7"/>
  <c r="E146" i="7"/>
  <c r="E145" i="7"/>
  <c r="F145" i="7" s="1"/>
  <c r="E144" i="7"/>
  <c r="F144" i="7" s="1"/>
  <c r="F143" i="7"/>
  <c r="E143" i="7"/>
  <c r="F142" i="7"/>
  <c r="E142" i="7"/>
  <c r="E141" i="7"/>
  <c r="F141" i="7" s="1"/>
  <c r="E140" i="7"/>
  <c r="F140" i="7" s="1"/>
  <c r="F139" i="7"/>
  <c r="E139" i="7"/>
  <c r="E138" i="7"/>
  <c r="F138" i="7" s="1"/>
  <c r="E137" i="7"/>
  <c r="F137" i="7" s="1"/>
  <c r="E136" i="7"/>
  <c r="F136" i="7" s="1"/>
  <c r="E135" i="7"/>
  <c r="F135" i="7" s="1"/>
  <c r="E134" i="7"/>
  <c r="F134" i="7" s="1"/>
  <c r="E133" i="7"/>
  <c r="F133" i="7" s="1"/>
  <c r="D130" i="7"/>
  <c r="E130" i="7" s="1"/>
  <c r="F130" i="7" s="1"/>
  <c r="C130" i="7"/>
  <c r="F129" i="7"/>
  <c r="E129" i="7"/>
  <c r="E128" i="7"/>
  <c r="F128" i="7" s="1"/>
  <c r="E127" i="7"/>
  <c r="F127" i="7" s="1"/>
  <c r="E126" i="7"/>
  <c r="F126" i="7" s="1"/>
  <c r="E125" i="7"/>
  <c r="F125" i="7" s="1"/>
  <c r="F124" i="7"/>
  <c r="E124" i="7"/>
  <c r="D121" i="7"/>
  <c r="C121" i="7"/>
  <c r="E121" i="7" s="1"/>
  <c r="F121" i="7" s="1"/>
  <c r="F120" i="7"/>
  <c r="E120" i="7"/>
  <c r="E119" i="7"/>
  <c r="F119" i="7" s="1"/>
  <c r="E118" i="7"/>
  <c r="F118" i="7" s="1"/>
  <c r="E117" i="7"/>
  <c r="F117" i="7" s="1"/>
  <c r="F116" i="7"/>
  <c r="E116" i="7"/>
  <c r="F115" i="7"/>
  <c r="E115" i="7"/>
  <c r="E114" i="7"/>
  <c r="F114" i="7" s="1"/>
  <c r="F113" i="7"/>
  <c r="E113" i="7"/>
  <c r="F112" i="7"/>
  <c r="E112" i="7"/>
  <c r="F111" i="7"/>
  <c r="E111" i="7"/>
  <c r="F110" i="7"/>
  <c r="E110" i="7"/>
  <c r="F109" i="7"/>
  <c r="E109" i="7"/>
  <c r="F108" i="7"/>
  <c r="E108" i="7"/>
  <c r="F107" i="7"/>
  <c r="E107" i="7"/>
  <c r="F106" i="7"/>
  <c r="E106" i="7"/>
  <c r="F105" i="7"/>
  <c r="E105" i="7"/>
  <c r="F104" i="7"/>
  <c r="E104" i="7"/>
  <c r="F103" i="7"/>
  <c r="E103" i="7"/>
  <c r="F93" i="7"/>
  <c r="E93" i="7"/>
  <c r="D90" i="7"/>
  <c r="E90" i="7" s="1"/>
  <c r="F90" i="7" s="1"/>
  <c r="C90" i="7"/>
  <c r="E89" i="7"/>
  <c r="F89" i="7" s="1"/>
  <c r="E88" i="7"/>
  <c r="F88" i="7" s="1"/>
  <c r="E87" i="7"/>
  <c r="F87" i="7" s="1"/>
  <c r="E86" i="7"/>
  <c r="F86" i="7" s="1"/>
  <c r="E85" i="7"/>
  <c r="F85" i="7" s="1"/>
  <c r="E84" i="7"/>
  <c r="F84" i="7" s="1"/>
  <c r="E83" i="7"/>
  <c r="F83" i="7" s="1"/>
  <c r="E82" i="7"/>
  <c r="F82" i="7" s="1"/>
  <c r="F81" i="7"/>
  <c r="E81" i="7"/>
  <c r="E80" i="7"/>
  <c r="F80" i="7" s="1"/>
  <c r="E79" i="7"/>
  <c r="F79" i="7" s="1"/>
  <c r="E78" i="7"/>
  <c r="F78" i="7" s="1"/>
  <c r="F77" i="7"/>
  <c r="E77" i="7"/>
  <c r="F76" i="7"/>
  <c r="E76" i="7"/>
  <c r="E75" i="7"/>
  <c r="F75" i="7" s="1"/>
  <c r="E74" i="7"/>
  <c r="F74" i="7" s="1"/>
  <c r="E73" i="7"/>
  <c r="F73" i="7" s="1"/>
  <c r="E72" i="7"/>
  <c r="F72" i="7" s="1"/>
  <c r="E71" i="7"/>
  <c r="F71" i="7" s="1"/>
  <c r="E70" i="7"/>
  <c r="F70" i="7" s="1"/>
  <c r="E69" i="7"/>
  <c r="F69" i="7" s="1"/>
  <c r="E68" i="7"/>
  <c r="F68" i="7" s="1"/>
  <c r="F67" i="7"/>
  <c r="E67" i="7"/>
  <c r="E66" i="7"/>
  <c r="F66" i="7" s="1"/>
  <c r="F65" i="7"/>
  <c r="E65" i="7"/>
  <c r="E64" i="7"/>
  <c r="F64" i="7" s="1"/>
  <c r="E63" i="7"/>
  <c r="F63" i="7" s="1"/>
  <c r="E62" i="7"/>
  <c r="F62" i="7" s="1"/>
  <c r="D59" i="7"/>
  <c r="E59" i="7" s="1"/>
  <c r="F59" i="7" s="1"/>
  <c r="C59" i="7"/>
  <c r="E58" i="7"/>
  <c r="F58" i="7" s="1"/>
  <c r="E57" i="7"/>
  <c r="F57" i="7" s="1"/>
  <c r="E56" i="7"/>
  <c r="F56" i="7" s="1"/>
  <c r="E55" i="7"/>
  <c r="F55" i="7" s="1"/>
  <c r="E54" i="7"/>
  <c r="F54" i="7" s="1"/>
  <c r="E53" i="7"/>
  <c r="F53" i="7" s="1"/>
  <c r="E50" i="7"/>
  <c r="F50" i="7" s="1"/>
  <c r="E47" i="7"/>
  <c r="F47" i="7" s="1"/>
  <c r="F44" i="7"/>
  <c r="E44" i="7"/>
  <c r="D41" i="7"/>
  <c r="C41" i="7"/>
  <c r="E40" i="7"/>
  <c r="F40" i="7" s="1"/>
  <c r="E39" i="7"/>
  <c r="F39" i="7" s="1"/>
  <c r="E38" i="7"/>
  <c r="F38" i="7" s="1"/>
  <c r="D35" i="7"/>
  <c r="E35" i="7" s="1"/>
  <c r="F35" i="7"/>
  <c r="C35" i="7"/>
  <c r="E34" i="7"/>
  <c r="F34" i="7" s="1"/>
  <c r="E33" i="7"/>
  <c r="F33" i="7" s="1"/>
  <c r="D30" i="7"/>
  <c r="E30" i="7" s="1"/>
  <c r="F30" i="7" s="1"/>
  <c r="C30" i="7"/>
  <c r="E29" i="7"/>
  <c r="F29" i="7" s="1"/>
  <c r="E28" i="7"/>
  <c r="F28" i="7" s="1"/>
  <c r="E27" i="7"/>
  <c r="F27" i="7" s="1"/>
  <c r="D24" i="7"/>
  <c r="C24" i="7"/>
  <c r="E24" i="7" s="1"/>
  <c r="E23" i="7"/>
  <c r="F23" i="7" s="1"/>
  <c r="E22" i="7"/>
  <c r="F22" i="7" s="1"/>
  <c r="E21" i="7"/>
  <c r="F21" i="7" s="1"/>
  <c r="D18" i="7"/>
  <c r="C18" i="7"/>
  <c r="F17" i="7"/>
  <c r="E17" i="7"/>
  <c r="E16" i="7"/>
  <c r="F16" i="7" s="1"/>
  <c r="E15" i="7"/>
  <c r="F15" i="7" s="1"/>
  <c r="D179" i="6"/>
  <c r="C179" i="6"/>
  <c r="E179" i="6" s="1"/>
  <c r="F178" i="6"/>
  <c r="E178" i="6"/>
  <c r="F177" i="6"/>
  <c r="E177" i="6"/>
  <c r="F176" i="6"/>
  <c r="E176" i="6"/>
  <c r="E175" i="6"/>
  <c r="F175" i="6" s="1"/>
  <c r="E174" i="6"/>
  <c r="F174" i="6" s="1"/>
  <c r="E173" i="6"/>
  <c r="F173" i="6" s="1"/>
  <c r="E172" i="6"/>
  <c r="F172" i="6" s="1"/>
  <c r="F171" i="6"/>
  <c r="E171" i="6"/>
  <c r="F170" i="6"/>
  <c r="E170" i="6"/>
  <c r="E169" i="6"/>
  <c r="F169" i="6" s="1"/>
  <c r="E168" i="6"/>
  <c r="F168" i="6" s="1"/>
  <c r="D166" i="6"/>
  <c r="C166" i="6"/>
  <c r="F165" i="6"/>
  <c r="E165" i="6"/>
  <c r="F164" i="6"/>
  <c r="E164" i="6"/>
  <c r="E163" i="6"/>
  <c r="F163" i="6" s="1"/>
  <c r="E162" i="6"/>
  <c r="F162" i="6" s="1"/>
  <c r="E161" i="6"/>
  <c r="F161" i="6" s="1"/>
  <c r="E160" i="6"/>
  <c r="F160" i="6" s="1"/>
  <c r="E159" i="6"/>
  <c r="F159" i="6" s="1"/>
  <c r="F158" i="6"/>
  <c r="E158" i="6"/>
  <c r="E157" i="6"/>
  <c r="F157" i="6" s="1"/>
  <c r="F156" i="6"/>
  <c r="E156" i="6"/>
  <c r="E155" i="6"/>
  <c r="F155" i="6" s="1"/>
  <c r="D153" i="6"/>
  <c r="E153" i="6" s="1"/>
  <c r="F153" i="6" s="1"/>
  <c r="C153" i="6"/>
  <c r="E152" i="6"/>
  <c r="F152" i="6" s="1"/>
  <c r="F151" i="6"/>
  <c r="E151" i="6"/>
  <c r="E150" i="6"/>
  <c r="F150" i="6" s="1"/>
  <c r="F149" i="6"/>
  <c r="E149" i="6"/>
  <c r="E148" i="6"/>
  <c r="F148" i="6" s="1"/>
  <c r="E147" i="6"/>
  <c r="F147" i="6" s="1"/>
  <c r="E146" i="6"/>
  <c r="F146" i="6" s="1"/>
  <c r="F145" i="6"/>
  <c r="E145" i="6"/>
  <c r="F144" i="6"/>
  <c r="E144" i="6"/>
  <c r="E143" i="6"/>
  <c r="F143" i="6" s="1"/>
  <c r="F142" i="6"/>
  <c r="E142" i="6"/>
  <c r="D137" i="6"/>
  <c r="C137" i="6"/>
  <c r="F136" i="6"/>
  <c r="E136" i="6"/>
  <c r="F135" i="6"/>
  <c r="E135" i="6"/>
  <c r="F134" i="6"/>
  <c r="E134" i="6"/>
  <c r="E133" i="6"/>
  <c r="F133" i="6" s="1"/>
  <c r="F132" i="6"/>
  <c r="E132" i="6"/>
  <c r="E131" i="6"/>
  <c r="F131" i="6" s="1"/>
  <c r="F130" i="6"/>
  <c r="E130" i="6"/>
  <c r="F129" i="6"/>
  <c r="E129" i="6"/>
  <c r="E128" i="6"/>
  <c r="F128" i="6" s="1"/>
  <c r="E127" i="6"/>
  <c r="F127" i="6" s="1"/>
  <c r="E126" i="6"/>
  <c r="F126" i="6" s="1"/>
  <c r="D124" i="6"/>
  <c r="C124" i="6"/>
  <c r="E123" i="6"/>
  <c r="F123" i="6" s="1"/>
  <c r="F122" i="6"/>
  <c r="E122" i="6"/>
  <c r="E121" i="6"/>
  <c r="F121" i="6" s="1"/>
  <c r="E120" i="6"/>
  <c r="F120" i="6" s="1"/>
  <c r="E119" i="6"/>
  <c r="F119" i="6" s="1"/>
  <c r="F118" i="6"/>
  <c r="E118" i="6"/>
  <c r="E117" i="6"/>
  <c r="F117" i="6" s="1"/>
  <c r="F116" i="6"/>
  <c r="E116" i="6"/>
  <c r="E115" i="6"/>
  <c r="F115" i="6" s="1"/>
  <c r="F114" i="6"/>
  <c r="E114" i="6"/>
  <c r="F113" i="6"/>
  <c r="E113" i="6"/>
  <c r="D111" i="6"/>
  <c r="C111" i="6"/>
  <c r="E110" i="6"/>
  <c r="F110" i="6" s="1"/>
  <c r="F109" i="6"/>
  <c r="E109" i="6"/>
  <c r="F108" i="6"/>
  <c r="E108" i="6"/>
  <c r="E107" i="6"/>
  <c r="F107" i="6" s="1"/>
  <c r="E106" i="6"/>
  <c r="F106" i="6" s="1"/>
  <c r="E105" i="6"/>
  <c r="F105" i="6" s="1"/>
  <c r="F104" i="6"/>
  <c r="E104" i="6"/>
  <c r="F103" i="6"/>
  <c r="E103" i="6"/>
  <c r="E102" i="6"/>
  <c r="F102" i="6" s="1"/>
  <c r="E101" i="6"/>
  <c r="F101" i="6" s="1"/>
  <c r="F100" i="6"/>
  <c r="E100" i="6"/>
  <c r="D94" i="6"/>
  <c r="E94" i="6" s="1"/>
  <c r="F94" i="6" s="1"/>
  <c r="C94" i="6"/>
  <c r="D93" i="6"/>
  <c r="C93" i="6"/>
  <c r="F93" i="6" s="1"/>
  <c r="D92" i="6"/>
  <c r="E92" i="6"/>
  <c r="F92" i="6" s="1"/>
  <c r="C92" i="6"/>
  <c r="D91" i="6"/>
  <c r="C91" i="6"/>
  <c r="D90" i="6"/>
  <c r="C90" i="6"/>
  <c r="D89" i="6"/>
  <c r="E89" i="6" s="1"/>
  <c r="F89" i="6" s="1"/>
  <c r="C89" i="6"/>
  <c r="D88" i="6"/>
  <c r="E88" i="6"/>
  <c r="F88" i="6" s="1"/>
  <c r="C88" i="6"/>
  <c r="D87" i="6"/>
  <c r="E87" i="6" s="1"/>
  <c r="C87" i="6"/>
  <c r="F87" i="6" s="1"/>
  <c r="D86" i="6"/>
  <c r="C86" i="6"/>
  <c r="D85" i="6"/>
  <c r="C85" i="6"/>
  <c r="D84" i="6"/>
  <c r="C84" i="6"/>
  <c r="D81" i="6"/>
  <c r="E81" i="6" s="1"/>
  <c r="F81" i="6" s="1"/>
  <c r="C81" i="6"/>
  <c r="E80" i="6"/>
  <c r="F80" i="6" s="1"/>
  <c r="F79" i="6"/>
  <c r="E79" i="6"/>
  <c r="E78" i="6"/>
  <c r="F78" i="6" s="1"/>
  <c r="F77" i="6"/>
  <c r="E77" i="6"/>
  <c r="E76" i="6"/>
  <c r="F76" i="6" s="1"/>
  <c r="E75" i="6"/>
  <c r="F75" i="6" s="1"/>
  <c r="E74" i="6"/>
  <c r="F74" i="6" s="1"/>
  <c r="F73" i="6"/>
  <c r="E73" i="6"/>
  <c r="F72" i="6"/>
  <c r="E72" i="6"/>
  <c r="E71" i="6"/>
  <c r="F71" i="6" s="1"/>
  <c r="E70" i="6"/>
  <c r="F70" i="6" s="1"/>
  <c r="D68" i="6"/>
  <c r="C68" i="6"/>
  <c r="E68" i="6" s="1"/>
  <c r="E67" i="6"/>
  <c r="F67" i="6" s="1"/>
  <c r="F66" i="6"/>
  <c r="E66" i="6"/>
  <c r="E65" i="6"/>
  <c r="F65" i="6" s="1"/>
  <c r="E64" i="6"/>
  <c r="F64" i="6" s="1"/>
  <c r="E63" i="6"/>
  <c r="F63" i="6" s="1"/>
  <c r="E62" i="6"/>
  <c r="F62" i="6" s="1"/>
  <c r="E61" i="6"/>
  <c r="F61" i="6" s="1"/>
  <c r="F60" i="6"/>
  <c r="E60" i="6"/>
  <c r="E59" i="6"/>
  <c r="F59" i="6" s="1"/>
  <c r="E58" i="6"/>
  <c r="F58" i="6" s="1"/>
  <c r="E57" i="6"/>
  <c r="F57" i="6" s="1"/>
  <c r="D51" i="6"/>
  <c r="C51" i="6"/>
  <c r="D50" i="6"/>
  <c r="C50" i="6"/>
  <c r="D49" i="6"/>
  <c r="E49" i="6" s="1"/>
  <c r="C49" i="6"/>
  <c r="D48" i="6"/>
  <c r="E48" i="6" s="1"/>
  <c r="C48" i="6"/>
  <c r="D47" i="6"/>
  <c r="E47" i="6"/>
  <c r="C47" i="6"/>
  <c r="D46" i="6"/>
  <c r="E46" i="6" s="1"/>
  <c r="F46" i="6" s="1"/>
  <c r="C46" i="6"/>
  <c r="D45" i="6"/>
  <c r="C45" i="6"/>
  <c r="D44" i="6"/>
  <c r="C44" i="6"/>
  <c r="F44" i="6" s="1"/>
  <c r="D43" i="6"/>
  <c r="C43" i="6"/>
  <c r="D42" i="6"/>
  <c r="C42" i="6"/>
  <c r="D41" i="6"/>
  <c r="C41" i="6"/>
  <c r="D38" i="6"/>
  <c r="C38" i="6"/>
  <c r="F37" i="6"/>
  <c r="E37" i="6"/>
  <c r="F36" i="6"/>
  <c r="E36" i="6"/>
  <c r="E35" i="6"/>
  <c r="F35" i="6" s="1"/>
  <c r="E34" i="6"/>
  <c r="F34" i="6" s="1"/>
  <c r="E33" i="6"/>
  <c r="F33" i="6" s="1"/>
  <c r="F32" i="6"/>
  <c r="E32" i="6"/>
  <c r="E31" i="6"/>
  <c r="F31" i="6" s="1"/>
  <c r="F30" i="6"/>
  <c r="E30" i="6"/>
  <c r="E29" i="6"/>
  <c r="F29" i="6" s="1"/>
  <c r="F28" i="6"/>
  <c r="E28" i="6"/>
  <c r="E27" i="6"/>
  <c r="F27" i="6" s="1"/>
  <c r="D25" i="6"/>
  <c r="C25" i="6"/>
  <c r="F24" i="6"/>
  <c r="E24" i="6"/>
  <c r="F23" i="6"/>
  <c r="E23" i="6"/>
  <c r="E22" i="6"/>
  <c r="F22" i="6" s="1"/>
  <c r="E21" i="6"/>
  <c r="F21" i="6" s="1"/>
  <c r="E20" i="6"/>
  <c r="F20" i="6" s="1"/>
  <c r="E19" i="6"/>
  <c r="F19" i="6" s="1"/>
  <c r="E18" i="6"/>
  <c r="F18" i="6" s="1"/>
  <c r="F17" i="6"/>
  <c r="E17" i="6"/>
  <c r="E16" i="6"/>
  <c r="F16" i="6" s="1"/>
  <c r="E15" i="6"/>
  <c r="F15" i="6" s="1"/>
  <c r="E14" i="6"/>
  <c r="F14" i="6" s="1"/>
  <c r="E51" i="5"/>
  <c r="F51" i="5" s="1"/>
  <c r="D48" i="5"/>
  <c r="C48" i="5"/>
  <c r="F48" i="5"/>
  <c r="F47" i="5"/>
  <c r="E47" i="5"/>
  <c r="F46" i="5"/>
  <c r="E46" i="5"/>
  <c r="D41" i="5"/>
  <c r="E41" i="5" s="1"/>
  <c r="F41" i="5" s="1"/>
  <c r="C41" i="5"/>
  <c r="E40" i="5"/>
  <c r="F40" i="5"/>
  <c r="F39" i="5"/>
  <c r="E39" i="5"/>
  <c r="E38" i="5"/>
  <c r="F38" i="5" s="1"/>
  <c r="D33" i="5"/>
  <c r="C33" i="5"/>
  <c r="E32" i="5"/>
  <c r="F32" i="5"/>
  <c r="E31" i="5"/>
  <c r="F31" i="5" s="1"/>
  <c r="E30" i="5"/>
  <c r="F30" i="5" s="1"/>
  <c r="F29" i="5"/>
  <c r="E29" i="5"/>
  <c r="E28" i="5"/>
  <c r="F28" i="5" s="1"/>
  <c r="E27" i="5"/>
  <c r="F27" i="5" s="1"/>
  <c r="E26" i="5"/>
  <c r="F26" i="5" s="1"/>
  <c r="E25" i="5"/>
  <c r="F25" i="5" s="1"/>
  <c r="E24" i="5"/>
  <c r="F24" i="5" s="1"/>
  <c r="E20" i="5"/>
  <c r="F20" i="5" s="1"/>
  <c r="E19" i="5"/>
  <c r="F19" i="5" s="1"/>
  <c r="E17" i="5"/>
  <c r="F17" i="5"/>
  <c r="D16" i="5"/>
  <c r="D18" i="5" s="1"/>
  <c r="C16" i="5"/>
  <c r="F15" i="5"/>
  <c r="E15" i="5"/>
  <c r="E14" i="5"/>
  <c r="F14" i="5" s="1"/>
  <c r="E13" i="5"/>
  <c r="F13" i="5"/>
  <c r="E12" i="5"/>
  <c r="F12" i="5" s="1"/>
  <c r="D73" i="4"/>
  <c r="C73" i="4"/>
  <c r="E72" i="4"/>
  <c r="F72" i="4" s="1"/>
  <c r="F71" i="4"/>
  <c r="E71" i="4"/>
  <c r="E70" i="4"/>
  <c r="F70" i="4" s="1"/>
  <c r="F67" i="4"/>
  <c r="E67" i="4"/>
  <c r="E64" i="4"/>
  <c r="F64" i="4" s="1"/>
  <c r="F63" i="4"/>
  <c r="E63" i="4"/>
  <c r="D61" i="4"/>
  <c r="C61" i="4"/>
  <c r="C65" i="4"/>
  <c r="F60" i="4"/>
  <c r="E60" i="4"/>
  <c r="F59" i="4"/>
  <c r="E59" i="4"/>
  <c r="D56" i="4"/>
  <c r="C56" i="4"/>
  <c r="E55" i="4"/>
  <c r="F55" i="4" s="1"/>
  <c r="F54" i="4"/>
  <c r="E54" i="4"/>
  <c r="E53" i="4"/>
  <c r="F53" i="4" s="1"/>
  <c r="F52" i="4"/>
  <c r="E52" i="4"/>
  <c r="E51" i="4"/>
  <c r="F51" i="4" s="1"/>
  <c r="A52" i="4"/>
  <c r="A53" i="4" s="1"/>
  <c r="A54" i="4" s="1"/>
  <c r="A55" i="4" s="1"/>
  <c r="E50" i="4"/>
  <c r="F50" i="4" s="1"/>
  <c r="A50" i="4"/>
  <c r="A51" i="4" s="1"/>
  <c r="E49" i="4"/>
  <c r="F49" i="4" s="1"/>
  <c r="E40" i="4"/>
  <c r="F40" i="4" s="1"/>
  <c r="D38" i="4"/>
  <c r="E38" i="4" s="1"/>
  <c r="F38" i="4" s="1"/>
  <c r="C38" i="4"/>
  <c r="C41" i="4" s="1"/>
  <c r="E37" i="4"/>
  <c r="F37" i="4" s="1"/>
  <c r="E36" i="4"/>
  <c r="F36" i="4" s="1"/>
  <c r="E33" i="4"/>
  <c r="F33" i="4" s="1"/>
  <c r="F32" i="4"/>
  <c r="E32" i="4"/>
  <c r="E31" i="4"/>
  <c r="F31" i="4" s="1"/>
  <c r="D29" i="4"/>
  <c r="E29" i="4" s="1"/>
  <c r="C29" i="4"/>
  <c r="E28" i="4"/>
  <c r="F28" i="4" s="1"/>
  <c r="F27" i="4"/>
  <c r="E27" i="4"/>
  <c r="F26" i="4"/>
  <c r="E26" i="4"/>
  <c r="F25" i="4"/>
  <c r="E25" i="4"/>
  <c r="D22" i="4"/>
  <c r="C22" i="4"/>
  <c r="C43" i="4"/>
  <c r="F21" i="4"/>
  <c r="E21" i="4"/>
  <c r="F20" i="4"/>
  <c r="E20" i="4"/>
  <c r="E19" i="4"/>
  <c r="F19" i="4" s="1"/>
  <c r="F18" i="4"/>
  <c r="E18" i="4"/>
  <c r="F17" i="4"/>
  <c r="E17" i="4"/>
  <c r="E16" i="4"/>
  <c r="F16" i="4" s="1"/>
  <c r="E15" i="4"/>
  <c r="F15" i="4" s="1"/>
  <c r="F14" i="4"/>
  <c r="E14" i="4"/>
  <c r="E13" i="4"/>
  <c r="F13" i="4" s="1"/>
  <c r="C109" i="22"/>
  <c r="D22" i="22"/>
  <c r="C23" i="22"/>
  <c r="C40" i="22" s="1"/>
  <c r="E23" i="22"/>
  <c r="E30" i="22" s="1"/>
  <c r="E38" i="22" s="1"/>
  <c r="C102" i="22"/>
  <c r="E29" i="17"/>
  <c r="F29" i="17" s="1"/>
  <c r="E36" i="17"/>
  <c r="F36" i="17" s="1"/>
  <c r="E44" i="17"/>
  <c r="E296" i="17"/>
  <c r="F296" i="17" s="1"/>
  <c r="C65" i="19"/>
  <c r="C114" i="19" s="1"/>
  <c r="E238" i="17"/>
  <c r="C49" i="19"/>
  <c r="D22" i="18"/>
  <c r="D284" i="18" s="1"/>
  <c r="E67" i="17"/>
  <c r="F67" i="17" s="1"/>
  <c r="E32" i="18"/>
  <c r="C261" i="18"/>
  <c r="C189" i="18"/>
  <c r="D260" i="18"/>
  <c r="E260" i="18" s="1"/>
  <c r="E195" i="18"/>
  <c r="D245" i="18"/>
  <c r="E221" i="18"/>
  <c r="E302" i="18"/>
  <c r="C303" i="18"/>
  <c r="C306" i="18" s="1"/>
  <c r="C310" i="18" s="1"/>
  <c r="E139" i="18"/>
  <c r="C242" i="18"/>
  <c r="C217" i="18"/>
  <c r="D330" i="18"/>
  <c r="E265" i="18"/>
  <c r="E314" i="18"/>
  <c r="E233" i="18"/>
  <c r="E301" i="18"/>
  <c r="D61" i="17"/>
  <c r="E48" i="17"/>
  <c r="C61" i="17"/>
  <c r="C103" i="17"/>
  <c r="F101" i="17"/>
  <c r="E123" i="17"/>
  <c r="C124" i="17"/>
  <c r="C125" i="17" s="1"/>
  <c r="E180" i="17"/>
  <c r="F180" i="17"/>
  <c r="C278" i="17"/>
  <c r="C288" i="17" s="1"/>
  <c r="C21" i="17"/>
  <c r="E21" i="17" s="1"/>
  <c r="E47" i="17"/>
  <c r="F47" i="17" s="1"/>
  <c r="E66" i="17"/>
  <c r="D124" i="17"/>
  <c r="E188" i="17"/>
  <c r="F188" i="17" s="1"/>
  <c r="C280" i="17"/>
  <c r="C264" i="17"/>
  <c r="E191" i="17"/>
  <c r="F191" i="17" s="1"/>
  <c r="D190" i="17"/>
  <c r="D193" i="17"/>
  <c r="D290" i="17"/>
  <c r="D274" i="17"/>
  <c r="D199" i="17"/>
  <c r="D200" i="17"/>
  <c r="D283" i="17"/>
  <c r="E283" i="17" s="1"/>
  <c r="F283" i="17" s="1"/>
  <c r="D267" i="17"/>
  <c r="D285" i="17"/>
  <c r="E285" i="17" s="1"/>
  <c r="F285" i="17" s="1"/>
  <c r="D205" i="17"/>
  <c r="D206" i="17"/>
  <c r="D214" i="17"/>
  <c r="D254" i="17" s="1"/>
  <c r="D215" i="17"/>
  <c r="D255" i="17" s="1"/>
  <c r="D261" i="17"/>
  <c r="D262" i="17"/>
  <c r="D264" i="17"/>
  <c r="E280" i="17"/>
  <c r="E203" i="17"/>
  <c r="F203" i="17"/>
  <c r="E204" i="17"/>
  <c r="F204" i="17" s="1"/>
  <c r="C205" i="17"/>
  <c r="E237" i="17"/>
  <c r="F237" i="17" s="1"/>
  <c r="E250" i="17"/>
  <c r="C267" i="17"/>
  <c r="C269" i="17"/>
  <c r="C274" i="17"/>
  <c r="E274" i="17" s="1"/>
  <c r="F297" i="17"/>
  <c r="C33" i="14"/>
  <c r="C36" i="14" s="1"/>
  <c r="C38" i="14" s="1"/>
  <c r="C40" i="14" s="1"/>
  <c r="E33" i="14"/>
  <c r="E36" i="14" s="1"/>
  <c r="E38" i="14" s="1"/>
  <c r="E40" i="14" s="1"/>
  <c r="D21" i="13"/>
  <c r="E48" i="13"/>
  <c r="E42" i="13"/>
  <c r="E41" i="11"/>
  <c r="F41" i="11"/>
  <c r="E38" i="11"/>
  <c r="F38" i="11" s="1"/>
  <c r="E61" i="11"/>
  <c r="F61" i="11" s="1"/>
  <c r="E113" i="10"/>
  <c r="C122" i="10"/>
  <c r="F122" i="10" s="1"/>
  <c r="F198" i="9"/>
  <c r="F203" i="9"/>
  <c r="C207" i="9"/>
  <c r="E17" i="8"/>
  <c r="E28" i="8" s="1"/>
  <c r="E99" i="8" s="1"/>
  <c r="E101" i="8" s="1"/>
  <c r="E98" i="8" s="1"/>
  <c r="C43" i="8"/>
  <c r="E43" i="8"/>
  <c r="D77" i="8"/>
  <c r="D71" i="8" s="1"/>
  <c r="C49" i="8"/>
  <c r="C77" i="8"/>
  <c r="C71" i="8" s="1"/>
  <c r="D188" i="7"/>
  <c r="F179" i="6"/>
  <c r="E84" i="6"/>
  <c r="F84" i="6" s="1"/>
  <c r="C18" i="5"/>
  <c r="E48" i="5"/>
  <c r="D41" i="4"/>
  <c r="D43" i="4" s="1"/>
  <c r="E41" i="4"/>
  <c r="F41" i="4"/>
  <c r="D65" i="4"/>
  <c r="D39" i="22"/>
  <c r="E22" i="18"/>
  <c r="C270" i="17"/>
  <c r="D271" i="17"/>
  <c r="D268" i="17"/>
  <c r="D125" i="17"/>
  <c r="E125" i="17"/>
  <c r="F125" i="17"/>
  <c r="D175" i="17"/>
  <c r="D216" i="17"/>
  <c r="D194" i="17"/>
  <c r="D195" i="17" s="1"/>
  <c r="D126" i="17"/>
  <c r="D127" i="17" s="1"/>
  <c r="D49" i="17"/>
  <c r="D50" i="17" s="1"/>
  <c r="D34" i="12"/>
  <c r="D42" i="12" s="1"/>
  <c r="C21" i="5"/>
  <c r="D176" i="17"/>
  <c r="D49" i="12"/>
  <c r="E262" i="17" l="1"/>
  <c r="F262" i="17" s="1"/>
  <c r="D103" i="17"/>
  <c r="E103" i="17" s="1"/>
  <c r="F103" i="17" s="1"/>
  <c r="E102" i="17"/>
  <c r="F102" i="17" s="1"/>
  <c r="G31" i="14"/>
  <c r="I31" i="14" s="1"/>
  <c r="G33" i="14"/>
  <c r="E46" i="22"/>
  <c r="D91" i="17"/>
  <c r="C46" i="22"/>
  <c r="F22" i="11"/>
  <c r="E269" i="17"/>
  <c r="F269" i="17" s="1"/>
  <c r="E41" i="7"/>
  <c r="C95" i="7"/>
  <c r="E57" i="8"/>
  <c r="E62" i="8" s="1"/>
  <c r="E49" i="8"/>
  <c r="F50" i="15"/>
  <c r="C54" i="22"/>
  <c r="E22" i="11"/>
  <c r="E267" i="17"/>
  <c r="F267" i="17" s="1"/>
  <c r="D270" i="17"/>
  <c r="E294" i="17"/>
  <c r="F294" i="17" s="1"/>
  <c r="E288" i="18"/>
  <c r="C20" i="20"/>
  <c r="F20" i="20" s="1"/>
  <c r="F19" i="20"/>
  <c r="D101" i="22"/>
  <c r="C137" i="17"/>
  <c r="F136" i="17"/>
  <c r="E166" i="6"/>
  <c r="F166" i="6" s="1"/>
  <c r="E129" i="17"/>
  <c r="F129" i="17" s="1"/>
  <c r="E227" i="18"/>
  <c r="E33" i="22"/>
  <c r="E22" i="22"/>
  <c r="F227" i="17"/>
  <c r="E215" i="18"/>
  <c r="D239" i="18"/>
  <c r="E239" i="18" s="1"/>
  <c r="D59" i="13"/>
  <c r="D61" i="13" s="1"/>
  <c r="D57" i="13" s="1"/>
  <c r="D48" i="13"/>
  <c r="D42" i="13" s="1"/>
  <c r="C214" i="17"/>
  <c r="C206" i="17"/>
  <c r="C190" i="17"/>
  <c r="C277" i="17"/>
  <c r="C240" i="18"/>
  <c r="C253" i="18" s="1"/>
  <c r="C222" i="18"/>
  <c r="C223" i="18" s="1"/>
  <c r="D282" i="17"/>
  <c r="D281" i="17" s="1"/>
  <c r="C254" i="17"/>
  <c r="E254" i="17" s="1"/>
  <c r="E167" i="9"/>
  <c r="E23" i="10"/>
  <c r="E48" i="10"/>
  <c r="E25" i="13"/>
  <c r="E27" i="13" s="1"/>
  <c r="E15" i="13"/>
  <c r="D140" i="17"/>
  <c r="D141" i="17" s="1"/>
  <c r="C172" i="17"/>
  <c r="E171" i="17"/>
  <c r="F171" i="17"/>
  <c r="D284" i="17"/>
  <c r="E198" i="17"/>
  <c r="F198" i="17" s="1"/>
  <c r="C200" i="17"/>
  <c r="C199" i="17"/>
  <c r="D227" i="17"/>
  <c r="E227" i="17" s="1"/>
  <c r="E226" i="17"/>
  <c r="F226" i="17" s="1"/>
  <c r="F299" i="17"/>
  <c r="E40" i="18"/>
  <c r="C289" i="18"/>
  <c r="E289" i="18" s="1"/>
  <c r="E60" i="18"/>
  <c r="C65" i="18"/>
  <c r="C66" i="18" s="1"/>
  <c r="C295" i="18" s="1"/>
  <c r="C71" i="18"/>
  <c r="C76" i="18" s="1"/>
  <c r="C77" i="18" s="1"/>
  <c r="E69" i="18"/>
  <c r="C144" i="18"/>
  <c r="C175" i="18"/>
  <c r="E240" i="18"/>
  <c r="C46" i="20"/>
  <c r="E44" i="20"/>
  <c r="F44" i="20" s="1"/>
  <c r="E112" i="8"/>
  <c r="E111" i="8" s="1"/>
  <c r="E36" i="22"/>
  <c r="E43" i="6"/>
  <c r="D52" i="6"/>
  <c r="C59" i="13"/>
  <c r="C61" i="13" s="1"/>
  <c r="C57" i="13" s="1"/>
  <c r="C48" i="13"/>
  <c r="C42" i="13" s="1"/>
  <c r="E40" i="22"/>
  <c r="I17" i="14"/>
  <c r="C25" i="13"/>
  <c r="C27" i="13" s="1"/>
  <c r="C15" i="13"/>
  <c r="E35" i="10"/>
  <c r="E60" i="10"/>
  <c r="F44" i="17"/>
  <c r="F290" i="17"/>
  <c r="F24" i="20"/>
  <c r="E25" i="20"/>
  <c r="D46" i="20"/>
  <c r="E43" i="20"/>
  <c r="E54" i="22"/>
  <c r="E290" i="17"/>
  <c r="D75" i="4"/>
  <c r="E53" i="8"/>
  <c r="D15" i="13"/>
  <c r="D266" i="17"/>
  <c r="C261" i="17"/>
  <c r="E219" i="18"/>
  <c r="E205" i="9"/>
  <c r="F205" i="9" s="1"/>
  <c r="E73" i="11"/>
  <c r="F73" i="11" s="1"/>
  <c r="E14" i="16"/>
  <c r="F14" i="16" s="1"/>
  <c r="E35" i="17"/>
  <c r="F35" i="17" s="1"/>
  <c r="C37" i="17"/>
  <c r="C304" i="17"/>
  <c r="E299" i="17"/>
  <c r="E316" i="18"/>
  <c r="D320" i="18"/>
  <c r="E320" i="18" s="1"/>
  <c r="F33" i="20"/>
  <c r="E36" i="20"/>
  <c r="F36" i="20" s="1"/>
  <c r="E255" i="17"/>
  <c r="F255" i="17" s="1"/>
  <c r="D27" i="8"/>
  <c r="D21" i="8" s="1"/>
  <c r="C166" i="8"/>
  <c r="C155" i="8" s="1"/>
  <c r="E52" i="17"/>
  <c r="F52" i="17" s="1"/>
  <c r="E137" i="17"/>
  <c r="C262" i="17"/>
  <c r="C272" i="17" s="1"/>
  <c r="C255" i="17"/>
  <c r="E176" i="18"/>
  <c r="D77" i="22"/>
  <c r="D110" i="22" s="1"/>
  <c r="C116" i="19"/>
  <c r="C119" i="19" s="1"/>
  <c r="C123" i="19" s="1"/>
  <c r="E33" i="5"/>
  <c r="F33" i="5" s="1"/>
  <c r="E162" i="18"/>
  <c r="E167" i="18"/>
  <c r="C38" i="19"/>
  <c r="C127" i="19" s="1"/>
  <c r="C129" i="19" s="1"/>
  <c r="C133" i="19" s="1"/>
  <c r="F199" i="9"/>
  <c r="E124" i="17"/>
  <c r="F124" i="17" s="1"/>
  <c r="E136" i="17"/>
  <c r="D207" i="17"/>
  <c r="D222" i="18"/>
  <c r="E220" i="18"/>
  <c r="E65" i="4"/>
  <c r="E25" i="6"/>
  <c r="F25" i="6" s="1"/>
  <c r="E102" i="9"/>
  <c r="D208" i="9"/>
  <c r="F95" i="10"/>
  <c r="E65" i="11"/>
  <c r="F65" i="11" s="1"/>
  <c r="E16" i="15"/>
  <c r="F23" i="15"/>
  <c r="F94" i="17"/>
  <c r="D242" i="18"/>
  <c r="E242" i="18" s="1"/>
  <c r="D217" i="18"/>
  <c r="E218" i="18"/>
  <c r="E291" i="18"/>
  <c r="E45" i="20"/>
  <c r="C34" i="22"/>
  <c r="C22" i="22"/>
  <c r="C110" i="22" s="1"/>
  <c r="C101" i="22"/>
  <c r="C103" i="22" s="1"/>
  <c r="E86" i="6"/>
  <c r="F86" i="6" s="1"/>
  <c r="E137" i="6"/>
  <c r="F137" i="6" s="1"/>
  <c r="E77" i="8"/>
  <c r="E71" i="8" s="1"/>
  <c r="E88" i="8"/>
  <c r="E90" i="8" s="1"/>
  <c r="E86" i="8" s="1"/>
  <c r="E24" i="16"/>
  <c r="F24" i="16" s="1"/>
  <c r="E165" i="17"/>
  <c r="F165" i="17" s="1"/>
  <c r="D138" i="17"/>
  <c r="D139" i="17" s="1"/>
  <c r="E111" i="6"/>
  <c r="F111" i="6" s="1"/>
  <c r="E20" i="17"/>
  <c r="F20" i="17" s="1"/>
  <c r="E205" i="17"/>
  <c r="F205" i="17" s="1"/>
  <c r="E189" i="17"/>
  <c r="F189" i="17" s="1"/>
  <c r="E216" i="18"/>
  <c r="E90" i="6"/>
  <c r="F90" i="6" s="1"/>
  <c r="C57" i="8"/>
  <c r="C62" i="8" s="1"/>
  <c r="C75" i="11"/>
  <c r="E19" i="16"/>
  <c r="F19" i="16"/>
  <c r="F48" i="17"/>
  <c r="F66" i="17"/>
  <c r="C77" i="17"/>
  <c r="E77" i="17" s="1"/>
  <c r="C193" i="17"/>
  <c r="E193" i="17" s="1"/>
  <c r="F123" i="17"/>
  <c r="C192" i="17"/>
  <c r="D146" i="17"/>
  <c r="E146" i="17" s="1"/>
  <c r="F146" i="17" s="1"/>
  <c r="F238" i="17"/>
  <c r="E42" i="18"/>
  <c r="E75" i="18"/>
  <c r="C252" i="18"/>
  <c r="D111" i="17"/>
  <c r="E109" i="17"/>
  <c r="F109" i="17" s="1"/>
  <c r="E295" i="17"/>
  <c r="F295" i="17" s="1"/>
  <c r="D156" i="18"/>
  <c r="D163" i="18"/>
  <c r="E163" i="18" s="1"/>
  <c r="C241" i="18"/>
  <c r="D98" i="8"/>
  <c r="F59" i="17"/>
  <c r="C215" i="17"/>
  <c r="C216" i="17" s="1"/>
  <c r="E205" i="18"/>
  <c r="C80" i="13"/>
  <c r="C77" i="13" s="1"/>
  <c r="D88" i="22"/>
  <c r="E190" i="17"/>
  <c r="E41" i="6"/>
  <c r="F48" i="6"/>
  <c r="E167" i="7"/>
  <c r="F167" i="7" s="1"/>
  <c r="F183" i="7"/>
  <c r="C149" i="8"/>
  <c r="C140" i="8" s="1"/>
  <c r="F76" i="9"/>
  <c r="E200" i="9"/>
  <c r="F200" i="9" s="1"/>
  <c r="D37" i="17"/>
  <c r="E37" i="17" s="1"/>
  <c r="D68" i="17"/>
  <c r="E100" i="17"/>
  <c r="F100" i="17" s="1"/>
  <c r="E155" i="17"/>
  <c r="F155" i="17" s="1"/>
  <c r="D43" i="18"/>
  <c r="D44" i="18" s="1"/>
  <c r="E178" i="18"/>
  <c r="E19" i="21"/>
  <c r="F19" i="21" s="1"/>
  <c r="E79" i="8"/>
  <c r="E109" i="8"/>
  <c r="E106" i="8" s="1"/>
  <c r="D149" i="8"/>
  <c r="E50" i="9"/>
  <c r="C68" i="17"/>
  <c r="C181" i="17"/>
  <c r="E181" i="17" s="1"/>
  <c r="F181" i="17" s="1"/>
  <c r="E229" i="17"/>
  <c r="F229" i="17" s="1"/>
  <c r="D239" i="17"/>
  <c r="E239" i="17" s="1"/>
  <c r="F239" i="17" s="1"/>
  <c r="E251" i="18"/>
  <c r="E276" i="18"/>
  <c r="D303" i="18"/>
  <c r="C88" i="22"/>
  <c r="D93" i="22"/>
  <c r="F29" i="4"/>
  <c r="E27" i="8"/>
  <c r="E21" i="8" s="1"/>
  <c r="D166" i="8"/>
  <c r="E166" i="9"/>
  <c r="E179" i="9"/>
  <c r="E115" i="10"/>
  <c r="E164" i="18"/>
  <c r="E18" i="5"/>
  <c r="F18" i="5" s="1"/>
  <c r="D21" i="5"/>
  <c r="C35" i="5"/>
  <c r="E88" i="17"/>
  <c r="F88" i="17"/>
  <c r="C114" i="18"/>
  <c r="C111" i="18"/>
  <c r="C112" i="18"/>
  <c r="C109" i="18"/>
  <c r="C126" i="18"/>
  <c r="C110" i="18"/>
  <c r="C116" i="18" s="1"/>
  <c r="E21" i="21"/>
  <c r="F21" i="21" s="1"/>
  <c r="D304" i="17"/>
  <c r="E16" i="5"/>
  <c r="F16" i="5" s="1"/>
  <c r="C55" i="18"/>
  <c r="C234" i="18"/>
  <c r="E54" i="18"/>
  <c r="C283" i="18"/>
  <c r="C122" i="18"/>
  <c r="E270" i="17"/>
  <c r="F270" i="17" s="1"/>
  <c r="D20" i="20"/>
  <c r="E19" i="20"/>
  <c r="C121" i="18"/>
  <c r="E207" i="9"/>
  <c r="F207" i="9" s="1"/>
  <c r="C111" i="22"/>
  <c r="C36" i="22"/>
  <c r="C30" i="22"/>
  <c r="E73" i="4"/>
  <c r="F73" i="4"/>
  <c r="E51" i="6"/>
  <c r="F68" i="6"/>
  <c r="F84" i="10"/>
  <c r="E84" i="10"/>
  <c r="F110" i="17"/>
  <c r="C111" i="17"/>
  <c r="E278" i="17"/>
  <c r="F278" i="17" s="1"/>
  <c r="D279" i="17"/>
  <c r="D288" i="17"/>
  <c r="E288" i="17" s="1"/>
  <c r="F288" i="17" s="1"/>
  <c r="E223" i="17"/>
  <c r="F223" i="17"/>
  <c r="D261" i="18"/>
  <c r="E261" i="18" s="1"/>
  <c r="D189" i="18"/>
  <c r="E189" i="18" s="1"/>
  <c r="E188" i="18"/>
  <c r="D24" i="8"/>
  <c r="D272" i="17"/>
  <c r="D252" i="18"/>
  <c r="F65" i="4"/>
  <c r="D121" i="10"/>
  <c r="E121" i="10" s="1"/>
  <c r="E112" i="10"/>
  <c r="C124" i="18"/>
  <c r="F274" i="17"/>
  <c r="F51" i="6"/>
  <c r="E107" i="10"/>
  <c r="D183" i="17"/>
  <c r="D22" i="8"/>
  <c r="C123" i="18"/>
  <c r="D112" i="8"/>
  <c r="D111" i="8" s="1"/>
  <c r="D323" i="17"/>
  <c r="E43" i="4"/>
  <c r="F43" i="4" s="1"/>
  <c r="D45" i="22"/>
  <c r="D53" i="22"/>
  <c r="D35" i="22"/>
  <c r="D29" i="22"/>
  <c r="C52" i="6"/>
  <c r="E52" i="6" s="1"/>
  <c r="C95" i="6"/>
  <c r="D57" i="8"/>
  <c r="D62" i="8" s="1"/>
  <c r="D53" i="8"/>
  <c r="D49" i="8"/>
  <c r="E135" i="17"/>
  <c r="F135" i="17" s="1"/>
  <c r="D253" i="18"/>
  <c r="E253" i="18" s="1"/>
  <c r="C104" i="17"/>
  <c r="C154" i="8"/>
  <c r="C152" i="8"/>
  <c r="C156" i="8"/>
  <c r="C157" i="8"/>
  <c r="D20" i="8"/>
  <c r="D196" i="17"/>
  <c r="E56" i="22"/>
  <c r="E48" i="22"/>
  <c r="D263" i="17"/>
  <c r="C75" i="4"/>
  <c r="F112" i="10"/>
  <c r="C121" i="10"/>
  <c r="F121" i="10" s="1"/>
  <c r="F40" i="20"/>
  <c r="C115" i="18"/>
  <c r="C126" i="17"/>
  <c r="F21" i="17"/>
  <c r="C49" i="17"/>
  <c r="C135" i="8"/>
  <c r="C137" i="8"/>
  <c r="E40" i="20"/>
  <c r="E214" i="17"/>
  <c r="F214" i="17" s="1"/>
  <c r="E22" i="4"/>
  <c r="F22" i="4" s="1"/>
  <c r="E45" i="6"/>
  <c r="F45" i="6" s="1"/>
  <c r="C125" i="18"/>
  <c r="D92" i="17"/>
  <c r="E261" i="17"/>
  <c r="F261" i="17" s="1"/>
  <c r="D300" i="17"/>
  <c r="E264" i="17"/>
  <c r="F264" i="17" s="1"/>
  <c r="D265" i="17"/>
  <c r="C300" i="17"/>
  <c r="E277" i="17"/>
  <c r="F277" i="17" s="1"/>
  <c r="C279" i="17"/>
  <c r="D62" i="17"/>
  <c r="E61" i="17"/>
  <c r="F61" i="17" s="1"/>
  <c r="D104" i="17"/>
  <c r="E104" i="17" s="1"/>
  <c r="D174" i="17"/>
  <c r="C24" i="8"/>
  <c r="C17" i="8"/>
  <c r="D157" i="8"/>
  <c r="D152" i="8"/>
  <c r="C17" i="12"/>
  <c r="F15" i="12"/>
  <c r="C89" i="17"/>
  <c r="C91" i="17" s="1"/>
  <c r="D286" i="17"/>
  <c r="E286" i="17" s="1"/>
  <c r="F286" i="17" s="1"/>
  <c r="E56" i="4"/>
  <c r="F56" i="4"/>
  <c r="F72" i="10"/>
  <c r="E72" i="10"/>
  <c r="E165" i="18"/>
  <c r="D223" i="18"/>
  <c r="E85" i="6"/>
  <c r="F85" i="6" s="1"/>
  <c r="D95" i="6"/>
  <c r="E95" i="6" s="1"/>
  <c r="E24" i="9"/>
  <c r="F24" i="9"/>
  <c r="E49" i="9"/>
  <c r="F49" i="9" s="1"/>
  <c r="E202" i="9"/>
  <c r="F202" i="9" s="1"/>
  <c r="C306" i="17"/>
  <c r="F250" i="17"/>
  <c r="C43" i="18"/>
  <c r="E38" i="18"/>
  <c r="E175" i="18"/>
  <c r="D23" i="22"/>
  <c r="D33" i="22"/>
  <c r="D34" i="22"/>
  <c r="E124" i="6"/>
  <c r="F124" i="6" s="1"/>
  <c r="D95" i="7"/>
  <c r="F16" i="15"/>
  <c r="C31" i="17"/>
  <c r="F280" i="17"/>
  <c r="E93" i="6"/>
  <c r="D138" i="8"/>
  <c r="D136" i="8"/>
  <c r="E166" i="8"/>
  <c r="E141" i="9"/>
  <c r="F153" i="9"/>
  <c r="F33" i="14"/>
  <c r="F31" i="14"/>
  <c r="H31" i="14" s="1"/>
  <c r="H17" i="14"/>
  <c r="E306" i="17"/>
  <c r="D65" i="18"/>
  <c r="D71" i="18"/>
  <c r="E70" i="18"/>
  <c r="D168" i="18"/>
  <c r="D145" i="18"/>
  <c r="E144" i="18"/>
  <c r="E156" i="18"/>
  <c r="D157" i="18"/>
  <c r="E157" i="18" s="1"/>
  <c r="D306" i="18"/>
  <c r="E303" i="18"/>
  <c r="F16" i="20"/>
  <c r="E18" i="7"/>
  <c r="F18" i="7"/>
  <c r="E61" i="13"/>
  <c r="E57" i="13" s="1"/>
  <c r="D287" i="17"/>
  <c r="C208" i="9"/>
  <c r="E30" i="17"/>
  <c r="F30" i="17" s="1"/>
  <c r="E53" i="17"/>
  <c r="F53" i="17" s="1"/>
  <c r="F41" i="6"/>
  <c r="E44" i="6"/>
  <c r="E50" i="6"/>
  <c r="F50" i="6"/>
  <c r="E43" i="11"/>
  <c r="F43" i="11" s="1"/>
  <c r="E311" i="17"/>
  <c r="E61" i="4"/>
  <c r="F61" i="4" s="1"/>
  <c r="E38" i="6"/>
  <c r="F38" i="6" s="1"/>
  <c r="F41" i="7"/>
  <c r="D75" i="11"/>
  <c r="E56" i="11"/>
  <c r="F56" i="11" s="1"/>
  <c r="D160" i="17"/>
  <c r="C159" i="17"/>
  <c r="C161" i="17" s="1"/>
  <c r="E158" i="17"/>
  <c r="F158" i="17"/>
  <c r="E170" i="17"/>
  <c r="F170" i="17" s="1"/>
  <c r="E42" i="6"/>
  <c r="F42" i="6" s="1"/>
  <c r="F36" i="10"/>
  <c r="E36" i="10"/>
  <c r="D122" i="10"/>
  <c r="E122" i="10" s="1"/>
  <c r="F75" i="15"/>
  <c r="F92" i="15"/>
  <c r="E60" i="17"/>
  <c r="F60" i="17" s="1"/>
  <c r="E164" i="17"/>
  <c r="F164" i="17" s="1"/>
  <c r="E245" i="18"/>
  <c r="F43" i="6"/>
  <c r="E89" i="9"/>
  <c r="E193" i="9"/>
  <c r="F193" i="9" s="1"/>
  <c r="E24" i="10"/>
  <c r="E92" i="15"/>
  <c r="E100" i="15"/>
  <c r="F100" i="15" s="1"/>
  <c r="D210" i="18"/>
  <c r="D229" i="18"/>
  <c r="E229" i="18" s="1"/>
  <c r="C330" i="18"/>
  <c r="E330" i="18" s="1"/>
  <c r="E326" i="18"/>
  <c r="F75" i="9"/>
  <c r="F59" i="10"/>
  <c r="E59" i="10"/>
  <c r="F130" i="17"/>
  <c r="F49" i="6"/>
  <c r="E62" i="9"/>
  <c r="E204" i="9"/>
  <c r="F204" i="9" s="1"/>
  <c r="F30" i="15"/>
  <c r="E230" i="18"/>
  <c r="E278" i="18"/>
  <c r="F47" i="6"/>
  <c r="E91" i="6"/>
  <c r="F91" i="6" s="1"/>
  <c r="F24" i="7"/>
  <c r="E149" i="8"/>
  <c r="E101" i="9"/>
  <c r="E114" i="10"/>
  <c r="E120" i="10"/>
  <c r="E30" i="15"/>
  <c r="C39" i="20"/>
  <c r="F25" i="20"/>
  <c r="C188" i="7"/>
  <c r="C25" i="8"/>
  <c r="C27" i="8" s="1"/>
  <c r="F50" i="9"/>
  <c r="E75" i="9"/>
  <c r="E114" i="9"/>
  <c r="E118" i="10"/>
  <c r="F58" i="15"/>
  <c r="E60" i="15"/>
  <c r="F60" i="15" s="1"/>
  <c r="E107" i="15"/>
  <c r="F107" i="15" s="1"/>
  <c r="E95" i="17"/>
  <c r="F95" i="17" s="1"/>
  <c r="E120" i="17"/>
  <c r="F120" i="17" s="1"/>
  <c r="E290" i="18"/>
  <c r="F45" i="20"/>
  <c r="E77" i="22"/>
  <c r="D102" i="22"/>
  <c r="D103" i="22" s="1"/>
  <c r="E85" i="17"/>
  <c r="F85" i="17" s="1"/>
  <c r="E110" i="17"/>
  <c r="D283" i="18"/>
  <c r="E283" i="18" s="1"/>
  <c r="E244" i="18"/>
  <c r="F127" i="9"/>
  <c r="F154" i="9"/>
  <c r="E116" i="10"/>
  <c r="E32" i="12"/>
  <c r="F32" i="12" s="1"/>
  <c r="F73" i="15"/>
  <c r="E75" i="15"/>
  <c r="E21" i="13" l="1"/>
  <c r="E192" i="17"/>
  <c r="F192" i="17"/>
  <c r="E20" i="20"/>
  <c r="E17" i="13"/>
  <c r="E28" i="13" s="1"/>
  <c r="E24" i="13"/>
  <c r="E20" i="13" s="1"/>
  <c r="C138" i="8"/>
  <c r="E75" i="11"/>
  <c r="F75" i="11" s="1"/>
  <c r="E199" i="17"/>
  <c r="F199" i="17" s="1"/>
  <c r="C139" i="8"/>
  <c r="C141" i="8" s="1"/>
  <c r="E282" i="17"/>
  <c r="F282" i="17" s="1"/>
  <c r="D108" i="22"/>
  <c r="E279" i="17"/>
  <c r="D208" i="17"/>
  <c r="E207" i="17"/>
  <c r="F207" i="17" s="1"/>
  <c r="E266" i="17"/>
  <c r="F266" i="17" s="1"/>
  <c r="E172" i="17"/>
  <c r="F172" i="17" s="1"/>
  <c r="C173" i="17"/>
  <c r="E206" i="17"/>
  <c r="F206" i="17" s="1"/>
  <c r="I33" i="14"/>
  <c r="I36" i="14" s="1"/>
  <c r="I38" i="14" s="1"/>
  <c r="I40" i="14" s="1"/>
  <c r="G36" i="14"/>
  <c r="G38" i="14" s="1"/>
  <c r="G40" i="14" s="1"/>
  <c r="E89" i="17"/>
  <c r="F89" i="17" s="1"/>
  <c r="E168" i="18"/>
  <c r="D158" i="8"/>
  <c r="C136" i="8"/>
  <c r="C153" i="8"/>
  <c r="E215" i="17"/>
  <c r="F215" i="17" s="1"/>
  <c r="D109" i="22"/>
  <c r="D156" i="8"/>
  <c r="D154" i="8"/>
  <c r="D153" i="8"/>
  <c r="D155" i="8"/>
  <c r="E217" i="18"/>
  <c r="D241" i="18"/>
  <c r="E241" i="18" s="1"/>
  <c r="F37" i="17"/>
  <c r="D17" i="13"/>
  <c r="D28" i="13" s="1"/>
  <c r="D24" i="13"/>
  <c r="D20" i="13" s="1"/>
  <c r="C127" i="18"/>
  <c r="C113" i="18"/>
  <c r="D105" i="17"/>
  <c r="D106" i="17" s="1"/>
  <c r="C266" i="17"/>
  <c r="C265" i="17" s="1"/>
  <c r="E265" i="17" s="1"/>
  <c r="F265" i="17" s="1"/>
  <c r="C282" i="17"/>
  <c r="C281" i="17" s="1"/>
  <c r="F193" i="17"/>
  <c r="C194" i="17"/>
  <c r="F46" i="20"/>
  <c r="C246" i="18"/>
  <c r="C29" i="22"/>
  <c r="C55" i="22" s="1"/>
  <c r="C254" i="18"/>
  <c r="C294" i="18"/>
  <c r="F43" i="20"/>
  <c r="E46" i="20"/>
  <c r="C17" i="13"/>
  <c r="C28" i="13" s="1"/>
  <c r="C24" i="13"/>
  <c r="C20" i="13" s="1"/>
  <c r="E200" i="17"/>
  <c r="F200" i="17" s="1"/>
  <c r="C284" i="17"/>
  <c r="E284" i="17" s="1"/>
  <c r="C287" i="17"/>
  <c r="E22" i="8"/>
  <c r="E20" i="8"/>
  <c r="C53" i="22"/>
  <c r="C35" i="22"/>
  <c r="C45" i="22"/>
  <c r="C39" i="22"/>
  <c r="E43" i="18"/>
  <c r="E95" i="7"/>
  <c r="F95" i="7" s="1"/>
  <c r="E75" i="4"/>
  <c r="F75" i="4" s="1"/>
  <c r="F254" i="17"/>
  <c r="D135" i="8"/>
  <c r="D141" i="8" s="1"/>
  <c r="D139" i="8"/>
  <c r="D140" i="8"/>
  <c r="D137" i="8"/>
  <c r="E68" i="17"/>
  <c r="F68" i="17" s="1"/>
  <c r="E222" i="18"/>
  <c r="C263" i="17"/>
  <c r="E263" i="17" s="1"/>
  <c r="F263" i="17" s="1"/>
  <c r="C271" i="17"/>
  <c r="C268" i="17"/>
  <c r="C21" i="13"/>
  <c r="C145" i="18"/>
  <c r="C168" i="18"/>
  <c r="C180" i="18"/>
  <c r="F190" i="17"/>
  <c r="E53" i="22"/>
  <c r="E45" i="22"/>
  <c r="E39" i="22"/>
  <c r="E35" i="22"/>
  <c r="E29" i="22"/>
  <c r="F137" i="17"/>
  <c r="C138" i="17"/>
  <c r="C139" i="17" s="1"/>
  <c r="C207" i="17"/>
  <c r="C208" i="17" s="1"/>
  <c r="C209" i="17" s="1"/>
  <c r="C92" i="17"/>
  <c r="E92" i="17" s="1"/>
  <c r="E91" i="17"/>
  <c r="F91" i="17" s="1"/>
  <c r="D66" i="18"/>
  <c r="D247" i="18" s="1"/>
  <c r="E247" i="18" s="1"/>
  <c r="E65" i="18"/>
  <c r="D294" i="18"/>
  <c r="E294" i="18" s="1"/>
  <c r="D54" i="22"/>
  <c r="D30" i="22"/>
  <c r="D40" i="22"/>
  <c r="D46" i="22"/>
  <c r="D36" i="22"/>
  <c r="D111" i="22"/>
  <c r="D37" i="22"/>
  <c r="D112" i="22"/>
  <c r="D47" i="22"/>
  <c r="D55" i="22"/>
  <c r="E109" i="22"/>
  <c r="E108" i="22"/>
  <c r="E111" i="22"/>
  <c r="E110" i="22"/>
  <c r="E136" i="8"/>
  <c r="E139" i="8"/>
  <c r="E135" i="8"/>
  <c r="E140" i="8"/>
  <c r="E138" i="8"/>
  <c r="E137" i="8"/>
  <c r="E161" i="17"/>
  <c r="F161" i="17" s="1"/>
  <c r="C162" i="17"/>
  <c r="D113" i="17"/>
  <c r="D324" i="17"/>
  <c r="E126" i="17"/>
  <c r="F126" i="17" s="1"/>
  <c r="C127" i="17"/>
  <c r="C38" i="22"/>
  <c r="C113" i="22"/>
  <c r="C56" i="22"/>
  <c r="C48" i="22"/>
  <c r="C43" i="5"/>
  <c r="C41" i="20"/>
  <c r="E39" i="20"/>
  <c r="E41" i="20" s="1"/>
  <c r="F39" i="20"/>
  <c r="D169" i="18"/>
  <c r="E145" i="18"/>
  <c r="F104" i="17"/>
  <c r="F95" i="6"/>
  <c r="E252" i="18"/>
  <c r="D254" i="18"/>
  <c r="E254" i="18" s="1"/>
  <c r="E139" i="17"/>
  <c r="F139" i="17" s="1"/>
  <c r="D63" i="17"/>
  <c r="E300" i="17"/>
  <c r="C50" i="17"/>
  <c r="E49" i="17"/>
  <c r="F49" i="17" s="1"/>
  <c r="C158" i="8"/>
  <c r="D148" i="17"/>
  <c r="D322" i="17"/>
  <c r="E272" i="17"/>
  <c r="F272" i="17" s="1"/>
  <c r="D273" i="17"/>
  <c r="C128" i="18"/>
  <c r="C129" i="18" s="1"/>
  <c r="E304" i="17"/>
  <c r="F304" i="17" s="1"/>
  <c r="C32" i="17"/>
  <c r="E31" i="17"/>
  <c r="F31" i="17" s="1"/>
  <c r="E112" i="22"/>
  <c r="C259" i="18"/>
  <c r="C263" i="18" s="1"/>
  <c r="C44" i="18"/>
  <c r="C117" i="18"/>
  <c r="D97" i="18"/>
  <c r="D89" i="18"/>
  <c r="D95" i="18"/>
  <c r="D99" i="18"/>
  <c r="D87" i="18"/>
  <c r="D101" i="18"/>
  <c r="D96" i="18"/>
  <c r="D258" i="18"/>
  <c r="D85" i="18"/>
  <c r="D84" i="18"/>
  <c r="D98" i="18"/>
  <c r="D100" i="18"/>
  <c r="D88" i="18"/>
  <c r="D83" i="18"/>
  <c r="D86" i="18"/>
  <c r="C160" i="17"/>
  <c r="E159" i="17"/>
  <c r="F159" i="17"/>
  <c r="E208" i="9"/>
  <c r="F208" i="9" s="1"/>
  <c r="E223" i="18"/>
  <c r="F279" i="17"/>
  <c r="D197" i="17"/>
  <c r="F52" i="6"/>
  <c r="E160" i="17"/>
  <c r="E17" i="12"/>
  <c r="F17" i="12" s="1"/>
  <c r="C20" i="12"/>
  <c r="C284" i="18"/>
  <c r="E284" i="18" s="1"/>
  <c r="C235" i="18"/>
  <c r="E55" i="18"/>
  <c r="F300" i="17"/>
  <c r="E216" i="17"/>
  <c r="F216" i="17" s="1"/>
  <c r="C247" i="18"/>
  <c r="D35" i="5"/>
  <c r="E21" i="5"/>
  <c r="F21" i="5" s="1"/>
  <c r="D211" i="18"/>
  <c r="D181" i="18" s="1"/>
  <c r="E210" i="18"/>
  <c r="D234" i="18"/>
  <c r="E234" i="18" s="1"/>
  <c r="F36" i="14"/>
  <c r="F38" i="14" s="1"/>
  <c r="F40" i="14" s="1"/>
  <c r="H33" i="14"/>
  <c r="H36" i="14" s="1"/>
  <c r="H38" i="14" s="1"/>
  <c r="H40" i="14" s="1"/>
  <c r="E113" i="22"/>
  <c r="D180" i="18"/>
  <c r="E180" i="18" s="1"/>
  <c r="C20" i="8"/>
  <c r="C21" i="8"/>
  <c r="E188" i="7"/>
  <c r="F188" i="7" s="1"/>
  <c r="E111" i="17"/>
  <c r="F111" i="17" s="1"/>
  <c r="D289" i="17"/>
  <c r="D291" i="17"/>
  <c r="E287" i="17"/>
  <c r="F287" i="17" s="1"/>
  <c r="D310" i="18"/>
  <c r="E310" i="18" s="1"/>
  <c r="E306" i="18"/>
  <c r="E71" i="18"/>
  <c r="D76" i="18"/>
  <c r="E155" i="8"/>
  <c r="E157" i="8"/>
  <c r="E156" i="8"/>
  <c r="E154" i="8"/>
  <c r="E152" i="8"/>
  <c r="E153" i="8"/>
  <c r="D246" i="18"/>
  <c r="C90" i="17"/>
  <c r="C28" i="8"/>
  <c r="C99" i="8" s="1"/>
  <c r="C101" i="8" s="1"/>
  <c r="C98" i="8" s="1"/>
  <c r="C112" i="8"/>
  <c r="C111" i="8" s="1"/>
  <c r="E181" i="18" l="1"/>
  <c r="E273" i="17"/>
  <c r="F273" i="17" s="1"/>
  <c r="E47" i="22"/>
  <c r="E37" i="22"/>
  <c r="E55" i="22"/>
  <c r="C181" i="18"/>
  <c r="C169" i="18"/>
  <c r="E169" i="18" s="1"/>
  <c r="C289" i="17"/>
  <c r="C291" i="17"/>
  <c r="C305" i="17" s="1"/>
  <c r="C309" i="17" s="1"/>
  <c r="E173" i="17"/>
  <c r="F173" i="17" s="1"/>
  <c r="C174" i="17"/>
  <c r="E268" i="17"/>
  <c r="F268" i="17" s="1"/>
  <c r="E289" i="17"/>
  <c r="F289" i="17" s="1"/>
  <c r="C273" i="17"/>
  <c r="E271" i="17"/>
  <c r="F271" i="17" s="1"/>
  <c r="C37" i="22"/>
  <c r="C22" i="13"/>
  <c r="C70" i="13"/>
  <c r="C72" i="13" s="1"/>
  <c r="C69" i="13" s="1"/>
  <c r="C195" i="17"/>
  <c r="C196" i="17"/>
  <c r="E194" i="17"/>
  <c r="F194" i="17" s="1"/>
  <c r="E208" i="17"/>
  <c r="F208" i="17" s="1"/>
  <c r="D210" i="17"/>
  <c r="D211" i="17" s="1"/>
  <c r="D209" i="17"/>
  <c r="E209" i="17" s="1"/>
  <c r="F209" i="17" s="1"/>
  <c r="C47" i="22"/>
  <c r="E138" i="17"/>
  <c r="F138" i="17" s="1"/>
  <c r="F284" i="17"/>
  <c r="C112" i="22"/>
  <c r="D70" i="13"/>
  <c r="D72" i="13" s="1"/>
  <c r="D69" i="13" s="1"/>
  <c r="D22" i="13"/>
  <c r="E246" i="18"/>
  <c r="C22" i="8"/>
  <c r="E141" i="8"/>
  <c r="F281" i="17"/>
  <c r="E22" i="13"/>
  <c r="E70" i="13"/>
  <c r="E72" i="13" s="1"/>
  <c r="E69" i="13" s="1"/>
  <c r="E281" i="17"/>
  <c r="C101" i="18"/>
  <c r="C85" i="18"/>
  <c r="E85" i="18" s="1"/>
  <c r="C99" i="18"/>
  <c r="C83" i="18"/>
  <c r="C258" i="18"/>
  <c r="E258" i="18" s="1"/>
  <c r="C88" i="18"/>
  <c r="E88" i="18" s="1"/>
  <c r="C95" i="18"/>
  <c r="C98" i="18"/>
  <c r="C87" i="18"/>
  <c r="C96" i="18"/>
  <c r="E96" i="18" s="1"/>
  <c r="C89" i="18"/>
  <c r="E89" i="18" s="1"/>
  <c r="C86" i="18"/>
  <c r="E86" i="18" s="1"/>
  <c r="C97" i="18"/>
  <c r="E97" i="18" s="1"/>
  <c r="C84" i="18"/>
  <c r="C100" i="18"/>
  <c r="E100" i="18" s="1"/>
  <c r="E158" i="8"/>
  <c r="E44" i="18"/>
  <c r="D305" i="17"/>
  <c r="E291" i="17"/>
  <c r="F291" i="17" s="1"/>
  <c r="D103" i="18"/>
  <c r="E76" i="18"/>
  <c r="D77" i="18"/>
  <c r="D259" i="18"/>
  <c r="D102" i="18"/>
  <c r="C131" i="18"/>
  <c r="D70" i="17"/>
  <c r="E101" i="18"/>
  <c r="E32" i="17"/>
  <c r="F32" i="17" s="1"/>
  <c r="C140" i="17"/>
  <c r="C105" i="17"/>
  <c r="C210" i="17"/>
  <c r="C175" i="17"/>
  <c r="C62" i="17"/>
  <c r="C310" i="17"/>
  <c r="D325" i="17"/>
  <c r="D38" i="22"/>
  <c r="D48" i="22"/>
  <c r="D56" i="22"/>
  <c r="D113" i="22"/>
  <c r="E87" i="18"/>
  <c r="D235" i="18"/>
  <c r="E235" i="18" s="1"/>
  <c r="E211" i="18"/>
  <c r="E99" i="18"/>
  <c r="E98" i="18"/>
  <c r="E50" i="17"/>
  <c r="F50" i="17" s="1"/>
  <c r="D43" i="5"/>
  <c r="E35" i="5"/>
  <c r="F35" i="5" s="1"/>
  <c r="E84" i="18"/>
  <c r="D90" i="18"/>
  <c r="E162" i="17"/>
  <c r="F162" i="17"/>
  <c r="E66" i="18"/>
  <c r="D295" i="18"/>
  <c r="E295" i="18" s="1"/>
  <c r="F41" i="20"/>
  <c r="C197" i="17"/>
  <c r="E197" i="17" s="1"/>
  <c r="E127" i="17"/>
  <c r="F127" i="17" s="1"/>
  <c r="E90" i="17"/>
  <c r="F90" i="17" s="1"/>
  <c r="E20" i="12"/>
  <c r="F20" i="12" s="1"/>
  <c r="C34" i="12"/>
  <c r="F160" i="17"/>
  <c r="C50" i="5"/>
  <c r="F92" i="17"/>
  <c r="F196" i="17" l="1"/>
  <c r="E196" i="17"/>
  <c r="C90" i="18"/>
  <c r="E195" i="17"/>
  <c r="F195" i="17" s="1"/>
  <c r="E174" i="17"/>
  <c r="F174" i="17"/>
  <c r="E90" i="18"/>
  <c r="C103" i="18"/>
  <c r="E103" i="18" s="1"/>
  <c r="C106" i="17"/>
  <c r="E105" i="17"/>
  <c r="F105" i="17" s="1"/>
  <c r="C141" i="17"/>
  <c r="E140" i="17"/>
  <c r="F140" i="17" s="1"/>
  <c r="E102" i="18"/>
  <c r="E95" i="18"/>
  <c r="C264" i="18"/>
  <c r="C266" i="18" s="1"/>
  <c r="C267" i="18" s="1"/>
  <c r="F197" i="17"/>
  <c r="E43" i="5"/>
  <c r="F43" i="5" s="1"/>
  <c r="D50" i="5"/>
  <c r="E50" i="5" s="1"/>
  <c r="F50" i="5" s="1"/>
  <c r="C312" i="17"/>
  <c r="C91" i="18"/>
  <c r="C105" i="18" s="1"/>
  <c r="D309" i="17"/>
  <c r="E305" i="17"/>
  <c r="F305" i="17" s="1"/>
  <c r="E34" i="12"/>
  <c r="F34" i="12" s="1"/>
  <c r="C42" i="12"/>
  <c r="C63" i="17"/>
  <c r="E62" i="17"/>
  <c r="F62" i="17" s="1"/>
  <c r="E83" i="18"/>
  <c r="D263" i="18"/>
  <c r="E259" i="18"/>
  <c r="C102" i="18"/>
  <c r="C176" i="17"/>
  <c r="E175" i="17"/>
  <c r="F175" i="17" s="1"/>
  <c r="D91" i="18"/>
  <c r="D109" i="18"/>
  <c r="D125" i="18"/>
  <c r="E125" i="18" s="1"/>
  <c r="E77" i="18"/>
  <c r="D124" i="18"/>
  <c r="E124" i="18" s="1"/>
  <c r="D127" i="18"/>
  <c r="E127" i="18" s="1"/>
  <c r="D126" i="18"/>
  <c r="E126" i="18" s="1"/>
  <c r="D123" i="18"/>
  <c r="E123" i="18" s="1"/>
  <c r="D115" i="18"/>
  <c r="E115" i="18" s="1"/>
  <c r="D111" i="18"/>
  <c r="E111" i="18" s="1"/>
  <c r="D113" i="18"/>
  <c r="E113" i="18" s="1"/>
  <c r="D122" i="18"/>
  <c r="D121" i="18"/>
  <c r="D114" i="18"/>
  <c r="E114" i="18" s="1"/>
  <c r="D112" i="18"/>
  <c r="E112" i="18" s="1"/>
  <c r="D110" i="18"/>
  <c r="E210" i="17"/>
  <c r="F210" i="17" s="1"/>
  <c r="D128" i="18" l="1"/>
  <c r="E128" i="18" s="1"/>
  <c r="E122" i="18"/>
  <c r="C211" i="17"/>
  <c r="C322" i="17"/>
  <c r="E141" i="17"/>
  <c r="F141" i="17" s="1"/>
  <c r="C148" i="17"/>
  <c r="E263" i="18"/>
  <c r="D264" i="18"/>
  <c r="E109" i="18"/>
  <c r="C268" i="18"/>
  <c r="C271" i="18" s="1"/>
  <c r="C269" i="18"/>
  <c r="E91" i="18"/>
  <c r="D105" i="18"/>
  <c r="E105" i="18" s="1"/>
  <c r="E309" i="17"/>
  <c r="F309" i="17" s="1"/>
  <c r="D310" i="17"/>
  <c r="D116" i="18"/>
  <c r="E116" i="18" s="1"/>
  <c r="E110" i="18"/>
  <c r="F176" i="17"/>
  <c r="E176" i="17"/>
  <c r="C323" i="17"/>
  <c r="C183" i="17"/>
  <c r="C70" i="17"/>
  <c r="E63" i="17"/>
  <c r="F63" i="17" s="1"/>
  <c r="E106" i="17"/>
  <c r="F106" i="17" s="1"/>
  <c r="C324" i="17"/>
  <c r="C113" i="17"/>
  <c r="C49" i="12"/>
  <c r="E42" i="12"/>
  <c r="F42" i="12"/>
  <c r="C313" i="17"/>
  <c r="D129" i="18"/>
  <c r="E129" i="18" s="1"/>
  <c r="E121" i="18"/>
  <c r="E211" i="17" l="1"/>
  <c r="F211" i="17" s="1"/>
  <c r="C251" i="17"/>
  <c r="C256" i="17"/>
  <c r="C315" i="17"/>
  <c r="C314" i="17"/>
  <c r="D117" i="18"/>
  <c r="E70" i="17"/>
  <c r="F70" i="17" s="1"/>
  <c r="D312" i="17"/>
  <c r="E310" i="17"/>
  <c r="F310" i="17" s="1"/>
  <c r="E264" i="18"/>
  <c r="D266" i="18"/>
  <c r="E49" i="12"/>
  <c r="F49" i="12" s="1"/>
  <c r="E183" i="17"/>
  <c r="F183" i="17" s="1"/>
  <c r="E148" i="17"/>
  <c r="F148" i="17" s="1"/>
  <c r="E113" i="17"/>
  <c r="F113" i="17" s="1"/>
  <c r="F323" i="17"/>
  <c r="E323" i="17"/>
  <c r="C325" i="17"/>
  <c r="E324" i="17"/>
  <c r="F324" i="17" s="1"/>
  <c r="E322" i="17"/>
  <c r="F322" i="17" s="1"/>
  <c r="E312" i="17" l="1"/>
  <c r="F312" i="17" s="1"/>
  <c r="D313" i="17"/>
  <c r="E325" i="17"/>
  <c r="F325" i="17" s="1"/>
  <c r="E117" i="18"/>
  <c r="D131" i="18"/>
  <c r="E131" i="18" s="1"/>
  <c r="C318" i="17"/>
  <c r="E266" i="18"/>
  <c r="D267" i="18"/>
  <c r="C257" i="17"/>
  <c r="E267" i="18" l="1"/>
  <c r="D269" i="18"/>
  <c r="E269" i="18" s="1"/>
  <c r="D268" i="18"/>
  <c r="D314" i="17"/>
  <c r="E313" i="17"/>
  <c r="F313" i="17" s="1"/>
  <c r="D251" i="17"/>
  <c r="E251" i="17" s="1"/>
  <c r="F251" i="17" s="1"/>
  <c r="D315" i="17"/>
  <c r="E315" i="17" s="1"/>
  <c r="F315" i="17" s="1"/>
  <c r="D256" i="17"/>
  <c r="E268" i="18" l="1"/>
  <c r="D271" i="18"/>
  <c r="E271" i="18" s="1"/>
  <c r="D257" i="17"/>
  <c r="E257" i="17" s="1"/>
  <c r="F257" i="17" s="1"/>
  <c r="E256" i="17"/>
  <c r="F256" i="17" s="1"/>
  <c r="D318" i="17"/>
  <c r="E318" i="17" s="1"/>
  <c r="F318" i="17" s="1"/>
  <c r="E314" i="17"/>
  <c r="F314" i="17" s="1"/>
</calcChain>
</file>

<file path=xl/sharedStrings.xml><?xml version="1.0" encoding="utf-8"?>
<sst xmlns="http://schemas.openxmlformats.org/spreadsheetml/2006/main" count="2336" uniqueCount="1009">
  <si>
    <t>DANBURY HOSPITAL</t>
  </si>
  <si>
    <t>TWELVE MONTHS ACTUAL FILING</t>
  </si>
  <si>
    <t>FISCAL YEAR 2016</t>
  </si>
  <si>
    <t>REPORT 100 - HOSPITAL BALANCE SHEET INFORMATION</t>
  </si>
  <si>
    <t>FY 2015</t>
  </si>
  <si>
    <t>FY 2016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</si>
  <si>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</si>
  <si>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</si>
  <si>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</si>
  <si>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</si>
  <si>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</si>
  <si>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</si>
  <si>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</si>
  <si>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</si>
  <si>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</si>
  <si>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</si>
  <si>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</si>
  <si>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</si>
  <si>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</si>
  <si>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</si>
  <si>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</si>
  <si>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</si>
  <si>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</si>
  <si>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</si>
  <si>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</si>
  <si>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</si>
  <si>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</si>
  <si>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</si>
  <si>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</si>
  <si>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</si>
  <si>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</si>
  <si>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</si>
  <si>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</si>
  <si>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</si>
  <si>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</si>
  <si>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</si>
  <si>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</si>
  <si>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</si>
  <si>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</si>
  <si>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</si>
  <si>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</si>
  <si>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</si>
  <si>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</si>
  <si>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</si>
  <si>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</si>
  <si>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</si>
  <si>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</si>
  <si>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</si>
  <si>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</si>
  <si>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</si>
  <si>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</si>
  <si>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</si>
  <si>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</si>
  <si>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</si>
  <si>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</si>
  <si>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</si>
  <si>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</si>
  <si>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</si>
  <si>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</si>
  <si>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</si>
  <si>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</si>
  <si>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</si>
  <si>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</si>
  <si>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</si>
  <si>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</si>
  <si>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</si>
  <si>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</si>
  <si>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</si>
  <si>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</si>
  <si>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</si>
  <si>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</si>
  <si>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</si>
  <si>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</si>
  <si>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</si>
  <si>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</si>
  <si>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</si>
  <si>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</si>
  <si>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</si>
  <si>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</si>
  <si>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</si>
  <si>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</si>
  <si>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</si>
  <si>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</si>
  <si>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</si>
  <si>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</si>
  <si>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</si>
  <si>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</si>
  <si>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</si>
  <si>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</si>
  <si>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</si>
  <si>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</si>
  <si>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</si>
  <si>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</si>
  <si>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</si>
  <si>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</si>
  <si>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</si>
  <si>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</si>
  <si>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</si>
  <si>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</si>
  <si>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</si>
  <si>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</si>
  <si>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</si>
  <si>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</si>
  <si>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</si>
  <si>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</si>
  <si>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</si>
  <si>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</si>
  <si>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2015                ACTUAL</t>
  </si>
  <si>
    <t>FY 2016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</si>
  <si>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</si>
  <si>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</si>
  <si>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</si>
  <si>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</si>
  <si>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</si>
  <si>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</si>
  <si>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</si>
  <si>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</si>
  <si>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</si>
  <si>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</si>
  <si>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</si>
  <si>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</si>
  <si>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</si>
  <si>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</si>
  <si>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</si>
  <si>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</si>
  <si>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</si>
  <si>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</si>
  <si>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</si>
  <si>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</si>
  <si>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</si>
  <si>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</si>
  <si>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</si>
  <si>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</si>
  <si>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</si>
  <si>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</si>
  <si>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</si>
  <si>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</si>
  <si>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</si>
  <si>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</si>
  <si>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</si>
  <si>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</si>
  <si>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</si>
  <si>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</si>
  <si>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</si>
  <si>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</si>
  <si>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</si>
  <si>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</si>
  <si>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</si>
  <si>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</si>
  <si>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</si>
  <si>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</si>
  <si>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</si>
  <si>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</si>
  <si>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</si>
  <si>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</si>
  <si>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</si>
  <si>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</si>
  <si>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</si>
  <si>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</si>
  <si>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</si>
  <si>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</si>
  <si>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</si>
  <si>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</si>
  <si>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</si>
  <si>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</si>
  <si>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</si>
  <si>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</si>
  <si>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</si>
  <si>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</si>
  <si>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</si>
  <si>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</si>
  <si>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</si>
  <si>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</si>
  <si>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</si>
  <si>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</si>
  <si>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</si>
  <si>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</si>
  <si>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</si>
  <si>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</si>
  <si>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</si>
  <si>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</si>
  <si>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</si>
  <si>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</si>
  <si>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</si>
  <si>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</si>
  <si>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</si>
  <si>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</si>
  <si>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</si>
  <si>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</si>
  <si>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</si>
  <si>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</si>
  <si>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</si>
  <si>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</si>
  <si>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</si>
  <si>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</si>
  <si>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</si>
  <si>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</si>
  <si>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</si>
  <si>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</si>
  <si>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</si>
  <si>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</si>
  <si>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</si>
  <si>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</si>
  <si>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</si>
  <si>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</si>
  <si>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</si>
  <si>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</si>
  <si>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</si>
  <si>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</si>
  <si>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</si>
  <si>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</si>
  <si>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</si>
  <si>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</si>
  <si>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</si>
  <si>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</si>
  <si>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</si>
  <si>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</si>
  <si>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</si>
  <si>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</si>
  <si>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</si>
  <si>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</si>
  <si>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</si>
  <si>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</si>
  <si>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</si>
  <si>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</si>
  <si>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</si>
  <si>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</si>
  <si>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</si>
  <si>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</si>
  <si>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</si>
  <si>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</si>
  <si>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</si>
  <si>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</si>
  <si>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</si>
  <si>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</si>
  <si>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</si>
  <si>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</si>
  <si>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</si>
  <si>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</si>
  <si>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</si>
  <si>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</si>
  <si>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</si>
  <si>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</si>
  <si>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</si>
  <si>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</si>
  <si>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</si>
  <si>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</si>
  <si>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</si>
  <si>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</si>
  <si>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</si>
  <si>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</si>
  <si>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</si>
  <si>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</si>
  <si>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</si>
  <si>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</si>
  <si>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</si>
  <si>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</si>
  <si>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</si>
  <si>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</si>
  <si>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</si>
  <si>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</si>
  <si>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</si>
  <si>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</si>
  <si>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</si>
  <si>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</si>
  <si>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</si>
  <si>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</si>
  <si>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</si>
  <si>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</si>
  <si>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</si>
  <si>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</si>
  <si>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</si>
  <si>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</si>
  <si>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</si>
  <si>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</si>
  <si>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</si>
  <si>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</si>
  <si>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</si>
  <si>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</si>
  <si>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</si>
  <si>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</si>
  <si>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</si>
  <si>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</si>
  <si>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</si>
  <si>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</si>
  <si>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</si>
  <si>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</si>
  <si>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</si>
  <si>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</si>
  <si>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</si>
  <si>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</si>
  <si>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</si>
  <si>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</si>
  <si>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</si>
  <si>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</si>
  <si>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</si>
  <si>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</si>
  <si>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</si>
  <si>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</si>
  <si>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</si>
  <si>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</si>
  <si>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</si>
  <si>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</si>
  <si>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</si>
  <si>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</si>
  <si>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</si>
  <si>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</si>
  <si>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</si>
  <si>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</si>
  <si>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</si>
  <si>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</si>
  <si>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</si>
  <si>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</si>
  <si>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</si>
  <si>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2016</t>
  </si>
  <si>
    <t>REPORT 185 - HOSPITAL FINANCIAL AND STATISTICAL DATA ANALYSIS</t>
  </si>
  <si>
    <t xml:space="preserve">      FY 2014</t>
  </si>
  <si>
    <t xml:space="preserve">      FY 2015</t>
  </si>
  <si>
    <t xml:space="preserve">      FY 2016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</si>
  <si>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</si>
  <si>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</si>
  <si>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</si>
  <si>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</si>
  <si>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</si>
  <si>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</si>
  <si>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</si>
  <si>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</si>
  <si>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</si>
  <si>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</si>
  <si>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</si>
  <si>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</si>
  <si>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</si>
  <si>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</si>
  <si>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</si>
  <si>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</si>
  <si>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</si>
  <si>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</si>
  <si>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</si>
  <si>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</si>
  <si>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</si>
  <si>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</si>
  <si>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</si>
  <si>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</si>
  <si>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</si>
  <si>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</si>
  <si>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</si>
  <si>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</si>
  <si>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</si>
  <si>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</si>
  <si>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</si>
  <si>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</si>
  <si>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</si>
  <si>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</si>
  <si>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</si>
  <si>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</si>
  <si>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</si>
  <si>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</si>
  <si>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</si>
  <si>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</si>
  <si>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</si>
  <si>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</si>
  <si>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</si>
  <si>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</si>
  <si>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</si>
  <si>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</si>
  <si>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</si>
  <si>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</si>
  <si>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</si>
  <si>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</si>
  <si>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</si>
  <si>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</si>
  <si>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</si>
  <si>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</si>
  <si>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</si>
  <si>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</si>
  <si>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</si>
  <si>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</si>
  <si>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</si>
  <si>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</si>
  <si>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</si>
  <si>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</si>
  <si>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</si>
  <si>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</si>
  <si>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</si>
  <si>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</si>
  <si>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</si>
  <si>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</si>
  <si>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</si>
  <si>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</si>
  <si>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</si>
  <si>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</si>
  <si>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</si>
  <si>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</si>
  <si>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</si>
  <si>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</si>
  <si>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</si>
  <si>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</si>
  <si>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</si>
  <si>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</si>
  <si>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</si>
  <si>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</si>
  <si>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</si>
  <si>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</si>
  <si>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</si>
  <si>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</si>
  <si>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</si>
  <si>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</si>
  <si>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</si>
  <si>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</si>
  <si>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</si>
  <si>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</si>
  <si>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</si>
  <si>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</si>
  <si>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</si>
  <si>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</si>
  <si>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</si>
  <si>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</si>
  <si>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</si>
  <si>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</si>
  <si>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</si>
  <si>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</si>
  <si>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</si>
  <si>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</si>
  <si>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</si>
  <si>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</si>
  <si>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</si>
  <si>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</si>
  <si>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</si>
  <si>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</si>
  <si>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</si>
  <si>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</si>
  <si>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</si>
  <si>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</si>
  <si>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</si>
  <si>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</si>
  <si>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</si>
  <si>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2015 ACTUAL</t>
  </si>
  <si>
    <t>FY 2016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</si>
  <si>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</si>
  <si>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</si>
  <si>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</si>
  <si>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</si>
  <si>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</si>
  <si>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</si>
  <si>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</si>
  <si>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</si>
  <si>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</si>
  <si>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</si>
  <si>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</si>
  <si>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</si>
  <si>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</si>
  <si>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</si>
  <si>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</si>
  <si>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</si>
  <si>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</si>
  <si>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</si>
  <si>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</si>
  <si>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</si>
  <si>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</si>
  <si>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</si>
  <si>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</si>
  <si>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</si>
  <si>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</si>
  <si>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</si>
  <si>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</si>
  <si>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</si>
  <si>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</si>
  <si>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</si>
  <si>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</si>
  <si>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</si>
  <si>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</si>
  <si>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</si>
  <si>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</si>
  <si>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</si>
  <si>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2015 ACTUAL     </t>
  </si>
  <si>
    <t xml:space="preserve">      FY 2016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</si>
  <si>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</si>
  <si>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</si>
  <si>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</si>
  <si>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</si>
  <si>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</si>
  <si>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</si>
  <si>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</si>
  <si>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</si>
  <si>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</si>
  <si>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</si>
  <si>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</si>
  <si>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</si>
  <si>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</si>
  <si>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</si>
  <si>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</si>
  <si>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</si>
  <si>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</si>
  <si>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</si>
  <si>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</si>
  <si>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</si>
  <si>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</si>
  <si>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</si>
  <si>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</si>
  <si>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</si>
  <si>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WESTERN CONNECTICUT HEALTH NETWORK , INC.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</si>
  <si>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</si>
  <si>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</si>
  <si>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</si>
  <si>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</si>
  <si>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2014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</si>
  <si>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</si>
  <si>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</si>
  <si>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</si>
  <si>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</si>
  <si>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</si>
  <si>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</si>
  <si>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</si>
  <si>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</si>
  <si>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</si>
  <si>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</si>
  <si>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</si>
  <si>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</si>
  <si>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</si>
  <si>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</si>
  <si>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</si>
  <si>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</si>
  <si>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</si>
  <si>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</si>
  <si>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</si>
  <si>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</si>
  <si>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</si>
  <si>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</si>
  <si>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</si>
  <si>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</si>
  <si>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</si>
  <si>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</si>
  <si>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</si>
  <si>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</si>
  <si>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</si>
  <si>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</si>
  <si>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</si>
  <si>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</si>
  <si>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</si>
  <si>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</si>
  <si>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</si>
  <si>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</si>
  <si>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</si>
  <si>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</si>
  <si>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</si>
  <si>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</si>
  <si>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</si>
  <si>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</si>
  <si>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</si>
  <si>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</si>
  <si>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</si>
  <si>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</si>
  <si>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</si>
  <si>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</si>
  <si>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</si>
  <si>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</si>
  <si>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</si>
  <si>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</si>
  <si>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</si>
  <si>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</si>
  <si>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</si>
  <si>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</si>
  <si>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</si>
  <si>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</si>
  <si>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</si>
  <si>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</si>
  <si>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</si>
  <si>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</si>
  <si>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</si>
  <si>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</si>
  <si>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</si>
  <si>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</si>
  <si>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</si>
  <si>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</si>
  <si>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</si>
  <si>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</si>
  <si>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</si>
  <si>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</si>
  <si>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</si>
  <si>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</si>
  <si>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</si>
  <si>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</si>
  <si>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</si>
  <si>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</si>
  <si>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</si>
  <si>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</si>
  <si>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</si>
  <si>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</si>
  <si>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</si>
  <si>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</si>
  <si>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</si>
  <si>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</si>
  <si>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</si>
  <si>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</si>
  <si>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</si>
  <si>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</si>
  <si>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</si>
  <si>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</si>
  <si>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</si>
  <si>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</si>
  <si>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</si>
  <si>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</si>
  <si>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</si>
  <si>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</si>
  <si>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</si>
  <si>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</si>
  <si>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</si>
  <si>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</si>
  <si>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</si>
  <si>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</si>
  <si>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</si>
  <si>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</si>
  <si>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</si>
  <si>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</si>
  <si>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</si>
  <si>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</si>
  <si>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</si>
  <si>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</si>
  <si>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</si>
  <si>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</si>
  <si>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</si>
  <si>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Hospital</t>
  </si>
  <si>
    <t>Ridgefield Surgical Center</t>
  </si>
  <si>
    <t>Total Outpatient Surgical Procedures(A)</t>
  </si>
  <si>
    <t>Total Outpatient Endoscopy Procedures(B)</t>
  </si>
  <si>
    <t>Outpatient Hospital Emergency Room Visits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</si>
  <si>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</si>
  <si>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</si>
  <si>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</si>
  <si>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</si>
  <si>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</si>
  <si>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</si>
  <si>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</si>
  <si>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</si>
  <si>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</si>
  <si>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</si>
  <si>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</si>
  <si>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</si>
  <si>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</si>
  <si>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</si>
  <si>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</si>
  <si>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</si>
  <si>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</si>
  <si>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</si>
  <si>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</si>
  <si>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</si>
  <si>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</si>
  <si>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</si>
  <si>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</si>
  <si>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</si>
  <si>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</si>
  <si>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</si>
  <si>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</si>
  <si>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</si>
  <si>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</si>
  <si>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</si>
  <si>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</si>
  <si>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</si>
  <si>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</si>
  <si>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</si>
  <si>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</si>
  <si>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</si>
  <si>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</si>
  <si>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</si>
  <si>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</si>
  <si>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</si>
  <si>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</si>
  <si>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</si>
  <si>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</si>
  <si>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</si>
  <si>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</si>
  <si>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</si>
  <si>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</si>
  <si>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</si>
  <si>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</si>
  <si>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</si>
  <si>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</si>
  <si>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</si>
  <si>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</si>
  <si>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</si>
  <si>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</si>
  <si>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</si>
  <si>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</si>
  <si>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</si>
  <si>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</si>
  <si>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</si>
  <si>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</si>
  <si>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</si>
  <si>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</si>
  <si>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</si>
  <si>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</si>
  <si>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</si>
  <si>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</si>
  <si>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</si>
  <si>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</si>
  <si>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</si>
  <si>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</si>
  <si>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</si>
  <si>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</si>
  <si>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</si>
  <si>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</si>
  <si>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</si>
  <si>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</si>
  <si>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</si>
  <si>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</si>
  <si>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</si>
  <si>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</si>
  <si>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</si>
  <si>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</si>
  <si>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</si>
  <si>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</si>
  <si>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</si>
  <si>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</si>
  <si>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</si>
  <si>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</si>
  <si>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</si>
  <si>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</si>
  <si>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</si>
  <si>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</si>
  <si>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</si>
  <si>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</si>
  <si>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</si>
  <si>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</si>
  <si>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</si>
  <si>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</si>
  <si>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</si>
  <si>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</si>
  <si>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</si>
  <si>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</si>
  <si>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</si>
  <si>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</si>
  <si>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</si>
  <si>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</si>
  <si>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</si>
  <si>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</si>
  <si>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</si>
  <si>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</si>
  <si>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</si>
  <si>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</si>
  <si>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</si>
  <si>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</si>
  <si>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</si>
  <si>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</si>
  <si>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</si>
  <si>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</si>
  <si>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</si>
  <si>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</si>
  <si>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</si>
  <si>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</si>
  <si>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</si>
  <si>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</si>
  <si>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</si>
  <si>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</si>
  <si>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</si>
  <si>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</si>
  <si>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</si>
  <si>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</si>
  <si>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</si>
  <si>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</si>
  <si>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</si>
  <si>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</si>
  <si>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</si>
  <si>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</si>
  <si>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</si>
  <si>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</si>
  <si>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</si>
  <si>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</si>
  <si>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</si>
  <si>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</si>
  <si>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</si>
  <si>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2016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</si>
  <si>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</si>
  <si>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</si>
  <si>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2015</t>
    </r>
  </si>
  <si>
    <r>
      <t xml:space="preserve">ACTUAL            </t>
    </r>
    <r>
      <rPr>
        <b/>
        <u/>
        <sz val="12"/>
        <rFont val="Arial"/>
        <family val="2"/>
      </rPr>
      <t>FY 2016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</si>
  <si>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</si>
  <si>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</si>
  <si>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</si>
  <si>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</si>
  <si>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</si>
  <si>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</si>
  <si>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</si>
  <si>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</si>
  <si>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</si>
  <si>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</si>
  <si>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</si>
  <si>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</si>
  <si>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</si>
  <si>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</si>
  <si>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</si>
  <si>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</si>
  <si>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</si>
  <si>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</si>
  <si>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</si>
  <si>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</si>
  <si>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</si>
  <si>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</si>
  <si>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</si>
  <si>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</si>
  <si>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</si>
  <si>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</si>
  <si>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</si>
  <si>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</si>
  <si>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</si>
  <si>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</si>
  <si>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</si>
  <si>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</si>
  <si>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</si>
  <si>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</si>
  <si>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</si>
  <si>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</si>
  <si>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</si>
  <si>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</si>
  <si>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</si>
  <si>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</si>
  <si>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</si>
  <si>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</si>
  <si>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</si>
  <si>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</si>
  <si>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</si>
  <si>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</si>
  <si>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</si>
  <si>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</si>
  <si>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</si>
  <si>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</si>
  <si>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</si>
  <si>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</si>
  <si>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</si>
  <si>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</si>
  <si>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</si>
  <si>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</si>
  <si>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</si>
  <si>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</si>
  <si>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</si>
  <si>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</si>
  <si>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</si>
  <si>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</si>
  <si>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</si>
  <si>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</si>
  <si>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</si>
  <si>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</si>
  <si>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</si>
  <si>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</si>
  <si>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</si>
  <si>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</si>
  <si>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</si>
  <si>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</si>
  <si>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</si>
  <si>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</si>
  <si>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</si>
  <si>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</si>
  <si>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</si>
  <si>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</si>
  <si>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</si>
  <si>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</si>
  <si>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</si>
  <si>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</si>
  <si>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</si>
  <si>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</si>
  <si>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</si>
  <si>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</si>
  <si>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</si>
  <si>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</si>
  <si>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</si>
  <si>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</si>
  <si>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</si>
  <si>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</si>
  <si>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</si>
  <si>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</si>
  <si>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</si>
  <si>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</si>
  <si>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</si>
  <si>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2016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</si>
  <si>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</si>
  <si>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</si>
  <si>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</si>
  <si>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</si>
  <si>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</si>
  <si>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</si>
  <si>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</si>
  <si>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</si>
  <si>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</si>
  <si>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</si>
  <si>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</si>
  <si>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</si>
  <si>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</si>
  <si>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</si>
  <si>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</si>
  <si>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</si>
  <si>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</si>
  <si>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</si>
  <si>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</si>
  <si>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</si>
  <si>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</si>
  <si>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</si>
  <si>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</si>
  <si>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</si>
  <si>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</si>
  <si>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</si>
  <si>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</si>
  <si>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</si>
  <si>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</si>
  <si>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</si>
  <si>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</si>
  <si>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</si>
  <si>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</si>
  <si>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</si>
  <si>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</si>
  <si>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</si>
  <si>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</si>
  <si>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</si>
  <si>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</si>
  <si>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</si>
  <si>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</si>
  <si>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</si>
  <si>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</si>
  <si>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</si>
  <si>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</si>
  <si>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</si>
  <si>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</si>
  <si>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</si>
  <si>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</si>
  <si>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</si>
  <si>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</si>
  <si>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</si>
  <si>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</si>
  <si>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</si>
  <si>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</si>
  <si>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2014</t>
    </r>
  </si>
  <si>
    <r>
      <t xml:space="preserve">ACTUAL          </t>
    </r>
    <r>
      <rPr>
        <b/>
        <u/>
        <sz val="14"/>
        <rFont val="Arial"/>
        <family val="2"/>
      </rPr>
      <t>FY 2015</t>
    </r>
  </si>
  <si>
    <r>
      <t xml:space="preserve">ACTUAL          </t>
    </r>
    <r>
      <rPr>
        <b/>
        <u/>
        <sz val="14"/>
        <rFont val="Arial"/>
        <family val="2"/>
      </rPr>
      <t>FY 2016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</si>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</sst>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5" xfId="6" applyBorder="1" applyAlignment="1"/>
    <xf numFmtId="0" fontId="2" fillId="0" borderId="35" xfId="6" applyFont="1" applyBorder="1" applyAlignment="1">
      <alignment horizontal="centerContinuous"/>
    </xf>
    <xf numFmtId="0" fontId="1" fillId="0" borderId="35" xfId="6" applyFont="1" applyBorder="1" applyAlignment="1">
      <alignment horizontal="centerContinuous"/>
    </xf>
    <xf numFmtId="0" fontId="1" fillId="0" borderId="35" xfId="6" applyFont="1" applyBorder="1" applyAlignment="1"/>
    <xf numFmtId="164" fontId="2" fillId="0" borderId="35" xfId="6" applyNumberFormat="1" applyFont="1" applyBorder="1" applyAlignment="1">
      <alignment horizontal="center"/>
    </xf>
    <xf numFmtId="0" fontId="1" fillId="0" borderId="35" xfId="6" applyFill="1" applyBorder="1" applyAlignment="1"/>
    <xf numFmtId="0" fontId="2" fillId="0" borderId="35" xfId="6" applyFont="1" applyFill="1" applyBorder="1" applyAlignment="1">
      <alignment horizontal="left"/>
    </xf>
    <xf numFmtId="0" fontId="2" fillId="0" borderId="35" xfId="6" applyFont="1" applyFill="1" applyBorder="1" applyAlignment="1">
      <alignment horizontal="centerContinuous"/>
    </xf>
    <xf numFmtId="164" fontId="3" fillId="0" borderId="35" xfId="6" applyNumberFormat="1" applyFont="1" applyBorder="1" applyAlignment="1">
      <alignment horizontal="center"/>
    </xf>
    <xf numFmtId="0" fontId="2" fillId="0" borderId="35" xfId="6" applyFont="1" applyFill="1" applyBorder="1" applyAlignment="1">
      <alignment horizontal="center"/>
    </xf>
    <xf numFmtId="0" fontId="1" fillId="0" borderId="35" xfId="6" applyFill="1" applyBorder="1" applyAlignment="1">
      <alignment horizontal="center"/>
    </xf>
    <xf numFmtId="0" fontId="4" fillId="0" borderId="35" xfId="6" applyFont="1" applyFill="1" applyBorder="1" applyAlignment="1">
      <alignment horizontal="center"/>
    </xf>
    <xf numFmtId="164" fontId="5" fillId="0" borderId="35" xfId="6" applyNumberFormat="1" applyFont="1" applyBorder="1" applyAlignment="1">
      <alignment horizontal="center" wrapText="1"/>
    </xf>
    <xf numFmtId="0" fontId="5" fillId="0" borderId="35" xfId="6" applyFont="1" applyFill="1" applyBorder="1" applyAlignment="1">
      <alignment horizontal="center"/>
    </xf>
    <xf numFmtId="0" fontId="4" fillId="0" borderId="35" xfId="6" applyFont="1" applyFill="1" applyBorder="1" applyAlignment="1">
      <alignment horizontal="left"/>
    </xf>
    <xf numFmtId="0" fontId="1" fillId="0" borderId="35" xfId="6" applyFont="1" applyFill="1" applyBorder="1" applyAlignment="1">
      <alignment horizontal="center"/>
    </xf>
    <xf numFmtId="0" fontId="1" fillId="0" borderId="35" xfId="6" applyFont="1" applyFill="1" applyBorder="1" applyAlignment="1"/>
    <xf numFmtId="0" fontId="1" fillId="0" borderId="35" xfId="6" applyFont="1" applyFill="1" applyBorder="1" applyAlignment="1">
      <alignment horizontal="center" wrapText="1"/>
    </xf>
    <xf numFmtId="0" fontId="3" fillId="0" borderId="35" xfId="6" applyFont="1" applyFill="1" applyBorder="1" applyAlignment="1">
      <alignment horizontal="center"/>
    </xf>
    <xf numFmtId="0" fontId="1" fillId="0" borderId="35" xfId="6" applyFont="1" applyBorder="1" applyAlignment="1">
      <alignment horizontal="center"/>
    </xf>
    <xf numFmtId="0" fontId="1" fillId="0" borderId="35" xfId="6" applyFont="1" applyBorder="1" applyAlignment="1">
      <alignment horizontal="left"/>
    </xf>
    <xf numFmtId="5" fontId="1" fillId="0" borderId="35" xfId="6" applyNumberFormat="1" applyFont="1" applyBorder="1" applyAlignment="1">
      <alignment horizontal="right"/>
    </xf>
    <xf numFmtId="9" fontId="1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center"/>
    </xf>
    <xf numFmtId="0" fontId="2" fillId="0" borderId="35" xfId="6" applyFont="1" applyBorder="1" applyAlignment="1">
      <alignment horizontal="left"/>
    </xf>
    <xf numFmtId="5" fontId="3" fillId="0" borderId="35" xfId="6" applyNumberFormat="1" applyFont="1" applyBorder="1" applyAlignment="1">
      <alignment horizontal="right"/>
    </xf>
    <xf numFmtId="9" fontId="3" fillId="0" borderId="35" xfId="6" applyNumberFormat="1" applyFont="1" applyBorder="1" applyAlignment="1">
      <alignment horizontal="right"/>
    </xf>
    <xf numFmtId="37" fontId="1" fillId="0" borderId="35" xfId="6" applyNumberFormat="1" applyFont="1" applyBorder="1" applyAlignment="1">
      <alignment horizontal="right"/>
    </xf>
    <xf numFmtId="0" fontId="3" fillId="0" borderId="35" xfId="6" applyFont="1" applyBorder="1" applyAlignment="1">
      <alignment horizontal="center"/>
    </xf>
    <xf numFmtId="0" fontId="5" fillId="0" borderId="35" xfId="6" applyFont="1" applyBorder="1" applyAlignment="1">
      <alignment horizontal="left"/>
    </xf>
    <xf numFmtId="37" fontId="1" fillId="0" borderId="35" xfId="6" applyNumberFormat="1" applyFont="1" applyBorder="1" applyAlignment="1"/>
    <xf numFmtId="0" fontId="1" fillId="0" borderId="35" xfId="6" applyBorder="1" applyAlignment="1">
      <alignment horizontal="left"/>
    </xf>
    <xf numFmtId="6" fontId="1" fillId="0" borderId="35" xfId="6" applyNumberFormat="1" applyBorder="1" applyAlignment="1">
      <alignment horizontal="right"/>
    </xf>
    <xf numFmtId="9" fontId="1" fillId="0" borderId="35" xfId="6" applyNumberFormat="1" applyBorder="1" applyAlignment="1">
      <alignment horizontal="right"/>
    </xf>
    <xf numFmtId="0" fontId="2" fillId="0" borderId="35" xfId="6" applyFont="1" applyBorder="1" applyAlignment="1">
      <alignment horizontal="center"/>
    </xf>
    <xf numFmtId="37" fontId="2" fillId="0" borderId="35" xfId="6" applyNumberFormat="1" applyFont="1" applyBorder="1" applyAlignment="1">
      <alignment horizontal="centerContinuous"/>
    </xf>
    <xf numFmtId="37" fontId="1" fillId="0" borderId="35" xfId="6" applyNumberFormat="1" applyFont="1" applyBorder="1" applyAlignment="1">
      <alignment horizontal="centerContinuous"/>
    </xf>
    <xf numFmtId="37" fontId="4" fillId="0" borderId="35" xfId="6" applyNumberFormat="1" applyFont="1" applyFill="1" applyBorder="1" applyAlignment="1">
      <alignment horizontal="center"/>
    </xf>
    <xf numFmtId="37" fontId="1" fillId="0" borderId="35" xfId="6" applyNumberFormat="1" applyFont="1" applyFill="1" applyBorder="1" applyAlignment="1"/>
    <xf numFmtId="37" fontId="1" fillId="0" borderId="35" xfId="6" applyNumberFormat="1" applyFont="1" applyFill="1" applyBorder="1" applyAlignment="1">
      <alignment horizontal="center"/>
    </xf>
    <xf numFmtId="0" fontId="4" fillId="0" borderId="35" xfId="6" applyFont="1" applyBorder="1" applyAlignment="1">
      <alignment horizontal="left"/>
    </xf>
    <xf numFmtId="37" fontId="3" fillId="0" borderId="35" xfId="6" applyNumberFormat="1" applyFont="1" applyBorder="1" applyAlignment="1">
      <alignment horizontal="right"/>
    </xf>
    <xf numFmtId="0" fontId="6" fillId="0" borderId="35" xfId="6" applyFont="1" applyFill="1" applyBorder="1" applyAlignment="1">
      <alignment horizontal="center"/>
    </xf>
    <xf numFmtId="0" fontId="6" fillId="0" borderId="35" xfId="6" applyFont="1" applyFill="1" applyBorder="1" applyAlignment="1">
      <alignment horizontal="left"/>
    </xf>
    <xf numFmtId="9" fontId="6" fillId="0" borderId="35" xfId="6" applyNumberFormat="1" applyFont="1" applyFill="1" applyBorder="1" applyAlignment="1">
      <alignment horizontal="right"/>
    </xf>
    <xf numFmtId="0" fontId="7" fillId="0" borderId="35" xfId="6" applyFont="1" applyBorder="1" applyAlignment="1"/>
    <xf numFmtId="0" fontId="3" fillId="0" borderId="35" xfId="6" applyFont="1" applyBorder="1"/>
    <xf numFmtId="0" fontId="6" fillId="0" borderId="35" xfId="6" applyFont="1" applyBorder="1" applyAlignment="1">
      <alignment horizontal="left"/>
    </xf>
    <xf numFmtId="37" fontId="6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left" wrapText="1"/>
    </xf>
    <xf numFmtId="5" fontId="6" fillId="0" borderId="35" xfId="6" applyNumberFormat="1" applyFont="1" applyBorder="1" applyAlignment="1">
      <alignment horizontal="right"/>
    </xf>
    <xf numFmtId="165" fontId="6" fillId="0" borderId="35" xfId="6" applyNumberFormat="1" applyFont="1" applyBorder="1" applyAlignment="1">
      <alignment horizontal="right"/>
    </xf>
    <xf numFmtId="165" fontId="3" fillId="0" borderId="35" xfId="6" applyNumberFormat="1" applyFont="1" applyBorder="1" applyAlignment="1">
      <alignment horizontal="right"/>
    </xf>
    <xf numFmtId="0" fontId="1" fillId="0" borderId="35" xfId="6" applyFont="1" applyBorder="1" applyAlignment="1">
      <alignment horizontal="right"/>
    </xf>
    <xf numFmtId="0" fontId="6" fillId="0" borderId="35" xfId="6" applyFont="1" applyBorder="1" applyAlignment="1"/>
    <xf numFmtId="0" fontId="8" fillId="0" borderId="0" xfId="7" applyBorder="1" applyAlignment="1"/>
    <xf numFmtId="164" fontId="3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right"/>
    </xf>
    <xf numFmtId="0" fontId="3" fillId="0" borderId="35" xfId="7" applyFont="1" applyBorder="1" applyAlignment="1"/>
    <xf numFmtId="164" fontId="3" fillId="0" borderId="35" xfId="7" applyNumberFormat="1" applyFont="1" applyBorder="1" applyAlignment="1">
      <alignment horizontal="center"/>
    </xf>
    <xf numFmtId="0" fontId="5" fillId="0" borderId="35" xfId="7" applyFont="1" applyBorder="1" applyAlignment="1">
      <alignment horizontal="right"/>
    </xf>
    <xf numFmtId="0" fontId="5" fillId="0" borderId="35" xfId="7" applyFont="1" applyBorder="1" applyAlignment="1"/>
    <xf numFmtId="164" fontId="5" fillId="0" borderId="35" xfId="7" applyNumberFormat="1" applyFont="1" applyBorder="1" applyAlignment="1">
      <alignment horizontal="center" wrapText="1"/>
    </xf>
    <xf numFmtId="6" fontId="5" fillId="0" borderId="35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6" xfId="7" applyFill="1" applyBorder="1" applyAlignment="1">
      <alignment horizontal="center"/>
    </xf>
    <xf numFmtId="0" fontId="6" fillId="0" borderId="35" xfId="7" applyFont="1" applyBorder="1" applyAlignment="1"/>
    <xf numFmtId="164" fontId="6" fillId="0" borderId="35" xfId="7" applyNumberFormat="1" applyFont="1" applyFill="1" applyBorder="1" applyAlignment="1">
      <alignment horizontal="center"/>
    </xf>
    <xf numFmtId="6" fontId="3" fillId="0" borderId="35" xfId="7" applyNumberFormat="1" applyFont="1" applyBorder="1" applyAlignment="1">
      <alignment horizontal="center"/>
    </xf>
    <xf numFmtId="0" fontId="8" fillId="0" borderId="35" xfId="7" applyBorder="1" applyAlignment="1"/>
    <xf numFmtId="0" fontId="3" fillId="0" borderId="35" xfId="7" applyFont="1" applyBorder="1" applyAlignment="1">
      <alignment horizontal="center"/>
    </xf>
    <xf numFmtId="0" fontId="5" fillId="0" borderId="35" xfId="7" applyFont="1" applyBorder="1" applyAlignment="1">
      <alignment horizontal="left"/>
    </xf>
    <xf numFmtId="6" fontId="6" fillId="0" borderId="35" xfId="7" applyNumberFormat="1" applyFont="1" applyBorder="1" applyAlignment="1">
      <alignment horizontal="center"/>
    </xf>
    <xf numFmtId="0" fontId="6" fillId="0" borderId="35" xfId="7" applyFont="1" applyBorder="1" applyAlignment="1">
      <alignment horizontal="center"/>
    </xf>
    <xf numFmtId="0" fontId="6" fillId="0" borderId="35" xfId="7" applyFont="1" applyBorder="1" applyAlignment="1">
      <alignment horizontal="left"/>
    </xf>
    <xf numFmtId="5" fontId="6" fillId="0" borderId="35" xfId="7" applyNumberFormat="1" applyFont="1" applyBorder="1" applyAlignment="1">
      <alignment horizontal="right"/>
    </xf>
    <xf numFmtId="9" fontId="6" fillId="0" borderId="35" xfId="7" applyNumberFormat="1" applyFont="1" applyBorder="1" applyAlignment="1">
      <alignment horizontal="right"/>
    </xf>
    <xf numFmtId="0" fontId="3" fillId="0" borderId="35" xfId="7" applyFont="1" applyBorder="1" applyAlignment="1">
      <alignment horizontal="left"/>
    </xf>
    <xf numFmtId="5" fontId="3" fillId="0" borderId="35" xfId="7" applyNumberFormat="1" applyFont="1" applyBorder="1" applyAlignment="1">
      <alignment horizontal="right"/>
    </xf>
    <xf numFmtId="9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 wrapText="1"/>
    </xf>
    <xf numFmtId="0" fontId="6" fillId="0" borderId="35" xfId="7" applyFont="1" applyFill="1" applyBorder="1" applyAlignment="1">
      <alignment horizontal="left" wrapText="1"/>
    </xf>
    <xf numFmtId="0" fontId="3" fillId="0" borderId="35" xfId="7" applyFont="1" applyFill="1" applyBorder="1" applyAlignment="1">
      <alignment horizontal="center"/>
    </xf>
    <xf numFmtId="0" fontId="6" fillId="0" borderId="35" xfId="7" applyFont="1" applyBorder="1" applyAlignment="1">
      <alignment horizontal="right"/>
    </xf>
    <xf numFmtId="0" fontId="6" fillId="0" borderId="35" xfId="7" applyFont="1" applyFill="1" applyBorder="1" applyAlignment="1">
      <alignment horizontal="center"/>
    </xf>
    <xf numFmtId="37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/>
    </xf>
    <xf numFmtId="165" fontId="3" fillId="0" borderId="35" xfId="7" applyNumberFormat="1" applyFont="1" applyBorder="1" applyAlignment="1">
      <alignment horizontal="right"/>
    </xf>
    <xf numFmtId="42" fontId="6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16" xfId="6" applyNumberFormat="1" applyFont="1" applyBorder="1" applyAlignment="1">
      <alignment horizontal="center"/>
    </xf>
    <xf numFmtId="164" fontId="5" fillId="0" borderId="16" xfId="6" applyNumberFormat="1" applyFont="1" applyBorder="1" applyAlignment="1">
      <alignment horizontal="left" wrapText="1"/>
    </xf>
    <xf numFmtId="5" fontId="6" fillId="0" borderId="16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center" vertical="center"/>
    </xf>
    <xf numFmtId="43" fontId="6" fillId="0" borderId="16" xfId="1" applyFont="1" applyBorder="1" applyProtection="1">
      <protection locked="0"/>
    </xf>
    <xf numFmtId="164" fontId="3" fillId="0" borderId="16" xfId="6" applyNumberFormat="1" applyFont="1" applyBorder="1" applyAlignment="1">
      <alignment horizontal="center" vertical="center"/>
    </xf>
    <xf numFmtId="164" fontId="3" fillId="0" borderId="16" xfId="6" applyNumberFormat="1" applyFont="1" applyBorder="1" applyAlignment="1">
      <alignment horizontal="left" wrapText="1"/>
    </xf>
    <xf numFmtId="5" fontId="3" fillId="0" borderId="16" xfId="6" applyNumberFormat="1" applyFont="1" applyBorder="1" applyAlignment="1">
      <alignment horizontal="right"/>
    </xf>
    <xf numFmtId="9" fontId="3" fillId="0" borderId="16" xfId="6" applyNumberFormat="1" applyFont="1" applyBorder="1" applyAlignment="1">
      <alignment horizontal="right"/>
    </xf>
    <xf numFmtId="164" fontId="3" fillId="0" borderId="16" xfId="6" applyNumberFormat="1" applyFont="1" applyBorder="1" applyAlignment="1">
      <alignment horizontal="right"/>
    </xf>
    <xf numFmtId="43" fontId="3" fillId="0" borderId="16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7" xfId="6" applyNumberFormat="1" applyFont="1" applyFill="1" applyBorder="1" applyAlignment="1">
      <alignment horizontal="center"/>
    </xf>
    <xf numFmtId="164" fontId="3" fillId="0" borderId="18" xfId="6" applyNumberFormat="1" applyFont="1" applyBorder="1" applyAlignment="1">
      <alignment horizontal="left"/>
    </xf>
    <xf numFmtId="5" fontId="3" fillId="0" borderId="17" xfId="6" applyNumberFormat="1" applyFont="1" applyBorder="1" applyAlignment="1">
      <alignment horizontal="right"/>
    </xf>
    <xf numFmtId="5" fontId="3" fillId="0" borderId="19" xfId="6" applyNumberFormat="1" applyFont="1" applyBorder="1" applyAlignment="1">
      <alignment horizontal="right"/>
    </xf>
    <xf numFmtId="9" fontId="3" fillId="0" borderId="19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right"/>
    </xf>
    <xf numFmtId="164" fontId="3" fillId="0" borderId="19" xfId="6" applyNumberFormat="1" applyFont="1" applyFill="1" applyBorder="1" applyAlignment="1">
      <alignment horizontal="center"/>
    </xf>
    <xf numFmtId="164" fontId="3" fillId="0" borderId="17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20" xfId="7" applyFont="1" applyBorder="1" applyAlignment="1">
      <alignment horizontal="center"/>
    </xf>
    <xf numFmtId="0" fontId="6" fillId="0" borderId="0" xfId="7" applyFont="1" applyBorder="1"/>
    <xf numFmtId="164" fontId="3" fillId="0" borderId="16" xfId="7" applyNumberFormat="1" applyFont="1" applyBorder="1" applyAlignment="1">
      <alignment horizontal="center"/>
    </xf>
    <xf numFmtId="164" fontId="3" fillId="0" borderId="23" xfId="7" applyNumberFormat="1" applyFont="1" applyBorder="1" applyAlignment="1">
      <alignment horizontal="center"/>
    </xf>
    <xf numFmtId="164" fontId="3" fillId="0" borderId="23" xfId="7" applyNumberFormat="1" applyFont="1" applyBorder="1" applyAlignment="1"/>
    <xf numFmtId="0" fontId="3" fillId="0" borderId="23" xfId="7" applyFont="1" applyBorder="1" applyAlignment="1">
      <alignment horizontal="center" wrapText="1"/>
    </xf>
    <xf numFmtId="164" fontId="3" fillId="0" borderId="23" xfId="7" applyNumberFormat="1" applyFont="1" applyBorder="1" applyAlignment="1">
      <alignment horizontal="center" wrapText="1"/>
    </xf>
    <xf numFmtId="164" fontId="5" fillId="0" borderId="23" xfId="7" applyNumberFormat="1" applyFont="1" applyBorder="1" applyAlignment="1">
      <alignment horizontal="center"/>
    </xf>
    <xf numFmtId="164" fontId="5" fillId="0" borderId="23" xfId="7" applyNumberFormat="1" applyFont="1" applyBorder="1" applyAlignment="1">
      <alignment horizontal="left"/>
    </xf>
    <xf numFmtId="164" fontId="5" fillId="0" borderId="23" xfId="7" applyNumberFormat="1" applyFont="1" applyBorder="1" applyAlignment="1">
      <alignment horizontal="center" wrapText="1"/>
    </xf>
    <xf numFmtId="0" fontId="5" fillId="0" borderId="23" xfId="7" applyFont="1" applyBorder="1" applyAlignment="1">
      <alignment horizontal="center" wrapText="1"/>
    </xf>
    <xf numFmtId="164" fontId="6" fillId="0" borderId="16" xfId="7" applyNumberFormat="1" applyFont="1" applyBorder="1" applyAlignment="1">
      <alignment horizontal="center"/>
    </xf>
    <xf numFmtId="0" fontId="5" fillId="0" borderId="16" xfId="7" applyNumberFormat="1" applyFont="1" applyBorder="1" applyAlignment="1">
      <alignment horizontal="left" wrapText="1"/>
    </xf>
    <xf numFmtId="164" fontId="6" fillId="0" borderId="16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horizontal="right"/>
    </xf>
    <xf numFmtId="0" fontId="6" fillId="0" borderId="16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16" xfId="7" applyFont="1" applyBorder="1" applyAlignment="1">
      <alignment horizontal="center"/>
    </xf>
    <xf numFmtId="0" fontId="5" fillId="0" borderId="16" xfId="7" applyNumberFormat="1" applyFont="1" applyBorder="1"/>
    <xf numFmtId="5" fontId="6" fillId="0" borderId="16" xfId="7" applyNumberFormat="1" applyFont="1" applyBorder="1" applyAlignment="1">
      <alignment horizontal="right"/>
    </xf>
    <xf numFmtId="5" fontId="3" fillId="0" borderId="16" xfId="7" applyNumberFormat="1" applyFont="1" applyBorder="1" applyAlignment="1">
      <alignment horizontal="right"/>
    </xf>
    <xf numFmtId="9" fontId="3" fillId="0" borderId="16" xfId="7" applyNumberFormat="1" applyFont="1" applyBorder="1" applyAlignment="1">
      <alignment horizontal="right"/>
    </xf>
    <xf numFmtId="0" fontId="6" fillId="0" borderId="16" xfId="2" applyNumberFormat="1" applyFont="1" applyBorder="1" applyProtection="1">
      <protection locked="0"/>
    </xf>
    <xf numFmtId="9" fontId="6" fillId="0" borderId="16" xfId="7" applyNumberFormat="1" applyFont="1" applyBorder="1" applyAlignment="1">
      <alignment horizontal="right"/>
    </xf>
    <xf numFmtId="0" fontId="3" fillId="0" borderId="16" xfId="7" applyNumberFormat="1" applyFont="1" applyBorder="1"/>
    <xf numFmtId="43" fontId="6" fillId="0" borderId="16" xfId="2" applyFont="1" applyBorder="1" applyProtection="1">
      <protection locked="0"/>
    </xf>
    <xf numFmtId="164" fontId="6" fillId="0" borderId="16" xfId="7" applyNumberFormat="1" applyFont="1" applyFill="1" applyBorder="1" applyAlignment="1">
      <alignment horizontal="center"/>
    </xf>
    <xf numFmtId="3" fontId="3" fillId="0" borderId="16" xfId="7" applyNumberFormat="1" applyFont="1" applyBorder="1" applyAlignment="1" applyProtection="1"/>
    <xf numFmtId="9" fontId="6" fillId="0" borderId="16" xfId="9" applyFont="1" applyBorder="1" applyAlignment="1">
      <alignment horizontal="right"/>
    </xf>
    <xf numFmtId="0" fontId="3" fillId="0" borderId="16" xfId="7" applyNumberFormat="1" applyFont="1" applyBorder="1" applyAlignment="1">
      <alignment horizontal="left"/>
    </xf>
    <xf numFmtId="164" fontId="9" fillId="0" borderId="16" xfId="7" applyNumberFormat="1" applyFont="1" applyBorder="1" applyAlignment="1">
      <alignment horizontal="center"/>
    </xf>
    <xf numFmtId="0" fontId="6" fillId="0" borderId="16" xfId="7" applyFont="1" applyBorder="1"/>
    <xf numFmtId="3" fontId="6" fillId="0" borderId="16" xfId="7" applyNumberFormat="1" applyFont="1" applyBorder="1" applyAlignment="1" applyProtection="1"/>
    <xf numFmtId="0" fontId="8" fillId="0" borderId="16" xfId="7" applyBorder="1"/>
    <xf numFmtId="0" fontId="6" fillId="0" borderId="0" xfId="7" applyFont="1" applyBorder="1" applyAlignment="1">
      <alignment horizontal="right"/>
    </xf>
    <xf numFmtId="0" fontId="1" fillId="0" borderId="35" xfId="7" applyFont="1" applyBorder="1" applyAlignment="1">
      <alignment horizontal="center"/>
    </xf>
    <xf numFmtId="0" fontId="2" fillId="0" borderId="35" xfId="7" applyFont="1" applyBorder="1" applyAlignment="1">
      <alignment horizontal="centerContinuous"/>
    </xf>
    <xf numFmtId="0" fontId="1" fillId="0" borderId="35" xfId="7" applyFont="1" applyBorder="1" applyAlignment="1">
      <alignment horizontal="centerContinuous"/>
    </xf>
    <xf numFmtId="0" fontId="1" fillId="0" borderId="35" xfId="7" applyFont="1" applyBorder="1" applyAlignment="1"/>
    <xf numFmtId="0" fontId="2" fillId="0" borderId="35" xfId="7" applyFont="1" applyBorder="1" applyAlignment="1">
      <alignment horizontal="center"/>
    </xf>
    <xf numFmtId="164" fontId="2" fillId="0" borderId="35" xfId="7" applyNumberFormat="1" applyFont="1" applyBorder="1" applyAlignment="1">
      <alignment horizontal="center"/>
    </xf>
    <xf numFmtId="0" fontId="2" fillId="0" borderId="35" xfId="7" applyFont="1" applyFill="1" applyBorder="1" applyAlignment="1">
      <alignment horizontal="center"/>
    </xf>
    <xf numFmtId="0" fontId="2" fillId="0" borderId="35" xfId="7" applyFont="1" applyFill="1" applyBorder="1" applyAlignment="1">
      <alignment horizontal="centerContinuous"/>
    </xf>
    <xf numFmtId="0" fontId="4" fillId="0" borderId="35" xfId="7" applyFont="1" applyFill="1" applyBorder="1" applyAlignment="1">
      <alignment horizontal="center"/>
    </xf>
    <xf numFmtId="0" fontId="4" fillId="0" borderId="35" xfId="7" applyFont="1" applyFill="1" applyBorder="1" applyAlignment="1">
      <alignment horizontal="left"/>
    </xf>
    <xf numFmtId="5" fontId="1" fillId="0" borderId="35" xfId="7" applyNumberFormat="1" applyFont="1" applyBorder="1" applyAlignment="1"/>
    <xf numFmtId="0" fontId="6" fillId="0" borderId="32" xfId="7" applyFont="1" applyFill="1" applyBorder="1" applyAlignment="1">
      <alignment horizontal="left"/>
    </xf>
    <xf numFmtId="37" fontId="6" fillId="0" borderId="35" xfId="7" applyNumberFormat="1" applyFont="1" applyBorder="1" applyAlignment="1">
      <alignment horizontal="right"/>
    </xf>
    <xf numFmtId="0" fontId="6" fillId="0" borderId="32" xfId="7" applyFont="1" applyBorder="1" applyAlignment="1">
      <alignment horizontal="left"/>
    </xf>
    <xf numFmtId="166" fontId="6" fillId="0" borderId="35" xfId="7" applyNumberFormat="1" applyFont="1" applyBorder="1" applyAlignment="1">
      <alignment horizontal="right"/>
    </xf>
    <xf numFmtId="166" fontId="3" fillId="0" borderId="35" xfId="7" applyNumberFormat="1" applyFont="1" applyBorder="1" applyAlignment="1">
      <alignment horizontal="right"/>
    </xf>
    <xf numFmtId="10" fontId="6" fillId="0" borderId="35" xfId="7" applyNumberFormat="1" applyFont="1" applyBorder="1" applyAlignment="1">
      <alignment horizontal="right"/>
    </xf>
    <xf numFmtId="0" fontId="8" fillId="0" borderId="35" xfId="7" applyBorder="1"/>
    <xf numFmtId="0" fontId="4" fillId="0" borderId="35" xfId="7" applyFont="1" applyBorder="1" applyAlignment="1">
      <alignment horizontal="left"/>
    </xf>
    <xf numFmtId="0" fontId="1" fillId="0" borderId="35" xfId="7" applyFont="1" applyBorder="1" applyAlignment="1">
      <alignment horizontal="left"/>
    </xf>
    <xf numFmtId="167" fontId="6" fillId="0" borderId="35" xfId="7" applyNumberFormat="1" applyFont="1" applyBorder="1" applyAlignment="1">
      <alignment horizontal="right"/>
    </xf>
    <xf numFmtId="0" fontId="2" fillId="0" borderId="35" xfId="7" applyFont="1" applyBorder="1" applyAlignment="1">
      <alignment horizontal="left"/>
    </xf>
    <xf numFmtId="43" fontId="3" fillId="0" borderId="35" xfId="7" applyNumberFormat="1" applyFont="1" applyBorder="1" applyAlignment="1">
      <alignment horizontal="right"/>
    </xf>
    <xf numFmtId="5" fontId="1" fillId="0" borderId="35" xfId="7" applyNumberFormat="1" applyFont="1" applyBorder="1" applyAlignment="1">
      <alignment horizontal="right"/>
    </xf>
    <xf numFmtId="39" fontId="3" fillId="0" borderId="35" xfId="7" applyNumberFormat="1" applyFont="1" applyBorder="1" applyAlignment="1">
      <alignment horizontal="right"/>
    </xf>
    <xf numFmtId="4" fontId="3" fillId="0" borderId="35" xfId="7" applyNumberFormat="1" applyFont="1" applyBorder="1" applyAlignment="1">
      <alignment horizontal="right"/>
    </xf>
    <xf numFmtId="165" fontId="6" fillId="0" borderId="35" xfId="7" applyNumberFormat="1" applyFont="1" applyFill="1" applyBorder="1" applyAlignment="1">
      <alignment horizontal="right"/>
    </xf>
    <xf numFmtId="0" fontId="10" fillId="0" borderId="35" xfId="7" applyFont="1" applyBorder="1" applyAlignment="1">
      <alignment horizontal="left"/>
    </xf>
    <xf numFmtId="165" fontId="6" fillId="0" borderId="35" xfId="7" applyNumberFormat="1" applyFont="1" applyBorder="1" applyAlignment="1">
      <alignment horizontal="right"/>
    </xf>
    <xf numFmtId="167" fontId="3" fillId="0" borderId="35" xfId="7" applyNumberFormat="1" applyFont="1" applyFill="1" applyBorder="1" applyAlignment="1">
      <alignment horizontal="right"/>
    </xf>
    <xf numFmtId="164" fontId="3" fillId="0" borderId="35" xfId="7" applyNumberFormat="1" applyFont="1" applyBorder="1" applyAlignment="1">
      <alignment horizontal="right"/>
    </xf>
    <xf numFmtId="5" fontId="6" fillId="0" borderId="35" xfId="7" applyNumberFormat="1" applyFont="1" applyBorder="1" applyAlignment="1"/>
    <xf numFmtId="0" fontId="1" fillId="0" borderId="32" xfId="7" applyFont="1" applyBorder="1" applyAlignment="1">
      <alignment horizontal="left"/>
    </xf>
    <xf numFmtId="37" fontId="6" fillId="0" borderId="35" xfId="7" applyNumberFormat="1" applyFont="1" applyBorder="1" applyAlignment="1"/>
    <xf numFmtId="0" fontId="2" fillId="0" borderId="35" xfId="7" applyFont="1" applyFill="1" applyBorder="1" applyAlignment="1">
      <alignment horizontal="left"/>
    </xf>
    <xf numFmtId="5" fontId="3" fillId="0" borderId="35" xfId="7" applyNumberFormat="1" applyFont="1" applyBorder="1" applyAlignment="1"/>
    <xf numFmtId="165" fontId="3" fillId="0" borderId="35" xfId="7" applyNumberFormat="1" applyFont="1" applyBorder="1" applyAlignment="1"/>
    <xf numFmtId="0" fontId="5" fillId="0" borderId="35" xfId="7" applyFont="1" applyFill="1" applyBorder="1" applyAlignment="1">
      <alignment horizontal="left"/>
    </xf>
    <xf numFmtId="0" fontId="1" fillId="0" borderId="35" xfId="7" applyFont="1" applyFill="1" applyBorder="1" applyAlignment="1">
      <alignment horizontal="left"/>
    </xf>
    <xf numFmtId="165" fontId="1" fillId="0" borderId="35" xfId="7" applyNumberFormat="1" applyFont="1" applyBorder="1" applyAlignment="1"/>
    <xf numFmtId="42" fontId="6" fillId="0" borderId="35" xfId="7" applyNumberFormat="1" applyFont="1" applyBorder="1" applyAlignment="1">
      <alignment horizontal="right"/>
    </xf>
    <xf numFmtId="168" fontId="3" fillId="0" borderId="35" xfId="7" applyNumberFormat="1" applyFont="1" applyBorder="1" applyAlignment="1">
      <alignment horizontal="right"/>
    </xf>
    <xf numFmtId="1" fontId="3" fillId="0" borderId="35" xfId="7" applyNumberFormat="1" applyFont="1" applyBorder="1" applyAlignment="1">
      <alignment horizontal="right"/>
    </xf>
    <xf numFmtId="165" fontId="6" fillId="0" borderId="35" xfId="7" applyNumberFormat="1" applyFont="1" applyBorder="1" applyAlignment="1"/>
    <xf numFmtId="0" fontId="1" fillId="0" borderId="35" xfId="7" applyFont="1" applyFill="1" applyBorder="1" applyAlignment="1">
      <alignment horizontal="center"/>
    </xf>
    <xf numFmtId="41" fontId="6" fillId="0" borderId="35" xfId="7" applyNumberFormat="1" applyFont="1" applyBorder="1" applyAlignment="1">
      <alignment horizontal="right"/>
    </xf>
    <xf numFmtId="168" fontId="6" fillId="0" borderId="35" xfId="7" applyNumberFormat="1" applyFont="1" applyBorder="1" applyAlignment="1">
      <alignment horizontal="right"/>
    </xf>
    <xf numFmtId="0" fontId="8" fillId="0" borderId="35" xfId="7" applyFill="1" applyBorder="1" applyAlignment="1"/>
    <xf numFmtId="0" fontId="8" fillId="0" borderId="35" xfId="7" applyFill="1" applyBorder="1" applyAlignment="1">
      <alignment horizontal="center"/>
    </xf>
    <xf numFmtId="0" fontId="11" fillId="0" borderId="35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5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24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25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26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16" xfId="6" applyFont="1" applyBorder="1" applyAlignment="1">
      <alignment horizontal="center" vertical="center"/>
    </xf>
    <xf numFmtId="0" fontId="12" fillId="0" borderId="16" xfId="6" applyFont="1" applyBorder="1" applyAlignment="1">
      <alignment horizontal="left" vertic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30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16" xfId="6" applyNumberFormat="1" applyFont="1" applyBorder="1" applyAlignment="1">
      <alignment horizontal="center"/>
    </xf>
    <xf numFmtId="0" fontId="13" fillId="0" borderId="16" xfId="6" applyFont="1" applyBorder="1"/>
    <xf numFmtId="5" fontId="13" fillId="0" borderId="16" xfId="6" applyNumberFormat="1" applyFont="1" applyBorder="1" applyAlignment="1">
      <alignment horizontal="right"/>
    </xf>
    <xf numFmtId="9" fontId="13" fillId="0" borderId="16" xfId="10" applyNumberFormat="1" applyFont="1" applyBorder="1" applyAlignment="1">
      <alignment horizontal="right"/>
    </xf>
    <xf numFmtId="37" fontId="13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left"/>
    </xf>
    <xf numFmtId="5" fontId="12" fillId="0" borderId="16" xfId="6" applyNumberFormat="1" applyFont="1" applyBorder="1" applyAlignment="1">
      <alignment horizontal="right"/>
    </xf>
    <xf numFmtId="9" fontId="12" fillId="0" borderId="16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16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16" xfId="6" applyFont="1" applyBorder="1" applyAlignment="1">
      <alignment horizontal="center"/>
    </xf>
    <xf numFmtId="0" fontId="12" fillId="0" borderId="16" xfId="6" applyFont="1" applyBorder="1" applyAlignment="1">
      <alignment wrapText="1"/>
    </xf>
    <xf numFmtId="9" fontId="12" fillId="0" borderId="16" xfId="10" applyFont="1" applyBorder="1" applyAlignment="1">
      <alignment horizontal="right"/>
    </xf>
    <xf numFmtId="37" fontId="12" fillId="0" borderId="16" xfId="6" applyNumberFormat="1" applyFont="1" applyFill="1" applyBorder="1" applyAlignment="1">
      <alignment horizontal="right"/>
    </xf>
    <xf numFmtId="164" fontId="12" fillId="0" borderId="25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1" xfId="6" applyNumberFormat="1" applyFont="1" applyFill="1" applyBorder="1" applyAlignment="1">
      <alignment horizontal="left"/>
    </xf>
    <xf numFmtId="164" fontId="12" fillId="3" borderId="9" xfId="6" applyNumberFormat="1" applyFont="1" applyFill="1" applyBorder="1" applyAlignment="1">
      <alignment horizontal="center" wrapText="1"/>
    </xf>
    <xf numFmtId="164" fontId="12" fillId="3" borderId="10" xfId="6" applyNumberFormat="1" applyFont="1" applyFill="1" applyBorder="1" applyAlignment="1">
      <alignment horizontal="center" wrapText="1"/>
    </xf>
    <xf numFmtId="9" fontId="12" fillId="3" borderId="11" xfId="10" applyFont="1" applyFill="1" applyBorder="1" applyAlignment="1">
      <alignment horizontal="center" wrapText="1"/>
    </xf>
    <xf numFmtId="0" fontId="15" fillId="0" borderId="16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16" xfId="6" applyNumberFormat="1" applyFont="1" applyFill="1" applyBorder="1" applyAlignment="1">
      <alignment horizontal="left" wrapText="1"/>
    </xf>
    <xf numFmtId="0" fontId="12" fillId="0" borderId="16" xfId="6" applyFont="1" applyBorder="1" applyAlignment="1">
      <alignment horizontal="center" vertical="center"/>
    </xf>
    <xf numFmtId="0" fontId="12" fillId="0" borderId="16" xfId="6" applyFont="1" applyFill="1" applyBorder="1" applyAlignment="1">
      <alignment wrapText="1"/>
    </xf>
    <xf numFmtId="37" fontId="12" fillId="0" borderId="16" xfId="1" applyNumberFormat="1" applyFont="1" applyBorder="1" applyAlignment="1">
      <alignment horizontal="right"/>
    </xf>
    <xf numFmtId="0" fontId="1" fillId="0" borderId="35" xfId="6" applyBorder="1" applyAlignment="1">
      <alignment wrapText="1"/>
    </xf>
    <xf numFmtId="0" fontId="2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wrapText="1"/>
    </xf>
    <xf numFmtId="164" fontId="2" fillId="0" borderId="35" xfId="6" applyNumberFormat="1" applyFont="1" applyBorder="1" applyAlignment="1">
      <alignment horizontal="center" wrapText="1"/>
    </xf>
    <xf numFmtId="0" fontId="1" fillId="0" borderId="35" xfId="6" applyFill="1" applyBorder="1" applyAlignment="1">
      <alignment wrapText="1"/>
    </xf>
    <xf numFmtId="0" fontId="2" fillId="0" borderId="35" xfId="6" applyFont="1" applyFill="1" applyBorder="1" applyAlignment="1">
      <alignment horizontal="left" wrapText="1"/>
    </xf>
    <xf numFmtId="0" fontId="2" fillId="0" borderId="35" xfId="6" applyFont="1" applyFill="1" applyBorder="1" applyAlignment="1">
      <alignment horizontal="centerContinuous" wrapText="1"/>
    </xf>
    <xf numFmtId="164" fontId="3" fillId="0" borderId="35" xfId="6" applyNumberFormat="1" applyFont="1" applyBorder="1" applyAlignment="1">
      <alignment horizontal="center" wrapText="1"/>
    </xf>
    <xf numFmtId="0" fontId="2" fillId="0" borderId="35" xfId="6" applyFont="1" applyFill="1" applyBorder="1" applyAlignment="1">
      <alignment horizontal="center" wrapText="1"/>
    </xf>
    <xf numFmtId="0" fontId="1" fillId="0" borderId="35" xfId="6" applyFill="1" applyBorder="1" applyAlignment="1">
      <alignment horizontal="center" wrapText="1"/>
    </xf>
    <xf numFmtId="0" fontId="4" fillId="0" borderId="35" xfId="6" applyFont="1" applyFill="1" applyBorder="1" applyAlignment="1">
      <alignment horizontal="center" wrapText="1"/>
    </xf>
    <xf numFmtId="0" fontId="5" fillId="0" borderId="35" xfId="6" applyFont="1" applyFill="1" applyBorder="1" applyAlignment="1">
      <alignment horizontal="center" wrapText="1"/>
    </xf>
    <xf numFmtId="0" fontId="4" fillId="0" borderId="35" xfId="6" applyFont="1" applyFill="1" applyBorder="1" applyAlignment="1">
      <alignment horizontal="left" wrapText="1"/>
    </xf>
    <xf numFmtId="0" fontId="1" fillId="0" borderId="35" xfId="6" applyFont="1" applyFill="1" applyBorder="1" applyAlignment="1">
      <alignment wrapText="1"/>
    </xf>
    <xf numFmtId="0" fontId="3" fillId="0" borderId="35" xfId="6" applyFont="1" applyFill="1" applyBorder="1" applyAlignment="1">
      <alignment horizontal="center" wrapText="1"/>
    </xf>
    <xf numFmtId="0" fontId="1" fillId="0" borderId="35" xfId="6" applyFont="1" applyBorder="1" applyAlignment="1">
      <alignment horizontal="center" wrapText="1"/>
    </xf>
    <xf numFmtId="0" fontId="1" fillId="0" borderId="35" xfId="6" applyFont="1" applyBorder="1" applyAlignment="1">
      <alignment horizontal="left" wrapText="1"/>
    </xf>
    <xf numFmtId="9" fontId="1" fillId="0" borderId="35" xfId="6" applyNumberFormat="1" applyFont="1" applyBorder="1" applyAlignment="1">
      <alignment horizontal="right" wrapText="1"/>
    </xf>
    <xf numFmtId="0" fontId="6" fillId="0" borderId="35" xfId="6" applyFont="1" applyBorder="1" applyAlignment="1">
      <alignment horizontal="center" wrapText="1"/>
    </xf>
    <xf numFmtId="0" fontId="2" fillId="0" borderId="35" xfId="6" applyFont="1" applyBorder="1" applyAlignment="1">
      <alignment horizontal="left" wrapText="1"/>
    </xf>
    <xf numFmtId="5" fontId="3" fillId="0" borderId="35" xfId="6" applyNumberFormat="1" applyFont="1" applyBorder="1" applyAlignment="1">
      <alignment horizontal="right" wrapText="1"/>
    </xf>
    <xf numFmtId="9" fontId="3" fillId="0" borderId="35" xfId="6" applyNumberFormat="1" applyFont="1" applyBorder="1" applyAlignment="1">
      <alignment horizontal="right" wrapText="1"/>
    </xf>
    <xf numFmtId="37" fontId="1" fillId="0" borderId="35" xfId="6" applyNumberFormat="1" applyFont="1" applyBorder="1" applyAlignment="1">
      <alignment horizontal="right" wrapText="1"/>
    </xf>
    <xf numFmtId="0" fontId="3" fillId="0" borderId="35" xfId="6" applyFont="1" applyBorder="1" applyAlignment="1">
      <alignment horizontal="center" wrapText="1"/>
    </xf>
    <xf numFmtId="0" fontId="5" fillId="0" borderId="35" xfId="6" applyFont="1" applyBorder="1" applyAlignment="1">
      <alignment horizontal="left" wrapText="1"/>
    </xf>
    <xf numFmtId="0" fontId="1" fillId="0" borderId="35" xfId="6" applyBorder="1" applyAlignment="1">
      <alignment horizontal="left" wrapText="1"/>
    </xf>
    <xf numFmtId="6" fontId="1" fillId="0" borderId="35" xfId="6" applyNumberFormat="1" applyBorder="1" applyAlignment="1">
      <alignment horizontal="right" wrapText="1"/>
    </xf>
    <xf numFmtId="9" fontId="1" fillId="0" borderId="35" xfId="6" applyNumberFormat="1" applyBorder="1" applyAlignment="1">
      <alignment horizontal="right" wrapText="1"/>
    </xf>
    <xf numFmtId="0" fontId="2" fillId="0" borderId="35" xfId="6" applyFont="1" applyBorder="1" applyAlignment="1">
      <alignment horizontal="center" wrapText="1"/>
    </xf>
    <xf numFmtId="0" fontId="4" fillId="0" borderId="35" xfId="6" applyFont="1" applyBorder="1" applyAlignment="1">
      <alignment horizontal="left" wrapText="1"/>
    </xf>
    <xf numFmtId="0" fontId="6" fillId="0" borderId="35" xfId="6" applyFont="1" applyFill="1" applyBorder="1" applyAlignment="1">
      <alignment horizontal="center" wrapText="1"/>
    </xf>
    <xf numFmtId="0" fontId="6" fillId="0" borderId="35" xfId="6" applyFont="1" applyFill="1" applyBorder="1" applyAlignment="1">
      <alignment horizontal="left" wrapText="1"/>
    </xf>
    <xf numFmtId="9" fontId="6" fillId="0" borderId="35" xfId="6" applyNumberFormat="1" applyFont="1" applyFill="1" applyBorder="1" applyAlignment="1">
      <alignment horizontal="right" wrapText="1"/>
    </xf>
    <xf numFmtId="0" fontId="16" fillId="0" borderId="35" xfId="6" applyFont="1" applyBorder="1" applyAlignment="1">
      <alignment wrapText="1"/>
    </xf>
    <xf numFmtId="5" fontId="6" fillId="0" borderId="35" xfId="6" applyNumberFormat="1" applyFont="1" applyBorder="1" applyAlignment="1">
      <alignment horizontal="right" wrapText="1"/>
    </xf>
    <xf numFmtId="165" fontId="6" fillId="0" borderId="35" xfId="6" applyNumberFormat="1" applyFont="1" applyBorder="1" applyAlignment="1">
      <alignment horizontal="right" wrapText="1"/>
    </xf>
    <xf numFmtId="165" fontId="3" fillId="0" borderId="35" xfId="6" applyNumberFormat="1" applyFont="1" applyBorder="1" applyAlignment="1">
      <alignment horizontal="right" wrapText="1"/>
    </xf>
    <xf numFmtId="0" fontId="1" fillId="0" borderId="35" xfId="6" applyFont="1" applyBorder="1" applyAlignment="1">
      <alignment horizontal="right" wrapText="1"/>
    </xf>
    <xf numFmtId="0" fontId="11" fillId="0" borderId="35" xfId="6" applyFont="1" applyBorder="1" applyAlignment="1">
      <alignment wrapText="1"/>
    </xf>
    <xf numFmtId="164" fontId="5" fillId="0" borderId="35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5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7" xfId="7" applyFont="1" applyFill="1" applyBorder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4" fillId="2" borderId="35" xfId="7" applyFont="1" applyFill="1" applyBorder="1" applyAlignment="1">
      <alignment horizontal="left"/>
    </xf>
    <xf numFmtId="5" fontId="3" fillId="2" borderId="35" xfId="7" applyNumberFormat="1" applyFont="1" applyFill="1" applyBorder="1" applyAlignment="1">
      <alignment horizontal="right"/>
    </xf>
    <xf numFmtId="165" fontId="3" fillId="2" borderId="35" xfId="7" applyNumberFormat="1" applyFont="1" applyFill="1" applyBorder="1" applyAlignment="1">
      <alignment horizontal="right"/>
    </xf>
    <xf numFmtId="0" fontId="5" fillId="2" borderId="35" xfId="7" applyFont="1" applyFill="1" applyBorder="1" applyAlignment="1">
      <alignment horizontal="left"/>
    </xf>
    <xf numFmtId="43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center"/>
    </xf>
    <xf numFmtId="0" fontId="6" fillId="2" borderId="35" xfId="7" applyFont="1" applyFill="1" applyBorder="1" applyAlignment="1">
      <alignment horizontal="left" wrapText="1"/>
    </xf>
    <xf numFmtId="5" fontId="6" fillId="2" borderId="35" xfId="7" applyNumberFormat="1" applyFont="1" applyFill="1" applyBorder="1" applyAlignment="1"/>
    <xf numFmtId="0" fontId="2" fillId="2" borderId="35" xfId="7" applyFont="1" applyFill="1" applyBorder="1" applyAlignment="1">
      <alignment horizontal="left"/>
    </xf>
    <xf numFmtId="164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left"/>
    </xf>
    <xf numFmtId="5" fontId="1" fillId="2" borderId="35" xfId="7" applyNumberFormat="1" applyFont="1" applyFill="1" applyBorder="1" applyAlignment="1"/>
    <xf numFmtId="0" fontId="1" fillId="2" borderId="32" xfId="7" applyFont="1" applyFill="1" applyBorder="1" applyAlignment="1">
      <alignment horizontal="left"/>
    </xf>
    <xf numFmtId="0" fontId="8" fillId="2" borderId="35" xfId="7" applyFill="1" applyBorder="1"/>
    <xf numFmtId="5" fontId="3" fillId="2" borderId="35" xfId="7" applyNumberFormat="1" applyFont="1" applyFill="1" applyBorder="1" applyAlignment="1"/>
    <xf numFmtId="165" fontId="3" fillId="2" borderId="35" xfId="7" applyNumberFormat="1" applyFont="1" applyFill="1" applyBorder="1" applyAlignment="1"/>
    <xf numFmtId="1" fontId="3" fillId="2" borderId="35" xfId="7" applyNumberFormat="1" applyFont="1" applyFill="1" applyBorder="1" applyAlignment="1"/>
    <xf numFmtId="42" fontId="1" fillId="2" borderId="35" xfId="7" applyNumberFormat="1" applyFont="1" applyFill="1" applyBorder="1" applyAlignment="1"/>
    <xf numFmtId="42" fontId="6" fillId="2" borderId="35" xfId="7" applyNumberFormat="1" applyFont="1" applyFill="1" applyBorder="1" applyAlignment="1"/>
    <xf numFmtId="5" fontId="6" fillId="2" borderId="35" xfId="7" applyNumberFormat="1" applyFont="1" applyFill="1" applyBorder="1" applyAlignment="1">
      <alignment horizontal="right"/>
    </xf>
    <xf numFmtId="42" fontId="6" fillId="2" borderId="35" xfId="7" applyNumberFormat="1" applyFont="1" applyFill="1" applyBorder="1" applyAlignment="1">
      <alignment horizontal="right"/>
    </xf>
    <xf numFmtId="1" fontId="3" fillId="2" borderId="35" xfId="7" applyNumberFormat="1" applyFont="1" applyFill="1" applyBorder="1" applyAlignment="1">
      <alignment horizontal="right"/>
    </xf>
    <xf numFmtId="165" fontId="6" fillId="2" borderId="35" xfId="7" applyNumberFormat="1" applyFont="1" applyFill="1" applyBorder="1" applyAlignment="1">
      <alignment horizontal="right"/>
    </xf>
    <xf numFmtId="168" fontId="3" fillId="2" borderId="35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5" xfId="7" applyNumberFormat="1" applyFont="1" applyFill="1" applyBorder="1" applyAlignment="1"/>
    <xf numFmtId="0" fontId="1" fillId="0" borderId="20" xfId="7" applyFont="1" applyBorder="1" applyAlignment="1">
      <alignment horizontal="center"/>
    </xf>
    <xf numFmtId="164" fontId="2" fillId="0" borderId="16" xfId="7" applyNumberFormat="1" applyFont="1" applyBorder="1" applyAlignment="1"/>
    <xf numFmtId="164" fontId="2" fillId="0" borderId="16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20" xfId="7" applyFont="1" applyBorder="1" applyAlignment="1">
      <alignment horizontal="center"/>
    </xf>
    <xf numFmtId="164" fontId="5" fillId="0" borderId="16" xfId="7" applyNumberFormat="1" applyFont="1" applyFill="1" applyBorder="1" applyAlignment="1"/>
    <xf numFmtId="164" fontId="5" fillId="0" borderId="16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16" xfId="7" applyNumberFormat="1" applyFont="1" applyBorder="1" applyAlignment="1">
      <alignment horizontal="center"/>
    </xf>
    <xf numFmtId="0" fontId="6" fillId="0" borderId="20" xfId="7" applyFont="1" applyBorder="1" applyAlignment="1">
      <alignment horizontal="center"/>
    </xf>
    <xf numFmtId="164" fontId="6" fillId="0" borderId="16" xfId="7" applyNumberFormat="1" applyFont="1" applyBorder="1" applyAlignment="1"/>
    <xf numFmtId="3" fontId="1" fillId="0" borderId="16" xfId="7" applyNumberFormat="1" applyFont="1" applyBorder="1" applyAlignment="1">
      <alignment horizontal="right"/>
    </xf>
    <xf numFmtId="1" fontId="1" fillId="0" borderId="16" xfId="7" applyNumberFormat="1" applyFont="1" applyBorder="1" applyAlignment="1">
      <alignment horizontal="right"/>
    </xf>
    <xf numFmtId="167" fontId="1" fillId="0" borderId="16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16" xfId="7" applyNumberFormat="1" applyFont="1" applyBorder="1" applyAlignment="1"/>
    <xf numFmtId="3" fontId="3" fillId="0" borderId="16" xfId="7" applyNumberFormat="1" applyFont="1" applyBorder="1" applyAlignment="1">
      <alignment horizontal="right"/>
    </xf>
    <xf numFmtId="167" fontId="3" fillId="0" borderId="16" xfId="9" applyNumberFormat="1" applyFont="1" applyBorder="1" applyAlignment="1">
      <alignment horizontal="right"/>
    </xf>
    <xf numFmtId="164" fontId="1" fillId="0" borderId="16" xfId="7" applyNumberFormat="1" applyFont="1" applyBorder="1" applyAlignment="1"/>
    <xf numFmtId="3" fontId="2" fillId="0" borderId="16" xfId="7" applyNumberFormat="1" applyFont="1" applyBorder="1" applyAlignment="1">
      <alignment horizontal="right"/>
    </xf>
    <xf numFmtId="167" fontId="2" fillId="0" borderId="16" xfId="9" applyNumberFormat="1" applyFont="1" applyBorder="1" applyAlignment="1">
      <alignment horizontal="right"/>
    </xf>
    <xf numFmtId="1" fontId="2" fillId="0" borderId="16" xfId="7" applyNumberFormat="1" applyFont="1" applyBorder="1" applyAlignment="1">
      <alignment horizontal="right"/>
    </xf>
    <xf numFmtId="167" fontId="2" fillId="0" borderId="16" xfId="7" applyNumberFormat="1" applyFont="1" applyBorder="1" applyAlignment="1">
      <alignment horizontal="right"/>
    </xf>
    <xf numFmtId="37" fontId="2" fillId="0" borderId="16" xfId="7" applyNumberFormat="1" applyFont="1" applyBorder="1" applyAlignment="1">
      <alignment horizontal="right"/>
    </xf>
    <xf numFmtId="9" fontId="2" fillId="0" borderId="16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wrapText="1"/>
    </xf>
    <xf numFmtId="37" fontId="3" fillId="0" borderId="16" xfId="2" applyNumberFormat="1" applyFont="1" applyBorder="1" applyAlignment="1">
      <alignment horizontal="right"/>
    </xf>
    <xf numFmtId="3" fontId="3" fillId="0" borderId="16" xfId="2" applyNumberFormat="1" applyFont="1" applyBorder="1" applyAlignment="1">
      <alignment horizontal="right"/>
    </xf>
    <xf numFmtId="9" fontId="3" fillId="0" borderId="16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9" xfId="7" applyFont="1" applyBorder="1" applyAlignment="1">
      <alignment horizontal="center"/>
    </xf>
    <xf numFmtId="164" fontId="5" fillId="0" borderId="16" xfId="7" applyNumberFormat="1" applyFont="1" applyBorder="1" applyAlignment="1">
      <alignment wrapText="1"/>
    </xf>
    <xf numFmtId="164" fontId="4" fillId="0" borderId="16" xfId="7" applyNumberFormat="1" applyFont="1" applyBorder="1" applyAlignment="1">
      <alignment horizontal="center"/>
    </xf>
    <xf numFmtId="164" fontId="6" fillId="0" borderId="16" xfId="7" applyNumberFormat="1" applyFont="1" applyBorder="1" applyAlignment="1">
      <alignment wrapText="1"/>
    </xf>
    <xf numFmtId="3" fontId="1" fillId="0" borderId="16" xfId="2" applyNumberFormat="1" applyFont="1" applyBorder="1" applyAlignment="1">
      <alignment horizontal="right"/>
    </xf>
    <xf numFmtId="9" fontId="1" fillId="0" borderId="16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16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16" xfId="7" applyNumberFormat="1" applyFont="1" applyBorder="1" applyAlignment="1">
      <alignment horizontal="right"/>
    </xf>
    <xf numFmtId="3" fontId="6" fillId="0" borderId="16" xfId="2" applyNumberFormat="1" applyFont="1" applyBorder="1" applyAlignment="1">
      <alignment horizontal="right"/>
    </xf>
    <xf numFmtId="170" fontId="1" fillId="0" borderId="16" xfId="7" applyNumberFormat="1" applyFont="1" applyBorder="1" applyAlignment="1">
      <alignment horizontal="right"/>
    </xf>
    <xf numFmtId="170" fontId="1" fillId="0" borderId="16" xfId="2" applyNumberFormat="1" applyFont="1" applyBorder="1" applyAlignment="1">
      <alignment horizontal="right"/>
    </xf>
    <xf numFmtId="170" fontId="3" fillId="0" borderId="16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16" xfId="8" applyFont="1" applyBorder="1" applyAlignment="1" applyProtection="1">
      <alignment horizontal="left"/>
      <protection locked="0"/>
    </xf>
    <xf numFmtId="0" fontId="3" fillId="0" borderId="16" xfId="8" applyFont="1" applyBorder="1" applyAlignment="1" applyProtection="1">
      <alignment horizontal="center"/>
      <protection locked="0"/>
    </xf>
    <xf numFmtId="0" fontId="11" fillId="0" borderId="12" xfId="8" applyFont="1" applyBorder="1" applyProtection="1">
      <protection locked="0"/>
    </xf>
    <xf numFmtId="0" fontId="18" fillId="0" borderId="16" xfId="8" applyFont="1" applyBorder="1" applyAlignment="1" applyProtection="1">
      <alignment horizontal="center"/>
      <protection locked="0"/>
    </xf>
    <xf numFmtId="0" fontId="18" fillId="0" borderId="1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30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16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16" xfId="8" applyFont="1" applyBorder="1" applyAlignment="1"/>
    <xf numFmtId="0" fontId="9" fillId="0" borderId="16" xfId="8" applyFont="1" applyBorder="1" applyAlignment="1">
      <alignment horizontal="center" vertical="top"/>
    </xf>
    <xf numFmtId="0" fontId="5" fillId="0" borderId="16" xfId="8" applyFont="1" applyBorder="1" applyAlignment="1"/>
    <xf numFmtId="0" fontId="19" fillId="0" borderId="16" xfId="8" applyFont="1" applyBorder="1" applyAlignment="1" applyProtection="1">
      <alignment horizontal="center"/>
      <protection locked="0"/>
    </xf>
    <xf numFmtId="0" fontId="11" fillId="0" borderId="16" xfId="8" applyFont="1" applyBorder="1" applyAlignment="1">
      <alignment horizontal="center"/>
    </xf>
    <xf numFmtId="0" fontId="11" fillId="0" borderId="16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16" xfId="8" applyFont="1" applyBorder="1" applyAlignment="1">
      <alignment horizontal="center" vertical="top"/>
    </xf>
    <xf numFmtId="0" fontId="20" fillId="0" borderId="16" xfId="8" applyFont="1" applyBorder="1" applyAlignment="1">
      <alignment vertical="top"/>
    </xf>
    <xf numFmtId="0" fontId="11" fillId="0" borderId="16" xfId="8" applyFont="1" applyBorder="1" applyProtection="1">
      <protection locked="0"/>
    </xf>
    <xf numFmtId="0" fontId="11" fillId="0" borderId="16" xfId="8" applyFont="1" applyBorder="1" applyAlignment="1">
      <alignment vertical="top" wrapText="1"/>
    </xf>
    <xf numFmtId="0" fontId="11" fillId="0" borderId="16" xfId="8" applyFont="1" applyBorder="1" applyAlignment="1">
      <alignment horizontal="center" vertical="top"/>
    </xf>
    <xf numFmtId="6" fontId="11" fillId="0" borderId="16" xfId="8" applyNumberFormat="1" applyFont="1" applyBorder="1" applyAlignment="1">
      <alignment horizontal="right" vertical="top"/>
    </xf>
    <xf numFmtId="6" fontId="11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horizontal="right" vertical="top"/>
    </xf>
    <xf numFmtId="0" fontId="18" fillId="0" borderId="16" xfId="8" applyFont="1" applyBorder="1" applyAlignment="1">
      <alignment vertical="top" wrapText="1"/>
    </xf>
    <xf numFmtId="6" fontId="18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vertical="top"/>
    </xf>
    <xf numFmtId="0" fontId="19" fillId="0" borderId="16" xfId="8" applyFont="1" applyBorder="1" applyAlignment="1" applyProtection="1">
      <alignment horizontal="left"/>
      <protection locked="0"/>
    </xf>
    <xf numFmtId="0" fontId="19" fillId="0" borderId="16" xfId="8" applyFont="1" applyBorder="1" applyProtection="1">
      <protection locked="0"/>
    </xf>
    <xf numFmtId="0" fontId="20" fillId="0" borderId="16" xfId="8" applyFont="1" applyBorder="1" applyProtection="1">
      <protection locked="0"/>
    </xf>
    <xf numFmtId="0" fontId="20" fillId="0" borderId="16" xfId="8" applyFont="1" applyBorder="1" applyAlignment="1"/>
    <xf numFmtId="10" fontId="11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>
      <alignment vertical="top"/>
    </xf>
    <xf numFmtId="10" fontId="18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 applyProtection="1">
      <alignment horizontal="center"/>
      <protection locked="0"/>
    </xf>
    <xf numFmtId="0" fontId="18" fillId="0" borderId="16" xfId="8" applyFont="1" applyBorder="1" applyProtection="1">
      <protection locked="0"/>
    </xf>
    <xf numFmtId="167" fontId="11" fillId="0" borderId="16" xfId="11" applyNumberFormat="1" applyFont="1" applyBorder="1" applyAlignment="1">
      <alignment vertical="top"/>
    </xf>
    <xf numFmtId="0" fontId="9" fillId="0" borderId="16" xfId="8" applyFont="1" applyBorder="1" applyAlignment="1" applyProtection="1">
      <alignment horizontal="center"/>
      <protection locked="0"/>
    </xf>
    <xf numFmtId="3" fontId="11" fillId="0" borderId="16" xfId="8" applyNumberFormat="1" applyFont="1" applyBorder="1" applyAlignment="1">
      <alignment horizontal="right" vertical="top"/>
    </xf>
    <xf numFmtId="176" fontId="11" fillId="0" borderId="16" xfId="3" applyNumberFormat="1" applyFont="1" applyBorder="1" applyAlignment="1">
      <alignment vertical="top"/>
    </xf>
    <xf numFmtId="3" fontId="18" fillId="0" borderId="16" xfId="8" applyNumberFormat="1" applyFont="1" applyBorder="1" applyAlignment="1">
      <alignment vertical="top"/>
    </xf>
    <xf numFmtId="176" fontId="18" fillId="0" borderId="16" xfId="3" applyNumberFormat="1" applyFont="1" applyBorder="1" applyAlignment="1">
      <alignment vertical="top"/>
    </xf>
    <xf numFmtId="3" fontId="11" fillId="0" borderId="16" xfId="8" applyNumberFormat="1" applyFont="1" applyBorder="1" applyAlignment="1">
      <alignment vertical="top"/>
    </xf>
    <xf numFmtId="3" fontId="11" fillId="0" borderId="16" xfId="8" applyNumberFormat="1" applyFont="1" applyFill="1" applyBorder="1" applyAlignment="1">
      <alignment vertical="top"/>
    </xf>
    <xf numFmtId="170" fontId="11" fillId="0" borderId="16" xfId="8" applyNumberFormat="1" applyFont="1" applyBorder="1" applyAlignment="1">
      <alignment vertical="top"/>
    </xf>
    <xf numFmtId="174" fontId="11" fillId="0" borderId="16" xfId="3" applyNumberFormat="1" applyFont="1" applyBorder="1" applyAlignment="1">
      <alignment vertical="top"/>
    </xf>
    <xf numFmtId="170" fontId="18" fillId="0" borderId="16" xfId="8" applyNumberFormat="1" applyFont="1" applyBorder="1" applyAlignment="1">
      <alignment vertical="top"/>
    </xf>
    <xf numFmtId="174" fontId="18" fillId="0" borderId="16" xfId="3" applyNumberFormat="1" applyFont="1" applyBorder="1" applyAlignment="1">
      <alignment vertical="top"/>
    </xf>
    <xf numFmtId="174" fontId="11" fillId="0" borderId="16" xfId="8" applyNumberFormat="1" applyFont="1" applyBorder="1" applyAlignment="1">
      <alignment vertical="top"/>
    </xf>
    <xf numFmtId="180" fontId="11" fillId="0" borderId="16" xfId="8" applyNumberFormat="1" applyFont="1" applyBorder="1" applyAlignment="1">
      <alignment horizontal="right" vertical="top"/>
    </xf>
    <xf numFmtId="172" fontId="11" fillId="0" borderId="16" xfId="3" applyNumberFormat="1" applyFont="1" applyBorder="1" applyAlignment="1">
      <alignment vertical="top"/>
    </xf>
    <xf numFmtId="180" fontId="18" fillId="0" borderId="16" xfId="8" applyNumberFormat="1" applyFont="1" applyBorder="1" applyAlignment="1">
      <alignment horizontal="right" vertical="top"/>
    </xf>
    <xf numFmtId="172" fontId="18" fillId="0" borderId="16" xfId="3" applyNumberFormat="1" applyFont="1" applyBorder="1" applyAlignment="1">
      <alignment vertical="top"/>
    </xf>
    <xf numFmtId="0" fontId="11" fillId="0" borderId="16" xfId="8" applyFont="1" applyBorder="1" applyAlignment="1">
      <alignment horizontal="right" vertical="top"/>
    </xf>
    <xf numFmtId="6" fontId="11" fillId="0" borderId="16" xfId="8" applyNumberFormat="1" applyFont="1" applyBorder="1" applyProtection="1">
      <protection locked="0"/>
    </xf>
    <xf numFmtId="10" fontId="11" fillId="0" borderId="16" xfId="11" applyNumberFormat="1" applyFont="1" applyBorder="1" applyProtection="1">
      <protection locked="0"/>
    </xf>
    <xf numFmtId="0" fontId="27" fillId="0" borderId="16" xfId="8" applyFont="1" applyFill="1" applyBorder="1" applyAlignment="1">
      <alignment vertical="top" wrapText="1"/>
    </xf>
    <xf numFmtId="6" fontId="11" fillId="0" borderId="16" xfId="8" applyNumberFormat="1" applyFont="1" applyFill="1" applyBorder="1" applyProtection="1">
      <protection locked="0"/>
    </xf>
    <xf numFmtId="0" fontId="5" fillId="0" borderId="16" xfId="8" applyFont="1" applyBorder="1" applyAlignment="1">
      <alignment vertical="top"/>
    </xf>
    <xf numFmtId="0" fontId="11" fillId="0" borderId="16" xfId="8" applyFont="1" applyBorder="1" applyAlignment="1" applyProtection="1">
      <alignment horizontal="left"/>
      <protection locked="0"/>
    </xf>
    <xf numFmtId="0" fontId="18" fillId="0" borderId="16" xfId="8" applyFont="1" applyBorder="1" applyAlignment="1" applyProtection="1">
      <alignment horizontal="left"/>
      <protection locked="0"/>
    </xf>
    <xf numFmtId="169" fontId="11" fillId="0" borderId="16" xfId="3" applyNumberFormat="1" applyFont="1" applyBorder="1" applyProtection="1">
      <protection locked="0"/>
    </xf>
    <xf numFmtId="169" fontId="11" fillId="0" borderId="16" xfId="8" applyNumberFormat="1" applyFont="1" applyBorder="1" applyProtection="1">
      <protection locked="0"/>
    </xf>
    <xf numFmtId="169" fontId="18" fillId="0" borderId="16" xfId="3" applyNumberFormat="1" applyFont="1" applyBorder="1" applyProtection="1">
      <protection locked="0"/>
    </xf>
    <xf numFmtId="169" fontId="18" fillId="0" borderId="16" xfId="8" applyNumberFormat="1" applyFont="1" applyBorder="1" applyProtection="1">
      <protection locked="0"/>
    </xf>
    <xf numFmtId="181" fontId="11" fillId="0" borderId="16" xfId="8" applyNumberFormat="1" applyFont="1" applyBorder="1" applyProtection="1">
      <protection locked="0"/>
    </xf>
    <xf numFmtId="181" fontId="18" fillId="0" borderId="16" xfId="8" applyNumberFormat="1" applyFont="1" applyBorder="1" applyProtection="1">
      <protection locked="0"/>
    </xf>
    <xf numFmtId="182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Protection="1">
      <protection locked="0"/>
    </xf>
    <xf numFmtId="8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Alignment="1" applyProtection="1">
      <alignment horizontal="right"/>
      <protection locked="0"/>
    </xf>
    <xf numFmtId="8" fontId="18" fillId="0" borderId="16" xfId="8" applyNumberFormat="1" applyFont="1" applyBorder="1" applyAlignment="1" applyProtection="1">
      <alignment horizontal="right"/>
      <protection locked="0"/>
    </xf>
    <xf numFmtId="6" fontId="18" fillId="0" borderId="16" xfId="8" applyNumberFormat="1" applyFont="1" applyBorder="1" applyProtection="1">
      <protection locked="0"/>
    </xf>
    <xf numFmtId="6" fontId="29" fillId="0" borderId="16" xfId="8" applyNumberFormat="1" applyFont="1" applyBorder="1" applyProtection="1">
      <protection locked="0"/>
    </xf>
    <xf numFmtId="183" fontId="11" fillId="0" borderId="16" xfId="3" applyNumberFormat="1" applyFont="1" applyBorder="1" applyProtection="1">
      <protection locked="0"/>
    </xf>
    <xf numFmtId="184" fontId="11" fillId="0" borderId="16" xfId="8" applyNumberFormat="1" applyFont="1" applyBorder="1" applyProtection="1">
      <protection locked="0"/>
    </xf>
    <xf numFmtId="6" fontId="11" fillId="0" borderId="23" xfId="8" applyNumberFormat="1" applyFont="1" applyBorder="1" applyProtection="1">
      <protection locked="0"/>
    </xf>
    <xf numFmtId="0" fontId="11" fillId="0" borderId="16" xfId="8" applyFont="1" applyFill="1" applyBorder="1" applyAlignment="1">
      <alignment horizontal="center" vertical="top"/>
    </xf>
    <xf numFmtId="0" fontId="11" fillId="0" borderId="16" xfId="8" applyFont="1" applyFill="1" applyBorder="1" applyAlignment="1">
      <alignment vertical="top"/>
    </xf>
    <xf numFmtId="6" fontId="29" fillId="0" borderId="16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16" xfId="8" applyFont="1" applyBorder="1" applyAlignment="1">
      <alignment vertical="top"/>
    </xf>
    <xf numFmtId="10" fontId="11" fillId="0" borderId="16" xfId="8" applyNumberFormat="1" applyFont="1" applyBorder="1" applyProtection="1">
      <protection locked="0"/>
    </xf>
    <xf numFmtId="10" fontId="18" fillId="0" borderId="16" xfId="11" applyNumberFormat="1" applyFont="1" applyBorder="1" applyProtection="1">
      <protection locked="0"/>
    </xf>
    <xf numFmtId="10" fontId="18" fillId="0" borderId="16" xfId="8" applyNumberFormat="1" applyFont="1" applyBorder="1" applyProtection="1">
      <protection locked="0"/>
    </xf>
    <xf numFmtId="0" fontId="3" fillId="0" borderId="16" xfId="8" applyFont="1" applyBorder="1" applyAlignment="1"/>
    <xf numFmtId="6" fontId="11" fillId="0" borderId="16" xfId="8" applyNumberFormat="1" applyFont="1" applyFill="1" applyBorder="1" applyAlignment="1">
      <alignment horizontal="right" vertical="top"/>
    </xf>
    <xf numFmtId="6" fontId="11" fillId="0" borderId="16" xfId="8" applyNumberFormat="1" applyFont="1" applyFill="1" applyBorder="1" applyAlignment="1">
      <alignment vertical="top"/>
    </xf>
    <xf numFmtId="6" fontId="18" fillId="0" borderId="16" xfId="8" applyNumberFormat="1" applyFont="1" applyFill="1" applyBorder="1" applyAlignment="1">
      <alignment vertical="top"/>
    </xf>
    <xf numFmtId="6" fontId="18" fillId="0" borderId="16" xfId="8" applyNumberFormat="1" applyFont="1" applyBorder="1" applyAlignment="1">
      <alignment horizontal="right" vertical="top"/>
    </xf>
    <xf numFmtId="6" fontId="18" fillId="0" borderId="16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16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16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16" xfId="8" applyFont="1" applyBorder="1" applyAlignment="1">
      <alignment vertical="top"/>
    </xf>
    <xf numFmtId="0" fontId="6" fillId="0" borderId="16" xfId="8" applyFont="1" applyBorder="1" applyProtection="1">
      <protection locked="0"/>
    </xf>
    <xf numFmtId="0" fontId="6" fillId="0" borderId="16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16" xfId="8" applyNumberFormat="1" applyFont="1" applyBorder="1" applyAlignment="1">
      <alignment horizontal="right" vertical="top"/>
    </xf>
    <xf numFmtId="10" fontId="11" fillId="0" borderId="16" xfId="8" applyNumberFormat="1" applyFont="1" applyBorder="1" applyAlignment="1">
      <alignment horizontal="right" vertical="top"/>
    </xf>
    <xf numFmtId="185" fontId="11" fillId="0" borderId="16" xfId="8" applyNumberFormat="1" applyFont="1" applyBorder="1" applyProtection="1">
      <protection locked="0"/>
    </xf>
    <xf numFmtId="0" fontId="6" fillId="0" borderId="16" xfId="8" applyFont="1" applyFill="1" applyBorder="1" applyAlignment="1">
      <alignment vertical="top"/>
    </xf>
    <xf numFmtId="0" fontId="6" fillId="0" borderId="16" xfId="8" applyFont="1" applyBorder="1" applyAlignment="1" applyProtection="1">
      <alignment horizontal="center"/>
      <protection locked="0"/>
    </xf>
    <xf numFmtId="6" fontId="11" fillId="0" borderId="30" xfId="8" applyNumberFormat="1" applyFont="1" applyBorder="1" applyAlignment="1">
      <alignment horizontal="right" vertical="top"/>
    </xf>
    <xf numFmtId="6" fontId="11" fillId="0" borderId="30" xfId="8" applyNumberFormat="1" applyFont="1" applyBorder="1" applyAlignment="1">
      <alignment vertical="top"/>
    </xf>
    <xf numFmtId="6" fontId="18" fillId="0" borderId="30" xfId="8" applyNumberFormat="1" applyFont="1" applyBorder="1" applyAlignment="1">
      <alignment horizontal="right" vertical="top"/>
    </xf>
    <xf numFmtId="0" fontId="1" fillId="0" borderId="35" xfId="7" applyFont="1" applyBorder="1"/>
    <xf numFmtId="0" fontId="3" fillId="0" borderId="0" xfId="7" applyFont="1" applyBorder="1" applyAlignment="1">
      <alignment horizontal="right"/>
    </xf>
    <xf numFmtId="37" fontId="2" fillId="0" borderId="35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5" xfId="7" applyFont="1" applyBorder="1" applyAlignment="1">
      <alignment horizontal="center"/>
    </xf>
    <xf numFmtId="0" fontId="5" fillId="0" borderId="35" xfId="7" applyFont="1" applyBorder="1"/>
    <xf numFmtId="0" fontId="4" fillId="0" borderId="35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5" xfId="7" applyFont="1" applyBorder="1"/>
    <xf numFmtId="43" fontId="6" fillId="0" borderId="35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5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5" xfId="7" applyNumberFormat="1" applyFont="1" applyBorder="1" applyAlignment="1">
      <alignment horizontal="right"/>
    </xf>
    <xf numFmtId="43" fontId="6" fillId="0" borderId="35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5" xfId="2" applyFont="1" applyFill="1" applyBorder="1" applyAlignment="1" applyProtection="1">
      <alignment horizontal="left" wrapText="1"/>
      <protection locked="0"/>
    </xf>
    <xf numFmtId="0" fontId="6" fillId="0" borderId="35" xfId="7" applyFont="1" applyBorder="1"/>
    <xf numFmtId="43" fontId="3" fillId="0" borderId="35" xfId="2" applyFont="1" applyBorder="1" applyAlignment="1" applyProtection="1">
      <alignment horizontal="left"/>
      <protection locked="0"/>
    </xf>
    <xf numFmtId="37" fontId="10" fillId="0" borderId="35" xfId="7" applyNumberFormat="1" applyFont="1" applyBorder="1" applyAlignment="1">
      <alignment horizontal="right"/>
    </xf>
    <xf numFmtId="9" fontId="10" fillId="0" borderId="35" xfId="7" applyNumberFormat="1" applyFont="1" applyBorder="1" applyAlignment="1">
      <alignment horizontal="right"/>
    </xf>
    <xf numFmtId="0" fontId="30" fillId="0" borderId="35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5" xfId="7" applyFont="1" applyBorder="1" applyAlignment="1">
      <alignment horizontal="left" wrapText="1"/>
    </xf>
    <xf numFmtId="167" fontId="3" fillId="0" borderId="35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5" xfId="7" applyNumberFormat="1" applyFont="1" applyBorder="1" applyAlignment="1">
      <alignment horizontal="right"/>
    </xf>
    <xf numFmtId="0" fontId="2" fillId="0" borderId="35" xfId="7" applyFont="1" applyBorder="1" applyAlignment="1"/>
    <xf numFmtId="0" fontId="31" fillId="0" borderId="35" xfId="7" applyFont="1" applyBorder="1" applyAlignment="1">
      <alignment horizontal="left"/>
    </xf>
    <xf numFmtId="5" fontId="31" fillId="0" borderId="35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5" xfId="7" applyFont="1" applyBorder="1" applyAlignment="1">
      <alignment horizontal="left"/>
    </xf>
    <xf numFmtId="43" fontId="11" fillId="0" borderId="35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2" xfId="6" applyFont="1" applyBorder="1" applyAlignment="1">
      <alignment horizontal="center"/>
    </xf>
    <xf numFmtId="0" fontId="2" fillId="0" borderId="33" xfId="6" applyFont="1" applyBorder="1" applyAlignment="1">
      <alignment horizontal="center"/>
    </xf>
    <xf numFmtId="0" fontId="2" fillId="0" borderId="34" xfId="6" applyFont="1" applyBorder="1" applyAlignment="1">
      <alignment horizontal="center"/>
    </xf>
    <xf numFmtId="0" fontId="3" fillId="0" borderId="32" xfId="7" applyFont="1" applyBorder="1" applyAlignment="1">
      <alignment horizontal="center"/>
    </xf>
    <xf numFmtId="0" fontId="3" fillId="0" borderId="33" xfId="7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9" xfId="6" applyNumberFormat="1" applyFont="1" applyFill="1" applyBorder="1" applyAlignment="1">
      <alignment horizontal="center" wrapText="1"/>
    </xf>
    <xf numFmtId="164" fontId="3" fillId="3" borderId="10" xfId="6" applyNumberFormat="1" applyFont="1" applyFill="1" applyBorder="1" applyAlignment="1">
      <alignment horizontal="center" wrapText="1"/>
    </xf>
    <xf numFmtId="164" fontId="3" fillId="3" borderId="11" xfId="6" applyNumberFormat="1" applyFont="1" applyFill="1" applyBorder="1" applyAlignment="1">
      <alignment horizontal="center" wrapText="1"/>
    </xf>
    <xf numFmtId="164" fontId="3" fillId="0" borderId="1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1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13" xfId="6" applyNumberFormat="1" applyFont="1" applyBorder="1" applyAlignment="1">
      <alignment horizontal="center"/>
    </xf>
    <xf numFmtId="5" fontId="6" fillId="0" borderId="14" xfId="6" applyNumberFormat="1" applyFont="1" applyBorder="1" applyAlignment="1">
      <alignment horizontal="center"/>
    </xf>
    <xf numFmtId="5" fontId="6" fillId="0" borderId="15" xfId="6" applyNumberFormat="1" applyFont="1" applyBorder="1" applyAlignment="1">
      <alignment horizontal="center"/>
    </xf>
    <xf numFmtId="5" fontId="6" fillId="0" borderId="9" xfId="6" applyNumberFormat="1" applyFont="1" applyBorder="1" applyAlignment="1">
      <alignment horizontal="center"/>
    </xf>
    <xf numFmtId="5" fontId="6" fillId="0" borderId="10" xfId="6" applyNumberFormat="1" applyFont="1" applyBorder="1" applyAlignment="1">
      <alignment horizontal="center"/>
    </xf>
    <xf numFmtId="5" fontId="6" fillId="0" borderId="11" xfId="6" applyNumberFormat="1" applyFont="1" applyBorder="1" applyAlignment="1">
      <alignment horizontal="center"/>
    </xf>
    <xf numFmtId="0" fontId="3" fillId="0" borderId="20" xfId="7" applyFont="1" applyBorder="1" applyAlignment="1">
      <alignment horizontal="center"/>
    </xf>
    <xf numFmtId="0" fontId="3" fillId="0" borderId="21" xfId="7" applyFont="1" applyBorder="1" applyAlignment="1">
      <alignment horizontal="center"/>
    </xf>
    <xf numFmtId="0" fontId="3" fillId="0" borderId="22" xfId="7" applyFont="1" applyBorder="1" applyAlignment="1">
      <alignment horizontal="center"/>
    </xf>
    <xf numFmtId="0" fontId="15" fillId="0" borderId="23" xfId="6" applyFont="1" applyBorder="1" applyAlignment="1"/>
    <xf numFmtId="0" fontId="15" fillId="0" borderId="8" xfId="6" applyFont="1" applyBorder="1" applyAlignment="1"/>
    <xf numFmtId="164" fontId="12" fillId="0" borderId="30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164" fontId="12" fillId="0" borderId="9" xfId="6" applyNumberFormat="1" applyFont="1" applyBorder="1" applyAlignment="1">
      <alignment horizontal="center" wrapText="1"/>
    </xf>
    <xf numFmtId="164" fontId="12" fillId="0" borderId="10" xfId="6" applyNumberFormat="1" applyFont="1" applyBorder="1" applyAlignment="1">
      <alignment horizontal="center" wrapText="1"/>
    </xf>
    <xf numFmtId="164" fontId="12" fillId="0" borderId="11" xfId="6" applyNumberFormat="1" applyFont="1" applyBorder="1" applyAlignment="1">
      <alignment horizontal="center" wrapText="1"/>
    </xf>
    <xf numFmtId="0" fontId="14" fillId="0" borderId="12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1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13" xfId="6" applyNumberFormat="1" applyFont="1" applyBorder="1" applyAlignment="1">
      <alignment horizontal="center" wrapText="1"/>
    </xf>
    <xf numFmtId="164" fontId="12" fillId="0" borderId="14" xfId="6" applyNumberFormat="1" applyFont="1" applyBorder="1" applyAlignment="1">
      <alignment horizontal="center" wrapText="1"/>
    </xf>
    <xf numFmtId="164" fontId="12" fillId="0" borderId="15" xfId="6" applyNumberFormat="1" applyFont="1" applyBorder="1" applyAlignment="1">
      <alignment horizontal="center" wrapText="1"/>
    </xf>
    <xf numFmtId="0" fontId="13" fillId="0" borderId="0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7" xfId="6" applyNumberFormat="1" applyFont="1" applyFill="1" applyBorder="1" applyAlignment="1">
      <alignment horizontal="center" wrapText="1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0" fontId="14" fillId="0" borderId="23" xfId="6" applyFont="1" applyBorder="1" applyAlignment="1">
      <alignment horizontal="center"/>
    </xf>
    <xf numFmtId="0" fontId="2" fillId="0" borderId="32" xfId="6" applyFont="1" applyBorder="1" applyAlignment="1">
      <alignment horizontal="center" wrapText="1"/>
    </xf>
    <xf numFmtId="0" fontId="2" fillId="0" borderId="33" xfId="6" applyFont="1" applyBorder="1" applyAlignment="1">
      <alignment horizontal="center" wrapText="1"/>
    </xf>
    <xf numFmtId="0" fontId="2" fillId="0" borderId="34" xfId="6" applyFont="1" applyBorder="1" applyAlignment="1">
      <alignment horizontal="center" wrapText="1"/>
    </xf>
    <xf numFmtId="0" fontId="2" fillId="0" borderId="20" xfId="7" applyFont="1" applyBorder="1" applyAlignment="1">
      <alignment horizontal="center"/>
    </xf>
    <xf numFmtId="0" fontId="2" fillId="0" borderId="21" xfId="7" applyFont="1" applyBorder="1" applyAlignment="1">
      <alignment horizontal="center"/>
    </xf>
    <xf numFmtId="0" fontId="2" fillId="0" borderId="22" xfId="7" applyFont="1" applyBorder="1" applyAlignment="1">
      <alignment horizontal="center"/>
    </xf>
    <xf numFmtId="164" fontId="3" fillId="0" borderId="20" xfId="7" applyNumberFormat="1" applyFont="1" applyBorder="1" applyAlignment="1">
      <alignment wrapText="1"/>
    </xf>
    <xf numFmtId="164" fontId="3" fillId="0" borderId="21" xfId="7" applyNumberFormat="1" applyFont="1" applyBorder="1" applyAlignment="1">
      <alignment wrapText="1"/>
    </xf>
    <xf numFmtId="164" fontId="3" fillId="0" borderId="22" xfId="7" applyNumberFormat="1" applyFont="1" applyBorder="1" applyAlignment="1">
      <alignment wrapText="1"/>
    </xf>
    <xf numFmtId="0" fontId="3" fillId="0" borderId="0" xfId="8" applyFont="1" applyAlignment="1" applyProtection="1">
      <alignment horizontal="center"/>
      <protection locked="0"/>
    </xf>
    <xf numFmtId="0" fontId="3" fillId="0" borderId="20" xfId="8" applyFont="1" applyBorder="1" applyAlignment="1" applyProtection="1">
      <alignment horizontal="center"/>
      <protection locked="0"/>
    </xf>
    <xf numFmtId="0" fontId="3" fillId="0" borderId="21" xfId="8" applyFont="1" applyBorder="1" applyAlignment="1" applyProtection="1">
      <alignment horizontal="center"/>
      <protection locked="0"/>
    </xf>
    <xf numFmtId="0" fontId="3" fillId="0" borderId="22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20" xfId="8" applyNumberFormat="1" applyFont="1" applyBorder="1" applyAlignment="1" applyProtection="1">
      <alignment horizontal="center"/>
      <protection locked="0"/>
    </xf>
    <xf numFmtId="164" fontId="3" fillId="0" borderId="21" xfId="8" applyNumberFormat="1" applyFont="1" applyBorder="1" applyAlignment="1" applyProtection="1">
      <alignment horizontal="center"/>
      <protection locked="0"/>
    </xf>
    <xf numFmtId="164" fontId="3" fillId="0" borderId="22" xfId="8" applyNumberFormat="1" applyFont="1" applyBorder="1" applyAlignment="1" applyProtection="1">
      <alignment horizontal="center"/>
      <protection locked="0"/>
    </xf>
    <xf numFmtId="0" fontId="1" fillId="0" borderId="32" xfId="7" applyFont="1" applyBorder="1"/>
    <xf numFmtId="0" fontId="1" fillId="0" borderId="33" xfId="7" applyFont="1" applyBorder="1"/>
    <xf numFmtId="0" fontId="1" fillId="0" borderId="34" xfId="7" applyFont="1" applyBorder="1"/>
    <xf numFmtId="0" fontId="2" fillId="0" borderId="32" xfId="7" applyFont="1" applyBorder="1" applyAlignment="1">
      <alignment horizontal="center"/>
    </xf>
    <xf numFmtId="0" fontId="2" fillId="0" borderId="33" xfId="7" applyFont="1" applyBorder="1" applyAlignment="1">
      <alignment horizontal="center"/>
    </xf>
    <xf numFmtId="0" fontId="2" fillId="0" borderId="34" xfId="7" applyFont="1" applyBorder="1" applyAlignment="1">
      <alignment horizontal="center"/>
    </xf>
    <xf numFmtId="0" fontId="3" fillId="0" borderId="32" xfId="7" applyFont="1" applyBorder="1" applyAlignment="1">
      <alignment horizontal="left"/>
    </xf>
    <xf numFmtId="0" fontId="3" fillId="0" borderId="33" xfId="7" applyFont="1" applyBorder="1" applyAlignment="1">
      <alignment horizontal="left"/>
    </xf>
    <xf numFmtId="0" fontId="3" fillId="0" borderId="34" xfId="7" applyFont="1" applyBorder="1" applyAlignment="1">
      <alignment horizontal="left"/>
    </xf>
    <xf numFmtId="0" fontId="3" fillId="0" borderId="32" xfId="7" applyFont="1" applyBorder="1" applyAlignment="1">
      <alignment horizontal="left" wrapText="1"/>
    </xf>
    <xf numFmtId="0" fontId="3" fillId="0" borderId="33" xfId="7" applyFont="1" applyBorder="1" applyAlignment="1">
      <alignment horizontal="left" wrapText="1"/>
    </xf>
    <xf numFmtId="0" fontId="3" fillId="0" borderId="34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zoomScale="75" zoomScaleSheetLayoutView="75" workbookViewId="0">
      <selection sqref="A1:F1"/>
    </sheetView>
  </sheetViews>
  <sheetFormatPr defaultColWidth="9.109375" defaultRowHeight="24" customHeight="1" x14ac:dyDescent="0.25"/>
  <cols>
    <col min="1" max="1" width="6.6640625" style="1" customWidth="1"/>
    <col min="2" max="2" width="67.6640625" style="1" customWidth="1"/>
    <col min="3" max="4" width="17.6640625" style="1" bestFit="1" customWidth="1"/>
    <col min="5" max="5" width="16.6640625" style="55" customWidth="1"/>
    <col min="6" max="6" width="17.6640625" style="55" customWidth="1"/>
    <col min="7" max="7" width="12.6640625" style="1" customWidth="1"/>
    <col min="8" max="16384" width="9.109375" style="1"/>
  </cols>
  <sheetData>
    <row r="1" spans="1:8" ht="24" customHeight="1" x14ac:dyDescent="0.3">
      <c r="A1" s="763" t="s">
        <v>0</v>
      </c>
      <c r="B1" s="764"/>
      <c r="C1" s="764"/>
      <c r="D1" s="764"/>
      <c r="E1" s="764"/>
      <c r="F1" s="765"/>
    </row>
    <row r="2" spans="1:8" ht="24" customHeight="1" x14ac:dyDescent="0.3">
      <c r="A2" s="763" t="s">
        <v>1</v>
      </c>
      <c r="B2" s="764"/>
      <c r="C2" s="764"/>
      <c r="D2" s="764"/>
      <c r="E2" s="764"/>
      <c r="F2" s="765"/>
    </row>
    <row r="3" spans="1:8" ht="24" customHeight="1" x14ac:dyDescent="0.3">
      <c r="A3" s="763" t="s">
        <v>2</v>
      </c>
      <c r="B3" s="764"/>
      <c r="C3" s="764"/>
      <c r="D3" s="764"/>
      <c r="E3" s="764"/>
      <c r="F3" s="765"/>
    </row>
    <row r="4" spans="1:8" ht="24" customHeight="1" x14ac:dyDescent="0.3">
      <c r="A4" s="763" t="s">
        <v>3</v>
      </c>
      <c r="B4" s="764"/>
      <c r="C4" s="764"/>
      <c r="D4" s="764"/>
      <c r="E4" s="764"/>
      <c r="F4" s="765"/>
    </row>
    <row r="5" spans="1:8" ht="15" customHeight="1" x14ac:dyDescent="0.3">
      <c r="A5" s="2"/>
      <c r="B5" s="2"/>
      <c r="C5" s="2"/>
      <c r="D5" s="2"/>
      <c r="E5" s="3"/>
      <c r="F5" s="4"/>
    </row>
    <row r="6" spans="1:8" s="6" customFormat="1" ht="15.75" customHeight="1" x14ac:dyDescent="0.3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3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3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3">
      <c r="A9" s="12"/>
      <c r="B9" s="15"/>
      <c r="C9" s="12"/>
      <c r="D9" s="12"/>
      <c r="E9" s="10"/>
      <c r="F9" s="10"/>
    </row>
    <row r="10" spans="1:8" s="6" customFormat="1" ht="15.75" customHeight="1" x14ac:dyDescent="0.3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3">
      <c r="A11" s="16"/>
      <c r="B11" s="7"/>
      <c r="C11" s="16"/>
      <c r="D11" s="16"/>
      <c r="E11" s="18"/>
      <c r="F11" s="18"/>
    </row>
    <row r="12" spans="1:8" s="6" customFormat="1" ht="15.75" customHeight="1" x14ac:dyDescent="0.3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5">
      <c r="A13" s="20">
        <v>1</v>
      </c>
      <c r="B13" s="21" t="s">
        <v>16</v>
      </c>
      <c r="C13" s="22">
        <v>21083000</v>
      </c>
      <c r="D13" s="22">
        <v>24232000</v>
      </c>
      <c r="E13" s="22">
        <f t="shared" ref="E13:E22" si="0">D13-C13</f>
        <v>3149000</v>
      </c>
      <c r="F13" s="23">
        <f t="shared" ref="F13:F22" si="1">IF(C13=0,0,E13/C13)</f>
        <v>0.14936204524972727</v>
      </c>
    </row>
    <row r="14" spans="1:8" ht="24" customHeight="1" x14ac:dyDescent="0.25">
      <c r="A14" s="20">
        <v>2</v>
      </c>
      <c r="B14" s="21" t="s">
        <v>17</v>
      </c>
      <c r="C14" s="22">
        <v>0</v>
      </c>
      <c r="D14" s="22">
        <v>15098000</v>
      </c>
      <c r="E14" s="22">
        <f t="shared" si="0"/>
        <v>15098000</v>
      </c>
      <c r="F14" s="23">
        <f t="shared" si="1"/>
        <v>0</v>
      </c>
    </row>
    <row r="15" spans="1:8" ht="24" customHeight="1" x14ac:dyDescent="0.25">
      <c r="A15" s="20">
        <v>3</v>
      </c>
      <c r="B15" s="21" t="s">
        <v>18</v>
      </c>
      <c r="C15" s="22">
        <v>76938000</v>
      </c>
      <c r="D15" s="22">
        <v>67983000</v>
      </c>
      <c r="E15" s="22">
        <f t="shared" si="0"/>
        <v>-8955000</v>
      </c>
      <c r="F15" s="23">
        <f t="shared" si="1"/>
        <v>-0.11639241987054512</v>
      </c>
    </row>
    <row r="16" spans="1:8" ht="24" customHeight="1" x14ac:dyDescent="0.25">
      <c r="A16" s="20">
        <v>4</v>
      </c>
      <c r="B16" s="21" t="s">
        <v>19</v>
      </c>
      <c r="C16" s="22">
        <v>1868000</v>
      </c>
      <c r="D16" s="22">
        <v>1868000</v>
      </c>
      <c r="E16" s="22">
        <f t="shared" si="0"/>
        <v>0</v>
      </c>
      <c r="F16" s="23">
        <f t="shared" si="1"/>
        <v>0</v>
      </c>
    </row>
    <row r="17" spans="1:11" ht="24" customHeight="1" x14ac:dyDescent="0.25">
      <c r="A17" s="20">
        <v>5</v>
      </c>
      <c r="B17" s="21" t="s">
        <v>20</v>
      </c>
      <c r="C17" s="22">
        <v>6402000</v>
      </c>
      <c r="D17" s="22">
        <v>9696000</v>
      </c>
      <c r="E17" s="22">
        <f t="shared" si="0"/>
        <v>3294000</v>
      </c>
      <c r="F17" s="23">
        <f t="shared" si="1"/>
        <v>0.51452671040299902</v>
      </c>
    </row>
    <row r="18" spans="1:11" ht="24" customHeight="1" x14ac:dyDescent="0.25">
      <c r="A18" s="20">
        <v>6</v>
      </c>
      <c r="B18" s="21" t="s">
        <v>21</v>
      </c>
      <c r="C18" s="22">
        <v>0</v>
      </c>
      <c r="D18" s="22">
        <v>0</v>
      </c>
      <c r="E18" s="22">
        <f t="shared" si="0"/>
        <v>0</v>
      </c>
      <c r="F18" s="23">
        <f t="shared" si="1"/>
        <v>0</v>
      </c>
    </row>
    <row r="19" spans="1:11" ht="24" customHeight="1" x14ac:dyDescent="0.25">
      <c r="A19" s="20">
        <v>7</v>
      </c>
      <c r="B19" s="21" t="s">
        <v>22</v>
      </c>
      <c r="C19" s="22">
        <v>10950000</v>
      </c>
      <c r="D19" s="22">
        <v>11965000</v>
      </c>
      <c r="E19" s="22">
        <f t="shared" si="0"/>
        <v>1015000</v>
      </c>
      <c r="F19" s="23">
        <f t="shared" si="1"/>
        <v>9.2694063926940642E-2</v>
      </c>
    </row>
    <row r="20" spans="1:11" ht="24" customHeight="1" x14ac:dyDescent="0.25">
      <c r="A20" s="20">
        <v>8</v>
      </c>
      <c r="B20" s="21" t="s">
        <v>23</v>
      </c>
      <c r="C20" s="22">
        <v>6399000</v>
      </c>
      <c r="D20" s="22">
        <v>8710000</v>
      </c>
      <c r="E20" s="22">
        <f t="shared" si="0"/>
        <v>2311000</v>
      </c>
      <c r="F20" s="23">
        <f t="shared" si="1"/>
        <v>0.36115017971558055</v>
      </c>
    </row>
    <row r="21" spans="1:11" ht="24" customHeight="1" x14ac:dyDescent="0.25">
      <c r="A21" s="20">
        <v>9</v>
      </c>
      <c r="B21" s="21" t="s">
        <v>24</v>
      </c>
      <c r="C21" s="22">
        <v>0</v>
      </c>
      <c r="D21" s="22">
        <v>0</v>
      </c>
      <c r="E21" s="22">
        <f t="shared" si="0"/>
        <v>0</v>
      </c>
      <c r="F21" s="23">
        <f t="shared" si="1"/>
        <v>0</v>
      </c>
    </row>
    <row r="22" spans="1:11" ht="24" customHeight="1" x14ac:dyDescent="0.3">
      <c r="A22" s="24"/>
      <c r="B22" s="25" t="s">
        <v>25</v>
      </c>
      <c r="C22" s="26">
        <f>SUM(C13:C21)</f>
        <v>123640000</v>
      </c>
      <c r="D22" s="26">
        <f>SUM(D13:D21)</f>
        <v>139552000</v>
      </c>
      <c r="E22" s="26">
        <f t="shared" si="0"/>
        <v>15912000</v>
      </c>
      <c r="F22" s="27">
        <f t="shared" si="1"/>
        <v>0.12869621481721125</v>
      </c>
    </row>
    <row r="23" spans="1:11" ht="15" customHeight="1" x14ac:dyDescent="0.25">
      <c r="A23" s="20"/>
      <c r="B23" s="4"/>
      <c r="C23" s="28"/>
      <c r="D23" s="28"/>
      <c r="E23" s="28"/>
      <c r="F23" s="23"/>
    </row>
    <row r="24" spans="1:11" ht="24" customHeight="1" x14ac:dyDescent="0.3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5">
      <c r="A25" s="20">
        <v>1</v>
      </c>
      <c r="B25" s="21" t="s">
        <v>28</v>
      </c>
      <c r="C25" s="22">
        <v>0</v>
      </c>
      <c r="D25" s="22">
        <v>0</v>
      </c>
      <c r="E25" s="22">
        <f>D25-C25</f>
        <v>0</v>
      </c>
      <c r="F25" s="23">
        <f>IF(C25=0,0,E25/C25)</f>
        <v>0</v>
      </c>
      <c r="H25" s="32"/>
      <c r="I25" s="33"/>
      <c r="J25" s="33"/>
      <c r="K25" s="34"/>
    </row>
    <row r="26" spans="1:11" ht="24" customHeight="1" x14ac:dyDescent="0.25">
      <c r="A26" s="20">
        <v>2</v>
      </c>
      <c r="B26" s="21" t="s">
        <v>29</v>
      </c>
      <c r="C26" s="22">
        <v>0</v>
      </c>
      <c r="D26" s="22">
        <v>0</v>
      </c>
      <c r="E26" s="22">
        <f>D26-C26</f>
        <v>0</v>
      </c>
      <c r="F26" s="23">
        <f>IF(C26=0,0,E26/C26)</f>
        <v>0</v>
      </c>
      <c r="H26" s="32"/>
      <c r="I26" s="33"/>
      <c r="J26" s="33"/>
      <c r="K26" s="34"/>
    </row>
    <row r="27" spans="1:11" ht="24" customHeight="1" x14ac:dyDescent="0.25">
      <c r="A27" s="20">
        <v>3</v>
      </c>
      <c r="B27" s="21" t="s">
        <v>30</v>
      </c>
      <c r="C27" s="22">
        <v>0</v>
      </c>
      <c r="D27" s="22">
        <v>0</v>
      </c>
      <c r="E27" s="22">
        <f>D27-C27</f>
        <v>0</v>
      </c>
      <c r="F27" s="23">
        <f>IF(C27=0,0,E27/C27)</f>
        <v>0</v>
      </c>
    </row>
    <row r="28" spans="1:11" ht="24" customHeight="1" x14ac:dyDescent="0.25">
      <c r="A28" s="20">
        <v>4</v>
      </c>
      <c r="B28" s="21" t="s">
        <v>31</v>
      </c>
      <c r="C28" s="22">
        <v>166957000</v>
      </c>
      <c r="D28" s="22">
        <v>121804000</v>
      </c>
      <c r="E28" s="22">
        <f>D28-C28</f>
        <v>-45153000</v>
      </c>
      <c r="F28" s="23">
        <f>IF(C28=0,0,E28/C28)</f>
        <v>-0.27044688153237062</v>
      </c>
    </row>
    <row r="29" spans="1:11" ht="24" customHeight="1" x14ac:dyDescent="0.3">
      <c r="A29" s="24"/>
      <c r="B29" s="25" t="s">
        <v>32</v>
      </c>
      <c r="C29" s="26">
        <f>SUM(C25:C28)</f>
        <v>166957000</v>
      </c>
      <c r="D29" s="26">
        <f>SUM(D25:D28)</f>
        <v>121804000</v>
      </c>
      <c r="E29" s="26">
        <f>D29-C29</f>
        <v>-45153000</v>
      </c>
      <c r="F29" s="27">
        <f>IF(C29=0,0,E29/C29)</f>
        <v>-0.27044688153237062</v>
      </c>
    </row>
    <row r="30" spans="1:11" ht="15" customHeight="1" x14ac:dyDescent="0.25">
      <c r="A30" s="20"/>
      <c r="B30" s="4"/>
      <c r="C30" s="28"/>
      <c r="D30" s="28"/>
      <c r="E30" s="28"/>
      <c r="F30" s="23"/>
    </row>
    <row r="31" spans="1:11" ht="15" customHeight="1" x14ac:dyDescent="0.25">
      <c r="A31" s="20">
        <v>5</v>
      </c>
      <c r="B31" s="21" t="s">
        <v>33</v>
      </c>
      <c r="C31" s="22">
        <v>92378000</v>
      </c>
      <c r="D31" s="22">
        <v>87854000</v>
      </c>
      <c r="E31" s="22">
        <f>D31-C31</f>
        <v>-4524000</v>
      </c>
      <c r="F31" s="23">
        <f>IF(C31=0,0,E31/C31)</f>
        <v>-4.8972699127497889E-2</v>
      </c>
    </row>
    <row r="32" spans="1:11" ht="24" customHeight="1" x14ac:dyDescent="0.25">
      <c r="A32" s="20">
        <v>6</v>
      </c>
      <c r="B32" s="21" t="s">
        <v>34</v>
      </c>
      <c r="C32" s="22">
        <v>0</v>
      </c>
      <c r="D32" s="22">
        <v>0</v>
      </c>
      <c r="E32" s="22">
        <f>D32-C32</f>
        <v>0</v>
      </c>
      <c r="F32" s="23">
        <f>IF(C32=0,0,E32/C32)</f>
        <v>0</v>
      </c>
    </row>
    <row r="33" spans="1:8" ht="24" customHeight="1" x14ac:dyDescent="0.25">
      <c r="A33" s="20">
        <v>7</v>
      </c>
      <c r="B33" s="21" t="s">
        <v>35</v>
      </c>
      <c r="C33" s="22">
        <v>60272000</v>
      </c>
      <c r="D33" s="22">
        <v>74719000</v>
      </c>
      <c r="E33" s="22">
        <f>D33-C33</f>
        <v>14447000</v>
      </c>
      <c r="F33" s="23">
        <f>IF(C33=0,0,E33/C33)</f>
        <v>0.23969670825590655</v>
      </c>
    </row>
    <row r="34" spans="1:8" ht="15" customHeight="1" x14ac:dyDescent="0.25">
      <c r="A34" s="20"/>
      <c r="B34" s="4"/>
      <c r="C34" s="28"/>
      <c r="D34" s="28"/>
      <c r="E34" s="28"/>
      <c r="F34" s="23"/>
    </row>
    <row r="35" spans="1:8" ht="24" customHeight="1" x14ac:dyDescent="0.3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5">
      <c r="A36" s="20">
        <v>1</v>
      </c>
      <c r="B36" s="21" t="s">
        <v>38</v>
      </c>
      <c r="C36" s="22">
        <v>829653000</v>
      </c>
      <c r="D36" s="22">
        <v>860262000</v>
      </c>
      <c r="E36" s="22">
        <f>D36-C36</f>
        <v>30609000</v>
      </c>
      <c r="F36" s="23">
        <f>IF(C36=0,0,E36/C36)</f>
        <v>3.6893737502305179E-2</v>
      </c>
    </row>
    <row r="37" spans="1:8" ht="24" customHeight="1" x14ac:dyDescent="0.25">
      <c r="A37" s="20">
        <v>2</v>
      </c>
      <c r="B37" s="21" t="s">
        <v>39</v>
      </c>
      <c r="C37" s="22">
        <v>452258000</v>
      </c>
      <c r="D37" s="22">
        <v>491994000</v>
      </c>
      <c r="E37" s="22">
        <f>D37-C37</f>
        <v>39736000</v>
      </c>
      <c r="F37" s="23">
        <f>IF(C37=0,0,E37/C37)</f>
        <v>8.7861353475228735E-2</v>
      </c>
    </row>
    <row r="38" spans="1:8" ht="24" customHeight="1" x14ac:dyDescent="0.3">
      <c r="A38" s="24"/>
      <c r="B38" s="25" t="s">
        <v>40</v>
      </c>
      <c r="C38" s="26">
        <f>C36-C37</f>
        <v>377395000</v>
      </c>
      <c r="D38" s="26">
        <f>D36-D37</f>
        <v>368268000</v>
      </c>
      <c r="E38" s="26">
        <f>D38-C38</f>
        <v>-9127000</v>
      </c>
      <c r="F38" s="27">
        <f>IF(C38=0,0,E38/C38)</f>
        <v>-2.4184210177665311E-2</v>
      </c>
    </row>
    <row r="39" spans="1:8" ht="15" customHeight="1" x14ac:dyDescent="0.25">
      <c r="A39" s="20"/>
      <c r="B39" s="4"/>
      <c r="C39" s="28"/>
      <c r="D39" s="28"/>
      <c r="E39" s="28"/>
      <c r="F39" s="23"/>
    </row>
    <row r="40" spans="1:8" ht="24" customHeight="1" x14ac:dyDescent="0.25">
      <c r="A40" s="20">
        <v>3</v>
      </c>
      <c r="B40" s="21" t="s">
        <v>41</v>
      </c>
      <c r="C40" s="22">
        <v>16766000</v>
      </c>
      <c r="D40" s="22">
        <v>30101000</v>
      </c>
      <c r="E40" s="22">
        <f>D40-C40</f>
        <v>13335000</v>
      </c>
      <c r="F40" s="23">
        <f>IF(C40=0,0,E40/C40)</f>
        <v>0.79535965644757245</v>
      </c>
    </row>
    <row r="41" spans="1:8" ht="24" customHeight="1" x14ac:dyDescent="0.3">
      <c r="A41" s="24"/>
      <c r="B41" s="25" t="s">
        <v>42</v>
      </c>
      <c r="C41" s="26">
        <f>+C38+C40</f>
        <v>394161000</v>
      </c>
      <c r="D41" s="26">
        <f>+D38+D40</f>
        <v>398369000</v>
      </c>
      <c r="E41" s="26">
        <f>D41-C41</f>
        <v>4208000</v>
      </c>
      <c r="F41" s="27">
        <f>IF(C41=0,0,E41/C41)</f>
        <v>1.0675840582909015E-2</v>
      </c>
    </row>
    <row r="42" spans="1:8" ht="24" customHeight="1" x14ac:dyDescent="0.25">
      <c r="A42" s="20"/>
      <c r="B42" s="21"/>
      <c r="C42" s="28"/>
      <c r="D42" s="28"/>
      <c r="E42" s="28"/>
      <c r="F42" s="23"/>
    </row>
    <row r="43" spans="1:8" ht="24" customHeight="1" x14ac:dyDescent="0.3">
      <c r="A43" s="24"/>
      <c r="B43" s="25" t="s">
        <v>43</v>
      </c>
      <c r="C43" s="26">
        <f>C22+C29+C31+C32+C33+C41</f>
        <v>837408000</v>
      </c>
      <c r="D43" s="26">
        <f>D22+D29+D31+D32+D33+D41</f>
        <v>822298000</v>
      </c>
      <c r="E43" s="26">
        <f>D43-C43</f>
        <v>-15110000</v>
      </c>
      <c r="F43" s="27">
        <f>IF(C43=0,0,E43/C43)</f>
        <v>-1.8043773166723988E-2</v>
      </c>
    </row>
    <row r="44" spans="1:8" ht="15.75" customHeight="1" x14ac:dyDescent="0.3">
      <c r="A44" s="35"/>
      <c r="B44" s="2"/>
      <c r="C44" s="36"/>
      <c r="D44" s="36"/>
      <c r="E44" s="37"/>
      <c r="F44" s="4"/>
    </row>
    <row r="45" spans="1:8" s="6" customFormat="1" ht="15.75" customHeight="1" x14ac:dyDescent="0.3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3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3">
      <c r="A47" s="16"/>
      <c r="B47" s="7"/>
      <c r="C47" s="39"/>
      <c r="D47" s="39"/>
      <c r="E47" s="40"/>
      <c r="F47" s="16"/>
    </row>
    <row r="48" spans="1:8" ht="15.75" customHeight="1" x14ac:dyDescent="0.3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5">
      <c r="A49" s="20">
        <v>1</v>
      </c>
      <c r="B49" s="21" t="s">
        <v>47</v>
      </c>
      <c r="C49" s="22">
        <v>35981000</v>
      </c>
      <c r="D49" s="22">
        <v>38710000</v>
      </c>
      <c r="E49" s="22">
        <f t="shared" ref="E49:E56" si="2">D49-C49</f>
        <v>2729000</v>
      </c>
      <c r="F49" s="23">
        <f t="shared" ref="F49:F56" si="3">IF(C49=0,0,E49/C49)</f>
        <v>7.584558516995081E-2</v>
      </c>
    </row>
    <row r="50" spans="1:6" ht="24" customHeight="1" x14ac:dyDescent="0.25">
      <c r="A50" s="20">
        <f t="shared" ref="A50:A55" si="4">1+A49</f>
        <v>2</v>
      </c>
      <c r="B50" s="21" t="s">
        <v>48</v>
      </c>
      <c r="C50" s="22">
        <v>36985000</v>
      </c>
      <c r="D50" s="22">
        <v>30951000</v>
      </c>
      <c r="E50" s="22">
        <f t="shared" si="2"/>
        <v>-6034000</v>
      </c>
      <c r="F50" s="23">
        <f t="shared" si="3"/>
        <v>-0.16314722184669461</v>
      </c>
    </row>
    <row r="51" spans="1:6" ht="24" customHeight="1" x14ac:dyDescent="0.25">
      <c r="A51" s="20">
        <f t="shared" si="4"/>
        <v>3</v>
      </c>
      <c r="B51" s="21" t="s">
        <v>49</v>
      </c>
      <c r="C51" s="22">
        <v>18232000</v>
      </c>
      <c r="D51" s="22">
        <v>18200000</v>
      </c>
      <c r="E51" s="22">
        <f t="shared" si="2"/>
        <v>-32000</v>
      </c>
      <c r="F51" s="23">
        <f t="shared" si="3"/>
        <v>-1.7551557700745941E-3</v>
      </c>
    </row>
    <row r="52" spans="1:6" ht="24" customHeight="1" x14ac:dyDescent="0.25">
      <c r="A52" s="20">
        <f t="shared" si="4"/>
        <v>4</v>
      </c>
      <c r="B52" s="21" t="s">
        <v>50</v>
      </c>
      <c r="C52" s="22">
        <v>0</v>
      </c>
      <c r="D52" s="22">
        <v>0</v>
      </c>
      <c r="E52" s="22">
        <f t="shared" si="2"/>
        <v>0</v>
      </c>
      <c r="F52" s="23">
        <f t="shared" si="3"/>
        <v>0</v>
      </c>
    </row>
    <row r="53" spans="1:6" ht="24" customHeight="1" x14ac:dyDescent="0.25">
      <c r="A53" s="20">
        <f t="shared" si="4"/>
        <v>5</v>
      </c>
      <c r="B53" s="21" t="s">
        <v>51</v>
      </c>
      <c r="C53" s="22">
        <v>1580000</v>
      </c>
      <c r="D53" s="22">
        <v>1640000</v>
      </c>
      <c r="E53" s="22">
        <f t="shared" si="2"/>
        <v>60000</v>
      </c>
      <c r="F53" s="23">
        <f t="shared" si="3"/>
        <v>3.7974683544303799E-2</v>
      </c>
    </row>
    <row r="54" spans="1:6" ht="24" customHeight="1" x14ac:dyDescent="0.25">
      <c r="A54" s="20">
        <f t="shared" si="4"/>
        <v>6</v>
      </c>
      <c r="B54" s="21" t="s">
        <v>52</v>
      </c>
      <c r="C54" s="22">
        <v>0</v>
      </c>
      <c r="D54" s="22">
        <v>0</v>
      </c>
      <c r="E54" s="22">
        <f t="shared" si="2"/>
        <v>0</v>
      </c>
      <c r="F54" s="23">
        <f t="shared" si="3"/>
        <v>0</v>
      </c>
    </row>
    <row r="55" spans="1:6" ht="24" customHeight="1" x14ac:dyDescent="0.25">
      <c r="A55" s="20">
        <f t="shared" si="4"/>
        <v>7</v>
      </c>
      <c r="B55" s="21" t="s">
        <v>53</v>
      </c>
      <c r="C55" s="22">
        <v>4542000</v>
      </c>
      <c r="D55" s="22">
        <v>4958000</v>
      </c>
      <c r="E55" s="22">
        <f t="shared" si="2"/>
        <v>416000</v>
      </c>
      <c r="F55" s="23">
        <f t="shared" si="3"/>
        <v>9.1589608102157646E-2</v>
      </c>
    </row>
    <row r="56" spans="1:6" ht="24" customHeight="1" x14ac:dyDescent="0.3">
      <c r="A56" s="24"/>
      <c r="B56" s="25" t="s">
        <v>54</v>
      </c>
      <c r="C56" s="26">
        <f>SUM(C49:C55)</f>
        <v>97320000</v>
      </c>
      <c r="D56" s="26">
        <f>SUM(D49:D55)</f>
        <v>94459000</v>
      </c>
      <c r="E56" s="26">
        <f t="shared" si="2"/>
        <v>-2861000</v>
      </c>
      <c r="F56" s="27">
        <f t="shared" si="3"/>
        <v>-2.9397862720920674E-2</v>
      </c>
    </row>
    <row r="57" spans="1:6" ht="24" customHeight="1" x14ac:dyDescent="0.3">
      <c r="A57" s="20"/>
      <c r="B57" s="25"/>
      <c r="C57" s="42"/>
      <c r="D57" s="42"/>
      <c r="E57" s="42"/>
      <c r="F57" s="27"/>
    </row>
    <row r="58" spans="1:6" ht="15.75" customHeight="1" x14ac:dyDescent="0.3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5">
      <c r="A59" s="20">
        <v>1</v>
      </c>
      <c r="B59" s="21" t="s">
        <v>56</v>
      </c>
      <c r="C59" s="22">
        <v>0</v>
      </c>
      <c r="D59" s="22">
        <v>0</v>
      </c>
      <c r="E59" s="22">
        <f>D59-C59</f>
        <v>0</v>
      </c>
      <c r="F59" s="23">
        <f>IF(C59=0,0,E59/C59)</f>
        <v>0</v>
      </c>
    </row>
    <row r="60" spans="1:6" ht="24" customHeight="1" x14ac:dyDescent="0.25">
      <c r="A60" s="20">
        <v>2</v>
      </c>
      <c r="B60" s="21" t="s">
        <v>57</v>
      </c>
      <c r="C60" s="22">
        <v>243270000</v>
      </c>
      <c r="D60" s="22">
        <v>241630000</v>
      </c>
      <c r="E60" s="22">
        <f>D60-C60</f>
        <v>-1640000</v>
      </c>
      <c r="F60" s="23">
        <f>IF(C60=0,0,E60/C60)</f>
        <v>-6.741480659349694E-3</v>
      </c>
    </row>
    <row r="61" spans="1:6" ht="24" customHeight="1" x14ac:dyDescent="0.3">
      <c r="A61" s="24"/>
      <c r="B61" s="25" t="s">
        <v>58</v>
      </c>
      <c r="C61" s="26">
        <f>SUM(C59:C60)</f>
        <v>243270000</v>
      </c>
      <c r="D61" s="26">
        <f>SUM(D59:D60)</f>
        <v>241630000</v>
      </c>
      <c r="E61" s="26">
        <f>D61-C61</f>
        <v>-1640000</v>
      </c>
      <c r="F61" s="27">
        <f>IF(C61=0,0,E61/C61)</f>
        <v>-6.741480659349694E-3</v>
      </c>
    </row>
    <row r="62" spans="1:6" ht="15" customHeight="1" x14ac:dyDescent="0.25">
      <c r="A62" s="20"/>
      <c r="B62" s="4"/>
      <c r="C62" s="28"/>
      <c r="D62" s="28"/>
      <c r="E62" s="28"/>
      <c r="F62" s="23"/>
    </row>
    <row r="63" spans="1:6" ht="24" customHeight="1" x14ac:dyDescent="0.25">
      <c r="A63" s="20">
        <v>3</v>
      </c>
      <c r="B63" s="21" t="s">
        <v>59</v>
      </c>
      <c r="C63" s="22">
        <v>0</v>
      </c>
      <c r="D63" s="22">
        <v>0</v>
      </c>
      <c r="E63" s="22">
        <f>D63-C63</f>
        <v>0</v>
      </c>
      <c r="F63" s="23">
        <f>IF(C63=0,0,E63/C63)</f>
        <v>0</v>
      </c>
    </row>
    <row r="64" spans="1:6" ht="24" customHeight="1" x14ac:dyDescent="0.25">
      <c r="A64" s="20">
        <v>4</v>
      </c>
      <c r="B64" s="21" t="s">
        <v>60</v>
      </c>
      <c r="C64" s="22">
        <v>20082000</v>
      </c>
      <c r="D64" s="22">
        <v>32854000</v>
      </c>
      <c r="E64" s="22">
        <f>D64-C64</f>
        <v>12772000</v>
      </c>
      <c r="F64" s="23">
        <f>IF(C64=0,0,E64/C64)</f>
        <v>0.6359924310327657</v>
      </c>
    </row>
    <row r="65" spans="1:6" ht="24" customHeight="1" x14ac:dyDescent="0.3">
      <c r="A65" s="24"/>
      <c r="B65" s="25" t="s">
        <v>61</v>
      </c>
      <c r="C65" s="26">
        <f>SUM(C61:C64)</f>
        <v>263352000</v>
      </c>
      <c r="D65" s="26">
        <f>SUM(D61:D64)</f>
        <v>274484000</v>
      </c>
      <c r="E65" s="26">
        <f>D65-C65</f>
        <v>11132000</v>
      </c>
      <c r="F65" s="27">
        <f>IF(C65=0,0,E65/C65)</f>
        <v>4.2270421337221663E-2</v>
      </c>
    </row>
    <row r="66" spans="1:6" ht="24" customHeight="1" x14ac:dyDescent="0.25">
      <c r="B66" s="4"/>
      <c r="C66" s="28"/>
      <c r="D66" s="28"/>
      <c r="E66" s="28"/>
      <c r="F66" s="23"/>
    </row>
    <row r="67" spans="1:6" s="46" customFormat="1" ht="15" customHeight="1" x14ac:dyDescent="0.3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5">
      <c r="B68" s="4"/>
      <c r="C68" s="28"/>
      <c r="D68" s="28"/>
      <c r="E68" s="28"/>
      <c r="F68" s="23"/>
    </row>
    <row r="69" spans="1:6" ht="15.75" customHeight="1" x14ac:dyDescent="0.3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5">
      <c r="A70" s="20">
        <v>1</v>
      </c>
      <c r="B70" s="21" t="s">
        <v>64</v>
      </c>
      <c r="C70" s="22">
        <v>406110000</v>
      </c>
      <c r="D70" s="22">
        <v>392151000</v>
      </c>
      <c r="E70" s="22">
        <f>D70-C70</f>
        <v>-13959000</v>
      </c>
      <c r="F70" s="23">
        <f>IF(C70=0,0,E70/C70)</f>
        <v>-3.437246066336707E-2</v>
      </c>
    </row>
    <row r="71" spans="1:6" ht="24" customHeight="1" x14ac:dyDescent="0.25">
      <c r="A71" s="20">
        <v>2</v>
      </c>
      <c r="B71" s="21" t="s">
        <v>65</v>
      </c>
      <c r="C71" s="22">
        <v>36051000</v>
      </c>
      <c r="D71" s="22">
        <v>25378000</v>
      </c>
      <c r="E71" s="22">
        <f>D71-C71</f>
        <v>-10673000</v>
      </c>
      <c r="F71" s="23">
        <f>IF(C71=0,0,E71/C71)</f>
        <v>-0.29605281406895789</v>
      </c>
    </row>
    <row r="72" spans="1:6" ht="24" customHeight="1" x14ac:dyDescent="0.25">
      <c r="A72" s="20">
        <v>3</v>
      </c>
      <c r="B72" s="21" t="s">
        <v>66</v>
      </c>
      <c r="C72" s="22">
        <v>34575000</v>
      </c>
      <c r="D72" s="22">
        <v>35826000</v>
      </c>
      <c r="E72" s="22">
        <f>D72-C72</f>
        <v>1251000</v>
      </c>
      <c r="F72" s="23">
        <f>IF(C72=0,0,E72/C72)</f>
        <v>3.6182212581344901E-2</v>
      </c>
    </row>
    <row r="73" spans="1:6" ht="24" customHeight="1" x14ac:dyDescent="0.3">
      <c r="A73" s="20"/>
      <c r="B73" s="25" t="s">
        <v>67</v>
      </c>
      <c r="C73" s="26">
        <f>SUM(C70:C72)</f>
        <v>476736000</v>
      </c>
      <c r="D73" s="26">
        <f>SUM(D70:D72)</f>
        <v>453355000</v>
      </c>
      <c r="E73" s="26">
        <f>D73-C73</f>
        <v>-23381000</v>
      </c>
      <c r="F73" s="27">
        <f>IF(C73=0,0,E73/C73)</f>
        <v>-4.9043915290643038E-2</v>
      </c>
    </row>
    <row r="74" spans="1:6" ht="24" customHeight="1" x14ac:dyDescent="0.3">
      <c r="B74" s="25"/>
      <c r="C74" s="28"/>
      <c r="D74" s="28"/>
      <c r="E74" s="28"/>
      <c r="F74" s="23"/>
    </row>
    <row r="75" spans="1:6" ht="15.75" customHeight="1" x14ac:dyDescent="0.3">
      <c r="A75" s="20"/>
      <c r="B75" s="25" t="s">
        <v>68</v>
      </c>
      <c r="C75" s="26">
        <f>C56+C65+C67+C73</f>
        <v>837408000</v>
      </c>
      <c r="D75" s="26">
        <f>D56+D65+D67+D73</f>
        <v>822298000</v>
      </c>
      <c r="E75" s="26">
        <f>D75-C75</f>
        <v>-15110000</v>
      </c>
      <c r="F75" s="27">
        <f>IF(C75=0,0,E75/C75)</f>
        <v>-1.8043773166723988E-2</v>
      </c>
    </row>
    <row r="76" spans="1:6" ht="24" customHeight="1" x14ac:dyDescent="0.3">
      <c r="B76" s="25"/>
      <c r="C76" s="42"/>
      <c r="D76" s="42"/>
      <c r="E76" s="42"/>
      <c r="F76" s="27"/>
    </row>
    <row r="77" spans="1:6" ht="24" customHeight="1" x14ac:dyDescent="0.3">
      <c r="A77" s="29"/>
      <c r="B77" s="47"/>
      <c r="C77" s="26"/>
      <c r="D77" s="26"/>
      <c r="E77" s="26"/>
      <c r="F77" s="27"/>
    </row>
    <row r="78" spans="1:6" ht="24" customHeight="1" x14ac:dyDescent="0.3">
      <c r="A78" s="20"/>
      <c r="B78" s="48"/>
      <c r="C78" s="49"/>
      <c r="D78" s="49"/>
      <c r="E78" s="49"/>
      <c r="F78" s="27"/>
    </row>
    <row r="79" spans="1:6" ht="47.25" customHeight="1" x14ac:dyDescent="0.3">
      <c r="A79" s="20"/>
      <c r="B79" s="50"/>
      <c r="C79" s="51"/>
      <c r="D79" s="51"/>
      <c r="E79" s="52"/>
      <c r="F79" s="27"/>
    </row>
    <row r="80" spans="1:6" ht="24" customHeight="1" x14ac:dyDescent="0.3">
      <c r="A80" s="20"/>
      <c r="B80" s="25"/>
      <c r="C80" s="26"/>
      <c r="D80" s="26"/>
      <c r="E80" s="53"/>
      <c r="F80" s="27"/>
    </row>
    <row r="81" spans="1:6" ht="24" customHeight="1" x14ac:dyDescent="0.3">
      <c r="A81" s="20"/>
      <c r="B81" s="25"/>
      <c r="C81" s="26"/>
      <c r="D81" s="26"/>
      <c r="E81" s="53"/>
      <c r="F81" s="27"/>
    </row>
    <row r="82" spans="1:6" ht="24" customHeight="1" x14ac:dyDescent="0.25">
      <c r="A82" s="20"/>
      <c r="B82" s="20"/>
      <c r="C82" s="54"/>
      <c r="D82" s="4"/>
      <c r="E82" s="4"/>
      <c r="F82" s="4"/>
    </row>
    <row r="83" spans="1:6" ht="12.75" customHeight="1" x14ac:dyDescent="0.25"/>
    <row r="84" spans="1:6" ht="12.75" customHeight="1" x14ac:dyDescent="0.25"/>
    <row r="85" spans="1:6" ht="12.75" customHeight="1" x14ac:dyDescent="0.25"/>
    <row r="86" spans="1:6" ht="12.75" customHeight="1" x14ac:dyDescent="0.25"/>
    <row r="87" spans="1:6" ht="12.75" customHeight="1" x14ac:dyDescent="0.25"/>
    <row r="88" spans="1:6" ht="12.75" customHeight="1" x14ac:dyDescent="0.25"/>
    <row r="89" spans="1:6" ht="12.75" customHeight="1" x14ac:dyDescent="0.25"/>
    <row r="90" spans="1:6" ht="12.75" customHeight="1" x14ac:dyDescent="0.25"/>
    <row r="91" spans="1:6" ht="12.75" customHeight="1" x14ac:dyDescent="0.25"/>
    <row r="92" spans="1:6" ht="12.75" customHeight="1" x14ac:dyDescent="0.25"/>
    <row r="93" spans="1:6" ht="12.75" customHeight="1" x14ac:dyDescent="0.25"/>
    <row r="94" spans="1:6" ht="12.75" customHeight="1" x14ac:dyDescent="0.25"/>
    <row r="95" spans="1:6" ht="12.75" customHeight="1" x14ac:dyDescent="0.25"/>
    <row r="96" spans="1:6" ht="12.75" customHeight="1" x14ac:dyDescent="0.25"/>
    <row r="97" spans="7:8" ht="12.75" customHeight="1" x14ac:dyDescent="0.25"/>
    <row r="98" spans="7:8" ht="12.75" customHeight="1" x14ac:dyDescent="0.25"/>
    <row r="99" spans="7:8" ht="12.75" customHeight="1" x14ac:dyDescent="0.25"/>
    <row r="100" spans="7:8" ht="12.75" customHeight="1" x14ac:dyDescent="0.25">
      <c r="G100" s="6"/>
      <c r="H100" s="11"/>
    </row>
    <row r="101" spans="7:8" ht="12.75" customHeight="1" x14ac:dyDescent="0.25"/>
    <row r="102" spans="7:8" ht="12.75" customHeight="1" x14ac:dyDescent="0.25"/>
    <row r="103" spans="7:8" ht="12.75" customHeight="1" x14ac:dyDescent="0.25"/>
    <row r="104" spans="7:8" ht="12.75" customHeight="1" x14ac:dyDescent="0.25"/>
    <row r="105" spans="7:8" ht="12.75" customHeight="1" x14ac:dyDescent="0.25"/>
    <row r="106" spans="7:8" ht="12.75" customHeight="1" x14ac:dyDescent="0.25"/>
    <row r="107" spans="7:8" ht="12.75" customHeight="1" x14ac:dyDescent="0.25"/>
    <row r="108" spans="7:8" ht="12.75" customHeight="1" x14ac:dyDescent="0.25"/>
    <row r="109" spans="7:8" ht="12.75" customHeight="1" x14ac:dyDescent="0.25"/>
    <row r="110" spans="7:8" ht="12.75" customHeight="1" x14ac:dyDescent="0.25"/>
    <row r="111" spans="7:8" ht="12.75" customHeight="1" x14ac:dyDescent="0.25"/>
    <row r="112" spans="7:8" ht="12.75" customHeight="1" x14ac:dyDescent="0.25"/>
    <row r="113" spans="7:8" ht="12.75" customHeight="1" x14ac:dyDescent="0.25"/>
    <row r="114" spans="7:8" ht="12.75" customHeight="1" x14ac:dyDescent="0.25"/>
    <row r="115" spans="7:8" ht="12.75" customHeight="1" x14ac:dyDescent="0.25"/>
    <row r="116" spans="7:8" ht="12.75" customHeight="1" x14ac:dyDescent="0.25"/>
    <row r="117" spans="7:8" ht="12.75" customHeight="1" x14ac:dyDescent="0.25"/>
    <row r="118" spans="7:8" ht="12.75" customHeight="1" x14ac:dyDescent="0.25">
      <c r="G118" s="6"/>
      <c r="H118" s="11"/>
    </row>
    <row r="119" spans="7:8" ht="12.75" customHeight="1" x14ac:dyDescent="0.25"/>
    <row r="120" spans="7:8" ht="12.75" customHeight="1" x14ac:dyDescent="0.25"/>
    <row r="121" spans="7:8" ht="12.75" customHeight="1" x14ac:dyDescent="0.25"/>
    <row r="122" spans="7:8" ht="12.75" customHeight="1" x14ac:dyDescent="0.25"/>
    <row r="123" spans="7:8" ht="14.25" customHeight="1" x14ac:dyDescent="0.25"/>
    <row r="124" spans="7:8" ht="15.75" customHeight="1" x14ac:dyDescent="0.25"/>
    <row r="125" spans="7:8" ht="9.75" customHeight="1" x14ac:dyDescent="0.25"/>
    <row r="126" spans="7:8" ht="15.75" customHeight="1" x14ac:dyDescent="0.25"/>
    <row r="127" spans="7:8" ht="12.75" customHeight="1" x14ac:dyDescent="0.25"/>
    <row r="128" spans="7:8" ht="12.75" customHeight="1" x14ac:dyDescent="0.25">
      <c r="G128" s="6"/>
      <c r="H128" s="11"/>
    </row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1" fitToHeight="0" orientation="portrait" horizontalDpi="1200" verticalDpi="1200" r:id="rId1"/>
  <headerFooter>
    <oddHeader>&amp;LOFFICE OF HEALTH CARE ACCESS&amp;CTWELVE MONTHS ACTUAL FILING&amp;RDANBURY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zoomScale="70" zoomScaleSheetLayoutView="75" workbookViewId="0">
      <selection activeCell="E80" sqref="E80"/>
    </sheetView>
  </sheetViews>
  <sheetFormatPr defaultColWidth="9.109375" defaultRowHeight="24" customHeight="1" x14ac:dyDescent="0.25"/>
  <cols>
    <col min="1" max="1" width="5.6640625" style="56" customWidth="1"/>
    <col min="2" max="2" width="61.88671875" style="56" customWidth="1"/>
    <col min="3" max="3" width="22.6640625" style="56" customWidth="1"/>
    <col min="4" max="4" width="20.5546875" style="56" customWidth="1"/>
    <col min="5" max="6" width="19" style="225" customWidth="1"/>
    <col min="7" max="7" width="18.6640625" style="56" customWidth="1"/>
    <col min="8" max="16384" width="9.109375" style="56"/>
  </cols>
  <sheetData>
    <row r="1" spans="1:6" ht="24" customHeight="1" x14ac:dyDescent="0.3">
      <c r="A1" s="766" t="s">
        <v>500</v>
      </c>
      <c r="B1" s="767"/>
      <c r="C1" s="767"/>
      <c r="D1" s="767"/>
      <c r="E1" s="768"/>
    </row>
    <row r="2" spans="1:6" ht="24" customHeight="1" x14ac:dyDescent="0.3">
      <c r="A2" s="766" t="s">
        <v>1</v>
      </c>
      <c r="B2" s="767"/>
      <c r="C2" s="767"/>
      <c r="D2" s="767"/>
      <c r="E2" s="768"/>
    </row>
    <row r="3" spans="1:6" ht="24" customHeight="1" x14ac:dyDescent="0.3">
      <c r="A3" s="766" t="s">
        <v>2</v>
      </c>
      <c r="B3" s="767"/>
      <c r="C3" s="767"/>
      <c r="D3" s="767"/>
      <c r="E3" s="768"/>
    </row>
    <row r="4" spans="1:6" ht="24" customHeight="1" x14ac:dyDescent="0.3">
      <c r="A4" s="766" t="s">
        <v>504</v>
      </c>
      <c r="B4" s="767"/>
      <c r="C4" s="767"/>
      <c r="D4" s="767"/>
      <c r="E4" s="768"/>
    </row>
    <row r="5" spans="1:6" ht="24" customHeight="1" x14ac:dyDescent="0.3">
      <c r="A5" s="766"/>
      <c r="B5" s="767"/>
      <c r="C5" s="767"/>
      <c r="D5" s="767"/>
      <c r="E5" s="768"/>
    </row>
    <row r="6" spans="1:6" ht="24" customHeight="1" x14ac:dyDescent="0.3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3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3">
      <c r="A8" s="61" t="s">
        <v>8</v>
      </c>
      <c r="B8" s="62" t="s">
        <v>9</v>
      </c>
      <c r="C8" s="328" t="s">
        <v>505</v>
      </c>
      <c r="D8" s="328" t="s">
        <v>4</v>
      </c>
      <c r="E8" s="328" t="s">
        <v>5</v>
      </c>
      <c r="F8" s="64"/>
    </row>
    <row r="9" spans="1:6" ht="24" customHeight="1" x14ac:dyDescent="0.3">
      <c r="B9" s="62"/>
      <c r="C9" s="68"/>
      <c r="D9" s="68"/>
      <c r="E9" s="73"/>
      <c r="F9" s="73"/>
    </row>
    <row r="10" spans="1:6" ht="24" customHeight="1" x14ac:dyDescent="0.3">
      <c r="A10" s="329" t="s">
        <v>14</v>
      </c>
      <c r="B10" s="210" t="s">
        <v>506</v>
      </c>
      <c r="C10" s="79"/>
      <c r="D10" s="79"/>
      <c r="E10" s="88"/>
      <c r="F10" s="80"/>
    </row>
    <row r="11" spans="1:6" ht="24" customHeight="1" x14ac:dyDescent="0.3">
      <c r="A11" s="85">
        <v>1</v>
      </c>
      <c r="B11" s="75" t="s">
        <v>507</v>
      </c>
      <c r="C11" s="76">
        <v>961369530</v>
      </c>
      <c r="D11" s="76">
        <v>1123822000</v>
      </c>
      <c r="E11" s="76">
        <v>1181451000</v>
      </c>
      <c r="F11" s="80"/>
    </row>
    <row r="12" spans="1:6" ht="24" customHeight="1" x14ac:dyDescent="0.3">
      <c r="A12" s="85">
        <v>2</v>
      </c>
      <c r="B12" s="75" t="s">
        <v>78</v>
      </c>
      <c r="C12" s="185">
        <v>32255500</v>
      </c>
      <c r="D12" s="185">
        <v>33617000</v>
      </c>
      <c r="E12" s="185">
        <v>38511000</v>
      </c>
      <c r="F12" s="80"/>
    </row>
    <row r="13" spans="1:6" s="225" customFormat="1" ht="24" customHeight="1" x14ac:dyDescent="0.25">
      <c r="A13" s="85">
        <v>3</v>
      </c>
      <c r="B13" s="75" t="s">
        <v>80</v>
      </c>
      <c r="C13" s="76">
        <f>+C11+C12</f>
        <v>993625030</v>
      </c>
      <c r="D13" s="76">
        <f>+D11+D12</f>
        <v>1157439000</v>
      </c>
      <c r="E13" s="76">
        <f>+E11+E12</f>
        <v>1219962000</v>
      </c>
      <c r="F13" s="77"/>
    </row>
    <row r="14" spans="1:6" s="225" customFormat="1" ht="24" customHeight="1" x14ac:dyDescent="0.25">
      <c r="A14" s="85">
        <v>4</v>
      </c>
      <c r="B14" s="75" t="s">
        <v>91</v>
      </c>
      <c r="C14" s="185">
        <v>961175602</v>
      </c>
      <c r="D14" s="185">
        <v>1144647000</v>
      </c>
      <c r="E14" s="185">
        <v>1211319000</v>
      </c>
      <c r="F14" s="77"/>
    </row>
    <row r="15" spans="1:6" s="225" customFormat="1" ht="24" customHeight="1" x14ac:dyDescent="0.25">
      <c r="A15" s="85">
        <v>5</v>
      </c>
      <c r="B15" s="75" t="s">
        <v>92</v>
      </c>
      <c r="C15" s="76">
        <f>+C13-C14</f>
        <v>32449428</v>
      </c>
      <c r="D15" s="76">
        <f>+D13-D14</f>
        <v>12792000</v>
      </c>
      <c r="E15" s="76">
        <f>+E13-E14</f>
        <v>8643000</v>
      </c>
      <c r="F15" s="77"/>
    </row>
    <row r="16" spans="1:6" s="225" customFormat="1" ht="24" customHeight="1" x14ac:dyDescent="0.25">
      <c r="A16" s="85">
        <v>6</v>
      </c>
      <c r="B16" s="75" t="s">
        <v>97</v>
      </c>
      <c r="C16" s="185">
        <v>316766946</v>
      </c>
      <c r="D16" s="185">
        <v>18590000</v>
      </c>
      <c r="E16" s="185">
        <v>52466000</v>
      </c>
      <c r="F16" s="77"/>
    </row>
    <row r="17" spans="1:14" s="225" customFormat="1" ht="24" customHeight="1" x14ac:dyDescent="0.25">
      <c r="A17" s="85">
        <v>7</v>
      </c>
      <c r="B17" s="330" t="s">
        <v>321</v>
      </c>
      <c r="C17" s="76">
        <f>C15+C16</f>
        <v>349216374</v>
      </c>
      <c r="D17" s="76">
        <f>D15+D16</f>
        <v>31382000</v>
      </c>
      <c r="E17" s="76">
        <f>E15+E16</f>
        <v>61109000</v>
      </c>
      <c r="F17" s="77"/>
    </row>
    <row r="18" spans="1:14" ht="24" customHeight="1" x14ac:dyDescent="0.3">
      <c r="A18" s="85"/>
      <c r="B18" s="330"/>
      <c r="C18" s="187"/>
      <c r="D18" s="187"/>
      <c r="E18" s="188"/>
      <c r="F18" s="80"/>
    </row>
    <row r="19" spans="1:14" ht="24" customHeight="1" x14ac:dyDescent="0.3">
      <c r="A19" s="329" t="s">
        <v>26</v>
      </c>
      <c r="B19" s="72" t="s">
        <v>508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3">
      <c r="A20" s="332">
        <v>1</v>
      </c>
      <c r="B20" s="330" t="s">
        <v>509</v>
      </c>
      <c r="C20" s="189">
        <f>IF(+C27=0,0,+C24/+C27)</f>
        <v>2.4763146138190334E-2</v>
      </c>
      <c r="D20" s="189">
        <f>IF(+D27=0,0,+D24/+D27)</f>
        <v>1.0877282788094512E-2</v>
      </c>
      <c r="E20" s="189">
        <f>IF(+E27=0,0,+E24/+E27)</f>
        <v>6.7925257853489549E-3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3">
      <c r="A21" s="332">
        <v>2</v>
      </c>
      <c r="B21" s="330" t="s">
        <v>510</v>
      </c>
      <c r="C21" s="189">
        <f>IF(+C27=0,0,+C26/+C27)</f>
        <v>0.2417344976172229</v>
      </c>
      <c r="D21" s="189">
        <f>IF(+D27=0,0,+D26/+D27)</f>
        <v>1.5807433320096698E-2</v>
      </c>
      <c r="E21" s="189">
        <f>IF(+E27=0,0,+E26/+E27)</f>
        <v>4.1232981355330121E-2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3">
      <c r="A22" s="332">
        <v>3</v>
      </c>
      <c r="B22" s="330" t="s">
        <v>511</v>
      </c>
      <c r="C22" s="189">
        <f>IF(+C27=0,0,+C28/+C27)</f>
        <v>0.26649764375541324</v>
      </c>
      <c r="D22" s="189">
        <f>IF(+D27=0,0,+D28/+D27)</f>
        <v>2.668471610819121E-2</v>
      </c>
      <c r="E22" s="189">
        <f>IF(+E27=0,0,+E28/+E27)</f>
        <v>4.8025507140679081E-2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3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3">
      <c r="A24" s="226">
        <v>4</v>
      </c>
      <c r="B24" s="75" t="s">
        <v>92</v>
      </c>
      <c r="C24" s="76">
        <f>+C15</f>
        <v>32449428</v>
      </c>
      <c r="D24" s="76">
        <f>+D15</f>
        <v>12792000</v>
      </c>
      <c r="E24" s="76">
        <f>+E15</f>
        <v>8643000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3">
      <c r="A25" s="226">
        <v>5</v>
      </c>
      <c r="B25" s="75" t="s">
        <v>80</v>
      </c>
      <c r="C25" s="76">
        <f>+C13</f>
        <v>993625030</v>
      </c>
      <c r="D25" s="76">
        <f>+D13</f>
        <v>1157439000</v>
      </c>
      <c r="E25" s="76">
        <f>+E13</f>
        <v>1219962000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3">
      <c r="A26" s="226">
        <v>6</v>
      </c>
      <c r="B26" s="75" t="s">
        <v>97</v>
      </c>
      <c r="C26" s="76">
        <f>+C16</f>
        <v>316766946</v>
      </c>
      <c r="D26" s="76">
        <f>+D16</f>
        <v>18590000</v>
      </c>
      <c r="E26" s="76">
        <f>+E16</f>
        <v>52466000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3">
      <c r="A27" s="226">
        <v>7</v>
      </c>
      <c r="B27" s="75" t="s">
        <v>326</v>
      </c>
      <c r="C27" s="76">
        <f>SUM(C25:C26)</f>
        <v>1310391976</v>
      </c>
      <c r="D27" s="76">
        <f>SUM(D25:D26)</f>
        <v>1176029000</v>
      </c>
      <c r="E27" s="76">
        <f>SUM(E25:E26)</f>
        <v>1272428000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3">
      <c r="A28" s="226">
        <v>8</v>
      </c>
      <c r="B28" s="330" t="s">
        <v>321</v>
      </c>
      <c r="C28" s="76">
        <f>+C17</f>
        <v>349216374</v>
      </c>
      <c r="D28" s="76">
        <f>+D17</f>
        <v>31382000</v>
      </c>
      <c r="E28" s="76">
        <f>+E17</f>
        <v>61109000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3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3">
      <c r="A30" s="179" t="s">
        <v>36</v>
      </c>
      <c r="B30" s="191" t="s">
        <v>512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3">
      <c r="A31" s="85">
        <v>1</v>
      </c>
      <c r="B31" s="75" t="s">
        <v>513</v>
      </c>
      <c r="C31" s="76">
        <v>661351254</v>
      </c>
      <c r="D31" s="76">
        <v>603321000</v>
      </c>
      <c r="E31" s="76">
        <v>613859000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3">
      <c r="A32" s="74">
        <v>2</v>
      </c>
      <c r="B32" s="75" t="s">
        <v>514</v>
      </c>
      <c r="C32" s="76">
        <v>797554121</v>
      </c>
      <c r="D32" s="76">
        <v>755290000</v>
      </c>
      <c r="E32" s="76">
        <v>744565000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3">
      <c r="A33" s="74">
        <v>3</v>
      </c>
      <c r="B33" s="330" t="s">
        <v>515</v>
      </c>
      <c r="C33" s="76">
        <v>297354981</v>
      </c>
      <c r="D33" s="76">
        <f>+D32-C32</f>
        <v>-42264121</v>
      </c>
      <c r="E33" s="76">
        <f>+E32-D32</f>
        <v>-10725000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3">
      <c r="A34" s="74">
        <v>4</v>
      </c>
      <c r="B34" s="330" t="s">
        <v>516</v>
      </c>
      <c r="C34" s="193">
        <v>1.5944</v>
      </c>
      <c r="D34" s="193">
        <f>IF(C32=0,0,+D33/C32)</f>
        <v>-5.2992166784879544E-2</v>
      </c>
      <c r="E34" s="193">
        <f>IF(D32=0,0,+E33/D32)</f>
        <v>-1.4199843768618676E-2</v>
      </c>
      <c r="F34" s="80"/>
    </row>
    <row r="35" spans="1:14" ht="24" customHeight="1" x14ac:dyDescent="0.3">
      <c r="E35" s="56"/>
      <c r="F35" s="80"/>
    </row>
    <row r="36" spans="1:14" ht="15.75" customHeight="1" x14ac:dyDescent="0.3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3">
      <c r="A37" s="333"/>
      <c r="B37" s="334"/>
      <c r="C37" s="335"/>
      <c r="D37" s="335"/>
      <c r="E37" s="336"/>
      <c r="F37" s="80"/>
    </row>
    <row r="38" spans="1:14" ht="24" customHeight="1" x14ac:dyDescent="0.3">
      <c r="A38" s="333">
        <v>1</v>
      </c>
      <c r="B38" s="337" t="s">
        <v>353</v>
      </c>
      <c r="C38" s="338">
        <f>IF(+C40=0,0,+C39/+C40)</f>
        <v>1.6806729621222469</v>
      </c>
      <c r="D38" s="338">
        <f>IF(+D40=0,0,+D39/+D40)</f>
        <v>1.7114923464803051</v>
      </c>
      <c r="E38" s="338">
        <f>IF(+E40=0,0,+E39/+E40)</f>
        <v>1.8219281014815165</v>
      </c>
      <c r="F38" s="80"/>
    </row>
    <row r="39" spans="1:14" ht="24" customHeight="1" x14ac:dyDescent="0.3">
      <c r="A39" s="339">
        <v>2</v>
      </c>
      <c r="B39" s="340" t="s">
        <v>25</v>
      </c>
      <c r="C39" s="341">
        <v>358412968</v>
      </c>
      <c r="D39" s="341">
        <v>333308000</v>
      </c>
      <c r="E39" s="341">
        <v>307935000</v>
      </c>
      <c r="F39" s="80"/>
    </row>
    <row r="40" spans="1:14" ht="24" customHeight="1" x14ac:dyDescent="0.25">
      <c r="A40" s="339">
        <v>3</v>
      </c>
      <c r="B40" s="340" t="s">
        <v>54</v>
      </c>
      <c r="C40" s="341">
        <v>213255628</v>
      </c>
      <c r="D40" s="341">
        <v>194747000</v>
      </c>
      <c r="E40" s="341">
        <v>169016000</v>
      </c>
    </row>
    <row r="41" spans="1:14" ht="24" customHeight="1" x14ac:dyDescent="0.3">
      <c r="A41" s="339"/>
      <c r="B41" s="342"/>
      <c r="C41" s="335"/>
      <c r="D41" s="335"/>
      <c r="E41" s="336"/>
    </row>
    <row r="42" spans="1:14" ht="24" customHeight="1" x14ac:dyDescent="0.3">
      <c r="A42" s="333">
        <v>4</v>
      </c>
      <c r="B42" s="337" t="s">
        <v>354</v>
      </c>
      <c r="C42" s="343">
        <f>IF((C48/365)=0,0,+C45/(C48/365))</f>
        <v>63.660324233648275</v>
      </c>
      <c r="D42" s="343">
        <f>IF((D48/365)=0,0,+D45/(D48/365))</f>
        <v>35.038409596404136</v>
      </c>
      <c r="E42" s="343">
        <f>IF((E48/365)=0,0,+E45/(E48/365))</f>
        <v>31.210337959930186</v>
      </c>
    </row>
    <row r="43" spans="1:14" ht="24" customHeight="1" x14ac:dyDescent="0.25">
      <c r="A43" s="339">
        <v>5</v>
      </c>
      <c r="B43" s="344" t="s">
        <v>16</v>
      </c>
      <c r="C43" s="345">
        <v>144314483</v>
      </c>
      <c r="D43" s="345">
        <v>89299000</v>
      </c>
      <c r="E43" s="345">
        <v>61070000</v>
      </c>
    </row>
    <row r="44" spans="1:14" ht="24" customHeight="1" x14ac:dyDescent="0.25">
      <c r="A44" s="339">
        <v>6</v>
      </c>
      <c r="B44" s="346" t="s">
        <v>17</v>
      </c>
      <c r="C44" s="345">
        <v>14004464</v>
      </c>
      <c r="D44" s="345">
        <v>13983000</v>
      </c>
      <c r="E44" s="345">
        <v>36175000</v>
      </c>
    </row>
    <row r="45" spans="1:14" ht="24" customHeight="1" x14ac:dyDescent="0.25">
      <c r="A45" s="339">
        <v>7</v>
      </c>
      <c r="B45" s="340" t="s">
        <v>355</v>
      </c>
      <c r="C45" s="341">
        <f>+C43+C44</f>
        <v>158318947</v>
      </c>
      <c r="D45" s="341">
        <f>+D43+D44</f>
        <v>103282000</v>
      </c>
      <c r="E45" s="341">
        <f>+E43+E44</f>
        <v>97245000</v>
      </c>
    </row>
    <row r="46" spans="1:14" ht="24" customHeight="1" x14ac:dyDescent="0.25">
      <c r="A46" s="339">
        <v>8</v>
      </c>
      <c r="B46" s="340" t="s">
        <v>334</v>
      </c>
      <c r="C46" s="341">
        <f>+C14</f>
        <v>961175602</v>
      </c>
      <c r="D46" s="341">
        <f>+D14</f>
        <v>1144647000</v>
      </c>
      <c r="E46" s="341">
        <f>+E14</f>
        <v>1211319000</v>
      </c>
    </row>
    <row r="47" spans="1:14" ht="24" customHeight="1" x14ac:dyDescent="0.25">
      <c r="A47" s="339">
        <v>9</v>
      </c>
      <c r="B47" s="340" t="s">
        <v>356</v>
      </c>
      <c r="C47" s="341">
        <v>53445138</v>
      </c>
      <c r="D47" s="341">
        <v>68744000</v>
      </c>
      <c r="E47" s="341">
        <v>74054000</v>
      </c>
    </row>
    <row r="48" spans="1:14" ht="24" customHeight="1" x14ac:dyDescent="0.25">
      <c r="A48" s="339">
        <v>10</v>
      </c>
      <c r="B48" s="340" t="s">
        <v>357</v>
      </c>
      <c r="C48" s="341">
        <f>+C46-C47</f>
        <v>907730464</v>
      </c>
      <c r="D48" s="341">
        <f>+D46-D47</f>
        <v>1075903000</v>
      </c>
      <c r="E48" s="341">
        <f>+E46-E47</f>
        <v>1137265000</v>
      </c>
    </row>
    <row r="49" spans="1:5" ht="24" customHeight="1" x14ac:dyDescent="0.3">
      <c r="A49" s="347"/>
      <c r="B49" s="342"/>
      <c r="C49" s="348"/>
      <c r="D49" s="348"/>
      <c r="E49" s="349"/>
    </row>
    <row r="50" spans="1:5" ht="24" customHeight="1" x14ac:dyDescent="0.3">
      <c r="A50" s="333">
        <v>11</v>
      </c>
      <c r="B50" s="337" t="s">
        <v>358</v>
      </c>
      <c r="C50" s="350">
        <f>IF((C55/365)=0,0,+C54/(C55/365))</f>
        <v>28.474026236300624</v>
      </c>
      <c r="D50" s="350">
        <f>IF((D55/365)=0,0,+D54/(D55/365))</f>
        <v>31.547295746123496</v>
      </c>
      <c r="E50" s="350">
        <f>IF((E55/365)=0,0,+E54/(E55/365))</f>
        <v>31.947088791663809</v>
      </c>
    </row>
    <row r="51" spans="1:5" ht="24" customHeight="1" x14ac:dyDescent="0.25">
      <c r="A51" s="339">
        <v>12</v>
      </c>
      <c r="B51" s="344" t="s">
        <v>359</v>
      </c>
      <c r="C51" s="351">
        <v>128633349</v>
      </c>
      <c r="D51" s="351">
        <v>143408000</v>
      </c>
      <c r="E51" s="351">
        <v>135583000</v>
      </c>
    </row>
    <row r="52" spans="1:5" ht="24" customHeight="1" x14ac:dyDescent="0.25">
      <c r="A52" s="339">
        <v>13</v>
      </c>
      <c r="B52" s="344" t="s">
        <v>21</v>
      </c>
      <c r="C52" s="341">
        <v>0</v>
      </c>
      <c r="D52" s="341">
        <v>0</v>
      </c>
      <c r="E52" s="341">
        <v>0</v>
      </c>
    </row>
    <row r="53" spans="1:5" ht="24" customHeight="1" x14ac:dyDescent="0.25">
      <c r="A53" s="339">
        <v>14</v>
      </c>
      <c r="B53" s="344" t="s">
        <v>49</v>
      </c>
      <c r="C53" s="341">
        <v>53635921</v>
      </c>
      <c r="D53" s="341">
        <v>46275000</v>
      </c>
      <c r="E53" s="341">
        <v>32175000</v>
      </c>
    </row>
    <row r="54" spans="1:5" ht="33.9" customHeight="1" x14ac:dyDescent="0.25">
      <c r="A54" s="339">
        <v>15</v>
      </c>
      <c r="B54" s="340" t="s">
        <v>360</v>
      </c>
      <c r="C54" s="352">
        <f>+C51+C52-C53</f>
        <v>74997428</v>
      </c>
      <c r="D54" s="352">
        <f>+D51+D52-D53</f>
        <v>97133000</v>
      </c>
      <c r="E54" s="352">
        <f>+E51+E52-E53</f>
        <v>103408000</v>
      </c>
    </row>
    <row r="55" spans="1:5" ht="24" customHeight="1" x14ac:dyDescent="0.25">
      <c r="A55" s="339">
        <v>16</v>
      </c>
      <c r="B55" s="340" t="s">
        <v>75</v>
      </c>
      <c r="C55" s="341">
        <f>+C11</f>
        <v>961369530</v>
      </c>
      <c r="D55" s="341">
        <f>+D11</f>
        <v>1123822000</v>
      </c>
      <c r="E55" s="341">
        <f>+E11</f>
        <v>1181451000</v>
      </c>
    </row>
    <row r="56" spans="1:5" ht="24" customHeight="1" x14ac:dyDescent="0.25">
      <c r="A56" s="347"/>
      <c r="B56" s="340"/>
      <c r="C56" s="353"/>
      <c r="D56" s="354"/>
      <c r="E56" s="354"/>
    </row>
    <row r="57" spans="1:5" ht="24" customHeight="1" x14ac:dyDescent="0.3">
      <c r="A57" s="333">
        <v>17</v>
      </c>
      <c r="B57" s="337" t="s">
        <v>361</v>
      </c>
      <c r="C57" s="355">
        <f>IF((C61/365)=0,0,+C58/(C61/365))</f>
        <v>85.750459312556458</v>
      </c>
      <c r="D57" s="355">
        <f>IF((D61/365)=0,0,+D58/(D61/365))</f>
        <v>66.067902961512331</v>
      </c>
      <c r="E57" s="355">
        <f>IF((E61/365)=0,0,+E58/(E61/365))</f>
        <v>54.244912135693973</v>
      </c>
    </row>
    <row r="58" spans="1:5" ht="24" customHeight="1" x14ac:dyDescent="0.25">
      <c r="A58" s="339">
        <v>18</v>
      </c>
      <c r="B58" s="340" t="s">
        <v>54</v>
      </c>
      <c r="C58" s="353">
        <f>+C40</f>
        <v>213255628</v>
      </c>
      <c r="D58" s="353">
        <f>+D40</f>
        <v>194747000</v>
      </c>
      <c r="E58" s="353">
        <f>+E40</f>
        <v>169016000</v>
      </c>
    </row>
    <row r="59" spans="1:5" ht="24" customHeight="1" x14ac:dyDescent="0.25">
      <c r="A59" s="339">
        <v>19</v>
      </c>
      <c r="B59" s="340" t="s">
        <v>334</v>
      </c>
      <c r="C59" s="353">
        <f t="shared" ref="C59:E60" si="0">+C46</f>
        <v>961175602</v>
      </c>
      <c r="D59" s="353">
        <f t="shared" si="0"/>
        <v>1144647000</v>
      </c>
      <c r="E59" s="353">
        <f t="shared" si="0"/>
        <v>1211319000</v>
      </c>
    </row>
    <row r="60" spans="1:5" ht="24" customHeight="1" x14ac:dyDescent="0.25">
      <c r="A60" s="339">
        <v>20</v>
      </c>
      <c r="B60" s="340" t="s">
        <v>356</v>
      </c>
      <c r="C60" s="356">
        <f t="shared" si="0"/>
        <v>53445138</v>
      </c>
      <c r="D60" s="356">
        <f t="shared" si="0"/>
        <v>68744000</v>
      </c>
      <c r="E60" s="356">
        <f t="shared" si="0"/>
        <v>74054000</v>
      </c>
    </row>
    <row r="61" spans="1:5" ht="24" customHeight="1" x14ac:dyDescent="0.25">
      <c r="A61" s="339">
        <v>20</v>
      </c>
      <c r="B61" s="340" t="s">
        <v>362</v>
      </c>
      <c r="C61" s="353">
        <f>+C59-C60</f>
        <v>907730464</v>
      </c>
      <c r="D61" s="353">
        <f>+D59-D60</f>
        <v>1075903000</v>
      </c>
      <c r="E61" s="353">
        <f>+E59-E60</f>
        <v>1137265000</v>
      </c>
    </row>
    <row r="62" spans="1:5" ht="24" customHeight="1" x14ac:dyDescent="0.3">
      <c r="A62" s="347"/>
      <c r="B62" s="340"/>
      <c r="C62" s="353"/>
      <c r="D62" s="353"/>
      <c r="E62" s="336"/>
    </row>
    <row r="63" spans="1:5" ht="24" customHeight="1" x14ac:dyDescent="0.3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3">
      <c r="A64" s="333"/>
      <c r="B64" s="334"/>
      <c r="C64" s="353"/>
      <c r="D64" s="353"/>
      <c r="E64" s="336"/>
    </row>
    <row r="65" spans="1:5" ht="24" customHeight="1" x14ac:dyDescent="0.3">
      <c r="A65" s="333">
        <v>1</v>
      </c>
      <c r="B65" s="337" t="s">
        <v>364</v>
      </c>
      <c r="C65" s="357">
        <f>IF(C67=0,0,(C66/C67)*100)</f>
        <v>48.925563433152533</v>
      </c>
      <c r="D65" s="357">
        <f>IF(D67=0,0,(D66/D67)*100)</f>
        <v>46.855904244693669</v>
      </c>
      <c r="E65" s="357">
        <f>IF(E67=0,0,(E66/E67)*100)</f>
        <v>46.579825345595886</v>
      </c>
    </row>
    <row r="66" spans="1:5" ht="24" customHeight="1" x14ac:dyDescent="0.25">
      <c r="A66" s="339">
        <v>2</v>
      </c>
      <c r="B66" s="340" t="s">
        <v>67</v>
      </c>
      <c r="C66" s="353">
        <f>+C32</f>
        <v>797554121</v>
      </c>
      <c r="D66" s="353">
        <f>+D32</f>
        <v>755290000</v>
      </c>
      <c r="E66" s="353">
        <f>+E32</f>
        <v>744565000</v>
      </c>
    </row>
    <row r="67" spans="1:5" ht="24" customHeight="1" x14ac:dyDescent="0.25">
      <c r="A67" s="339">
        <v>3</v>
      </c>
      <c r="B67" s="340" t="s">
        <v>43</v>
      </c>
      <c r="C67" s="353">
        <v>1630137836</v>
      </c>
      <c r="D67" s="353">
        <v>1611942000</v>
      </c>
      <c r="E67" s="353">
        <v>1598471000</v>
      </c>
    </row>
    <row r="68" spans="1:5" ht="24" customHeight="1" x14ac:dyDescent="0.3">
      <c r="A68" s="347"/>
      <c r="B68" s="337"/>
      <c r="C68" s="355"/>
      <c r="D68" s="355"/>
      <c r="E68" s="336"/>
    </row>
    <row r="69" spans="1:5" ht="24" customHeight="1" x14ac:dyDescent="0.3">
      <c r="A69" s="333">
        <v>4</v>
      </c>
      <c r="B69" s="337" t="s">
        <v>365</v>
      </c>
      <c r="C69" s="357">
        <f>IF(C75=0,0,(C72/C75)*100)</f>
        <v>69.787529608373944</v>
      </c>
      <c r="D69" s="357">
        <f>IF(D75=0,0,(D72/D75)*100)</f>
        <v>18.214463731521942</v>
      </c>
      <c r="E69" s="357">
        <f>IF(E75=0,0,(E72/E75)*100)</f>
        <v>26.266459897703776</v>
      </c>
    </row>
    <row r="70" spans="1:5" ht="24" customHeight="1" x14ac:dyDescent="0.25">
      <c r="A70" s="339">
        <v>5</v>
      </c>
      <c r="B70" s="340" t="s">
        <v>366</v>
      </c>
      <c r="C70" s="353">
        <f>+C28</f>
        <v>349216374</v>
      </c>
      <c r="D70" s="353">
        <f>+D28</f>
        <v>31382000</v>
      </c>
      <c r="E70" s="353">
        <f>+E28</f>
        <v>61109000</v>
      </c>
    </row>
    <row r="71" spans="1:5" ht="24" customHeight="1" x14ac:dyDescent="0.25">
      <c r="A71" s="339">
        <v>6</v>
      </c>
      <c r="B71" s="340" t="s">
        <v>356</v>
      </c>
      <c r="C71" s="356">
        <f>+C47</f>
        <v>53445138</v>
      </c>
      <c r="D71" s="356">
        <f>+D47</f>
        <v>68744000</v>
      </c>
      <c r="E71" s="356">
        <f>+E47</f>
        <v>74054000</v>
      </c>
    </row>
    <row r="72" spans="1:5" ht="33.9" customHeight="1" x14ac:dyDescent="0.25">
      <c r="A72" s="339">
        <v>7</v>
      </c>
      <c r="B72" s="340" t="s">
        <v>367</v>
      </c>
      <c r="C72" s="353">
        <f>+C70+C71</f>
        <v>402661512</v>
      </c>
      <c r="D72" s="353">
        <f>+D70+D71</f>
        <v>100126000</v>
      </c>
      <c r="E72" s="353">
        <f>+E70+E71</f>
        <v>135163000</v>
      </c>
    </row>
    <row r="73" spans="1:5" ht="24" customHeight="1" x14ac:dyDescent="0.25">
      <c r="A73" s="339">
        <v>8</v>
      </c>
      <c r="B73" s="340" t="s">
        <v>54</v>
      </c>
      <c r="C73" s="341">
        <f>+C40</f>
        <v>213255628</v>
      </c>
      <c r="D73" s="341">
        <f>+D40</f>
        <v>194747000</v>
      </c>
      <c r="E73" s="341">
        <f>+E40</f>
        <v>169016000</v>
      </c>
    </row>
    <row r="74" spans="1:5" ht="24" customHeight="1" x14ac:dyDescent="0.25">
      <c r="A74" s="339">
        <v>9</v>
      </c>
      <c r="B74" s="340" t="s">
        <v>58</v>
      </c>
      <c r="C74" s="353">
        <v>363726412</v>
      </c>
      <c r="D74" s="353">
        <v>354959000</v>
      </c>
      <c r="E74" s="353">
        <v>345568000</v>
      </c>
    </row>
    <row r="75" spans="1:5" ht="24" customHeight="1" x14ac:dyDescent="0.25">
      <c r="A75" s="339">
        <v>10</v>
      </c>
      <c r="B75" s="358" t="s">
        <v>368</v>
      </c>
      <c r="C75" s="341">
        <f>+C73+C74</f>
        <v>576982040</v>
      </c>
      <c r="D75" s="341">
        <f>+D73+D74</f>
        <v>549706000</v>
      </c>
      <c r="E75" s="341">
        <f>+E73+E74</f>
        <v>514584000</v>
      </c>
    </row>
    <row r="76" spans="1:5" ht="24" customHeight="1" x14ac:dyDescent="0.3">
      <c r="A76" s="347"/>
      <c r="B76" s="337"/>
      <c r="C76" s="350"/>
      <c r="D76" s="350"/>
      <c r="E76" s="349"/>
    </row>
    <row r="77" spans="1:5" ht="24" customHeight="1" x14ac:dyDescent="0.3">
      <c r="A77" s="333">
        <v>11</v>
      </c>
      <c r="B77" s="337" t="s">
        <v>369</v>
      </c>
      <c r="C77" s="359">
        <f>IF(C80=0,0,(C78/C80)*100)</f>
        <v>31.321149512458074</v>
      </c>
      <c r="D77" s="359">
        <f>IF(D80=0,0,(D78/D80)*100)</f>
        <v>31.971116389206383</v>
      </c>
      <c r="E77" s="359">
        <f>IF(E80=0,0,(E78/E80)*100)</f>
        <v>31.69961830345472</v>
      </c>
    </row>
    <row r="78" spans="1:5" ht="24" customHeight="1" x14ac:dyDescent="0.25">
      <c r="A78" s="339">
        <v>12</v>
      </c>
      <c r="B78" s="340" t="s">
        <v>58</v>
      </c>
      <c r="C78" s="341">
        <f>+C74</f>
        <v>363726412</v>
      </c>
      <c r="D78" s="341">
        <f>+D74</f>
        <v>354959000</v>
      </c>
      <c r="E78" s="341">
        <f>+E74</f>
        <v>345568000</v>
      </c>
    </row>
    <row r="79" spans="1:5" ht="24" customHeight="1" x14ac:dyDescent="0.25">
      <c r="A79" s="339">
        <v>13</v>
      </c>
      <c r="B79" s="340" t="s">
        <v>67</v>
      </c>
      <c r="C79" s="341">
        <f>+C32</f>
        <v>797554121</v>
      </c>
      <c r="D79" s="341">
        <f>+D32</f>
        <v>755290000</v>
      </c>
      <c r="E79" s="341">
        <f>+E32</f>
        <v>744565000</v>
      </c>
    </row>
    <row r="80" spans="1:5" ht="24" customHeight="1" x14ac:dyDescent="0.25">
      <c r="A80" s="339">
        <v>14</v>
      </c>
      <c r="B80" s="340" t="s">
        <v>370</v>
      </c>
      <c r="C80" s="341">
        <f>+C78+C79</f>
        <v>1161280533</v>
      </c>
      <c r="D80" s="341">
        <f>+D78+D79</f>
        <v>1110249000</v>
      </c>
      <c r="E80" s="341">
        <f>+E78+E79</f>
        <v>1090133000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4" fitToHeight="0" orientation="portrait" horizontalDpi="1200" verticalDpi="1200" r:id="rId1"/>
  <headerFooter>
    <oddHeader>_x000D_
                &amp;L&amp;8OFFICE OF HEALTH CARE ACCESS&amp;C&amp;8TWELVE MONTHS ACTUAL FILING&amp;R&amp;8WESTERN CONNECTICUT HEALTH NETWORK , INC.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>
      <selection sqref="A1:F1"/>
    </sheetView>
  </sheetViews>
  <sheetFormatPr defaultColWidth="9.109375" defaultRowHeight="13.2" x14ac:dyDescent="0.25"/>
  <cols>
    <col min="1" max="1" width="5.88671875" style="396" customWidth="1"/>
    <col min="2" max="2" width="47.6640625" style="396" customWidth="1"/>
    <col min="3" max="3" width="17.33203125" style="396" customWidth="1"/>
    <col min="4" max="4" width="19.109375" style="365" customWidth="1"/>
    <col min="5" max="7" width="17.33203125" style="365" customWidth="1"/>
    <col min="8" max="8" width="19.109375" style="365" bestFit="1" customWidth="1"/>
    <col min="9" max="11" width="19.109375" style="365" customWidth="1"/>
    <col min="12" max="16384" width="9.109375" style="365"/>
  </cols>
  <sheetData>
    <row r="1" spans="1:11" ht="15.75" customHeight="1" x14ac:dyDescent="0.3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3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3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3">
      <c r="A4" s="360"/>
      <c r="B4" s="361"/>
      <c r="C4" s="362"/>
      <c r="D4" s="362"/>
      <c r="E4" s="362"/>
      <c r="F4" s="366" t="s">
        <v>517</v>
      </c>
      <c r="G4" s="362"/>
      <c r="H4" s="362"/>
      <c r="I4" s="362"/>
      <c r="J4" s="364"/>
      <c r="K4" s="364"/>
    </row>
    <row r="5" spans="1:11" ht="15.75" customHeight="1" x14ac:dyDescent="0.3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3">
      <c r="A6" s="362">
        <v>-1</v>
      </c>
      <c r="B6" s="362">
        <v>-2</v>
      </c>
      <c r="C6" s="362">
        <v>-3</v>
      </c>
      <c r="D6" s="362" t="s">
        <v>518</v>
      </c>
      <c r="E6" s="362" t="s">
        <v>519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3">
      <c r="A7" s="360"/>
      <c r="B7" s="361"/>
      <c r="C7" s="362"/>
      <c r="D7" s="362"/>
      <c r="E7" s="362"/>
      <c r="F7" s="362"/>
      <c r="G7" s="362"/>
      <c r="H7" s="362" t="s">
        <v>520</v>
      </c>
      <c r="I7" s="362" t="s">
        <v>520</v>
      </c>
      <c r="J7" s="367"/>
      <c r="K7" s="368"/>
    </row>
    <row r="8" spans="1:11" ht="15.75" customHeight="1" x14ac:dyDescent="0.3">
      <c r="A8" s="360"/>
      <c r="B8" s="361"/>
      <c r="C8" s="362" t="s">
        <v>521</v>
      </c>
      <c r="D8" s="362" t="s">
        <v>522</v>
      </c>
      <c r="E8" s="362" t="s">
        <v>523</v>
      </c>
      <c r="F8" s="362" t="s">
        <v>524</v>
      </c>
      <c r="G8" s="362" t="s">
        <v>525</v>
      </c>
      <c r="H8" s="362" t="s">
        <v>526</v>
      </c>
      <c r="I8" s="362" t="s">
        <v>527</v>
      </c>
      <c r="J8" s="367"/>
      <c r="K8" s="368"/>
    </row>
    <row r="9" spans="1:11" ht="15.75" customHeight="1" x14ac:dyDescent="0.3">
      <c r="A9" s="369" t="s">
        <v>8</v>
      </c>
      <c r="B9" s="370" t="s">
        <v>9</v>
      </c>
      <c r="C9" s="371" t="s">
        <v>528</v>
      </c>
      <c r="D9" s="371" t="s">
        <v>529</v>
      </c>
      <c r="E9" s="371" t="s">
        <v>530</v>
      </c>
      <c r="F9" s="371" t="s">
        <v>531</v>
      </c>
      <c r="G9" s="371" t="s">
        <v>532</v>
      </c>
      <c r="H9" s="371" t="s">
        <v>531</v>
      </c>
      <c r="I9" s="371" t="s">
        <v>532</v>
      </c>
      <c r="J9" s="367"/>
      <c r="K9" s="372"/>
    </row>
    <row r="10" spans="1:11" ht="15.75" customHeight="1" x14ac:dyDescent="0.3">
      <c r="A10" s="136" t="s">
        <v>530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5">
      <c r="A11" s="374">
        <v>1</v>
      </c>
      <c r="B11" s="375" t="s">
        <v>533</v>
      </c>
      <c r="C11" s="376">
        <v>66934</v>
      </c>
      <c r="D11" s="376">
        <v>15626</v>
      </c>
      <c r="E11" s="376">
        <v>15765</v>
      </c>
      <c r="F11" s="377">
        <v>211</v>
      </c>
      <c r="G11" s="377">
        <v>304</v>
      </c>
      <c r="H11" s="378">
        <f>IF(F11=0,0,$C11/(F11*365))</f>
        <v>0.86910342141141339</v>
      </c>
      <c r="I11" s="378">
        <f>IF(G11=0,0,$C11/(G11*365))</f>
        <v>0.60322638788752703</v>
      </c>
      <c r="J11" s="367"/>
      <c r="K11" s="379"/>
    </row>
    <row r="12" spans="1:11" ht="15" customHeight="1" x14ac:dyDescent="0.25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5">
      <c r="A13" s="374">
        <v>2</v>
      </c>
      <c r="B13" s="375" t="s">
        <v>534</v>
      </c>
      <c r="C13" s="376">
        <v>4381</v>
      </c>
      <c r="D13" s="376">
        <v>238</v>
      </c>
      <c r="E13" s="376">
        <v>0</v>
      </c>
      <c r="F13" s="377">
        <v>15</v>
      </c>
      <c r="G13" s="377">
        <v>38</v>
      </c>
      <c r="H13" s="378">
        <f>IF(F13=0,0,$C13/(F13*365))</f>
        <v>0.80018264840182651</v>
      </c>
      <c r="I13" s="378">
        <f>IF(G13=0,0,$C13/(G13*365))</f>
        <v>0.31586157173756307</v>
      </c>
      <c r="J13" s="367"/>
      <c r="K13" s="379"/>
    </row>
    <row r="14" spans="1:11" ht="15" customHeight="1" x14ac:dyDescent="0.25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5">
      <c r="A15" s="374">
        <v>3</v>
      </c>
      <c r="B15" s="375" t="s">
        <v>535</v>
      </c>
      <c r="C15" s="376">
        <v>0</v>
      </c>
      <c r="D15" s="376">
        <v>0</v>
      </c>
      <c r="E15" s="376">
        <v>0</v>
      </c>
      <c r="F15" s="377">
        <v>0</v>
      </c>
      <c r="G15" s="377">
        <v>0</v>
      </c>
      <c r="H15" s="378">
        <f t="shared" ref="H15:I17" si="0">IF(F15=0,0,$C15/(F15*365))</f>
        <v>0</v>
      </c>
      <c r="I15" s="378">
        <f t="shared" si="0"/>
        <v>0</v>
      </c>
      <c r="J15" s="367"/>
      <c r="K15" s="379"/>
    </row>
    <row r="16" spans="1:11" ht="15" customHeight="1" x14ac:dyDescent="0.25">
      <c r="A16" s="374">
        <v>4</v>
      </c>
      <c r="B16" s="375" t="s">
        <v>536</v>
      </c>
      <c r="C16" s="376">
        <v>5672</v>
      </c>
      <c r="D16" s="376">
        <v>525</v>
      </c>
      <c r="E16" s="376">
        <v>509</v>
      </c>
      <c r="F16" s="377">
        <v>16</v>
      </c>
      <c r="G16" s="377">
        <v>23</v>
      </c>
      <c r="H16" s="378">
        <f t="shared" si="0"/>
        <v>0.97123287671232872</v>
      </c>
      <c r="I16" s="378">
        <f t="shared" si="0"/>
        <v>0.67564026206075045</v>
      </c>
      <c r="J16" s="367"/>
      <c r="K16" s="379"/>
    </row>
    <row r="17" spans="1:11" ht="15.75" customHeight="1" x14ac:dyDescent="0.3">
      <c r="A17" s="136"/>
      <c r="B17" s="380" t="s">
        <v>537</v>
      </c>
      <c r="C17" s="381">
        <f>SUM(C15:C16)</f>
        <v>5672</v>
      </c>
      <c r="D17" s="381">
        <f>SUM(D15:D16)</f>
        <v>525</v>
      </c>
      <c r="E17" s="381">
        <f>SUM(E15:E16)</f>
        <v>509</v>
      </c>
      <c r="F17" s="381">
        <f>SUM(F15:F16)</f>
        <v>16</v>
      </c>
      <c r="G17" s="381">
        <f>SUM(G15:G16)</f>
        <v>23</v>
      </c>
      <c r="H17" s="382">
        <f t="shared" si="0"/>
        <v>0.97123287671232872</v>
      </c>
      <c r="I17" s="382">
        <f t="shared" si="0"/>
        <v>0.67564026206075045</v>
      </c>
      <c r="J17" s="367"/>
      <c r="K17" s="379"/>
    </row>
    <row r="18" spans="1:11" ht="15.75" customHeight="1" x14ac:dyDescent="0.3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5">
      <c r="A19" s="374">
        <v>5</v>
      </c>
      <c r="B19" s="375" t="s">
        <v>538</v>
      </c>
      <c r="C19" s="376">
        <v>4033</v>
      </c>
      <c r="D19" s="376">
        <v>289</v>
      </c>
      <c r="E19" s="376">
        <v>281</v>
      </c>
      <c r="F19" s="377">
        <v>12</v>
      </c>
      <c r="G19" s="377">
        <v>14</v>
      </c>
      <c r="H19" s="378">
        <f>IF(F19=0,0,$C19/(F19*365))</f>
        <v>0.92077625570776256</v>
      </c>
      <c r="I19" s="378">
        <f>IF(G19=0,0,$C19/(G19*365))</f>
        <v>0.78923679060665364</v>
      </c>
      <c r="J19" s="367"/>
      <c r="K19" s="379"/>
    </row>
    <row r="20" spans="1:11" ht="15" customHeight="1" x14ac:dyDescent="0.25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5">
      <c r="A21" s="374">
        <v>6</v>
      </c>
      <c r="B21" s="375" t="s">
        <v>539</v>
      </c>
      <c r="C21" s="376">
        <v>6261</v>
      </c>
      <c r="D21" s="376">
        <v>2162</v>
      </c>
      <c r="E21" s="376">
        <v>2153</v>
      </c>
      <c r="F21" s="377">
        <v>18</v>
      </c>
      <c r="G21" s="377">
        <v>32</v>
      </c>
      <c r="H21" s="378">
        <f>IF(F21=0,0,$C21/(F21*365))</f>
        <v>0.95296803652968032</v>
      </c>
      <c r="I21" s="378">
        <f>IF(G21=0,0,$C21/(G21*365))</f>
        <v>0.53604452054794516</v>
      </c>
      <c r="J21" s="367"/>
      <c r="K21" s="379"/>
    </row>
    <row r="22" spans="1:11" ht="15" customHeight="1" x14ac:dyDescent="0.25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5">
      <c r="A23" s="374">
        <v>7</v>
      </c>
      <c r="B23" s="375" t="s">
        <v>540</v>
      </c>
      <c r="C23" s="376">
        <v>4408</v>
      </c>
      <c r="D23" s="376">
        <v>1868</v>
      </c>
      <c r="E23" s="376">
        <v>1857</v>
      </c>
      <c r="F23" s="377">
        <v>13</v>
      </c>
      <c r="G23" s="377">
        <v>26</v>
      </c>
      <c r="H23" s="378">
        <f>IF(F23=0,0,$C23/(F23*365))</f>
        <v>0.92897787144362487</v>
      </c>
      <c r="I23" s="378">
        <f>IF(G23=0,0,$C23/(G23*365))</f>
        <v>0.46448893572181243</v>
      </c>
      <c r="J23" s="367"/>
      <c r="K23" s="379"/>
    </row>
    <row r="24" spans="1:11" ht="15" customHeight="1" x14ac:dyDescent="0.25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5">
      <c r="A25" s="374">
        <v>8</v>
      </c>
      <c r="B25" s="375" t="s">
        <v>541</v>
      </c>
      <c r="C25" s="376">
        <v>4496</v>
      </c>
      <c r="D25" s="376">
        <v>294</v>
      </c>
      <c r="E25" s="376">
        <v>0</v>
      </c>
      <c r="F25" s="377">
        <v>13</v>
      </c>
      <c r="G25" s="377">
        <v>15</v>
      </c>
      <c r="H25" s="378">
        <f>IF(F25=0,0,$C25/(F25*365))</f>
        <v>0.9475237091675448</v>
      </c>
      <c r="I25" s="378">
        <f>IF(G25=0,0,$C25/(G25*365))</f>
        <v>0.82118721461187216</v>
      </c>
      <c r="J25" s="367"/>
      <c r="K25" s="379"/>
    </row>
    <row r="26" spans="1:11" ht="15" customHeight="1" x14ac:dyDescent="0.25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5">
      <c r="A27" s="374">
        <v>9</v>
      </c>
      <c r="B27" s="375" t="s">
        <v>542</v>
      </c>
      <c r="C27" s="376">
        <v>439</v>
      </c>
      <c r="D27" s="376">
        <v>247</v>
      </c>
      <c r="E27" s="376">
        <v>236</v>
      </c>
      <c r="F27" s="377">
        <v>2</v>
      </c>
      <c r="G27" s="377">
        <v>4</v>
      </c>
      <c r="H27" s="378">
        <f>IF(F27=0,0,$C27/(F27*365))</f>
        <v>0.60136986301369866</v>
      </c>
      <c r="I27" s="378">
        <f>IF(G27=0,0,$C27/(G27*365))</f>
        <v>0.30068493150684933</v>
      </c>
      <c r="J27" s="367"/>
      <c r="K27" s="379"/>
    </row>
    <row r="28" spans="1:11" ht="15" customHeight="1" x14ac:dyDescent="0.25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5">
      <c r="A29" s="374">
        <v>10</v>
      </c>
      <c r="B29" s="375" t="s">
        <v>543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3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3">
      <c r="A31" s="136"/>
      <c r="B31" s="361" t="s">
        <v>544</v>
      </c>
      <c r="C31" s="384">
        <f>SUM(C10:C29)-C17-C23</f>
        <v>92216</v>
      </c>
      <c r="D31" s="384">
        <f>SUM(D10:D29)-D13-D17-D23</f>
        <v>19143</v>
      </c>
      <c r="E31" s="384">
        <f>SUM(E10:E29)-E17-E23</f>
        <v>18944</v>
      </c>
      <c r="F31" s="384">
        <f>SUM(F10:F29)-F17-F23</f>
        <v>287</v>
      </c>
      <c r="G31" s="384">
        <f>SUM(G10:G29)-G17-G23</f>
        <v>430</v>
      </c>
      <c r="H31" s="385">
        <f>IF(F31=0,0,$C31/(F31*365))</f>
        <v>0.88030165624552525</v>
      </c>
      <c r="I31" s="385">
        <f>IF(G31=0,0,$C31/(G31*365))</f>
        <v>0.58755017521503661</v>
      </c>
      <c r="J31" s="367"/>
      <c r="K31" s="379"/>
    </row>
    <row r="32" spans="1:11" ht="15.75" customHeight="1" x14ac:dyDescent="0.3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3">
      <c r="A33" s="136"/>
      <c r="B33" s="361" t="s">
        <v>545</v>
      </c>
      <c r="C33" s="384">
        <f>SUM(C10:C29)-C17</f>
        <v>96624</v>
      </c>
      <c r="D33" s="384">
        <f>SUM(D10:D29)-D13-D17</f>
        <v>21011</v>
      </c>
      <c r="E33" s="384">
        <f>SUM(E10:E29)-E17</f>
        <v>20801</v>
      </c>
      <c r="F33" s="384">
        <f>SUM(F10:F29)-F17</f>
        <v>300</v>
      </c>
      <c r="G33" s="384">
        <f>SUM(G10:G29)-G17</f>
        <v>456</v>
      </c>
      <c r="H33" s="385">
        <f>IF(F33=0,0,$C33/(F33*365))</f>
        <v>0.88241095890410959</v>
      </c>
      <c r="I33" s="385">
        <f>IF(G33=0,0,$C33/(G33*365))</f>
        <v>0.58053352559480897</v>
      </c>
      <c r="J33" s="367"/>
      <c r="K33" s="379"/>
    </row>
    <row r="34" spans="1:11" ht="15.75" customHeight="1" x14ac:dyDescent="0.3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3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3">
      <c r="A36" s="136"/>
      <c r="B36" s="361" t="s">
        <v>546</v>
      </c>
      <c r="C36" s="384">
        <f t="shared" ref="C36:I36" si="1">+C33</f>
        <v>96624</v>
      </c>
      <c r="D36" s="384">
        <f t="shared" si="1"/>
        <v>21011</v>
      </c>
      <c r="E36" s="384">
        <f t="shared" si="1"/>
        <v>20801</v>
      </c>
      <c r="F36" s="384">
        <f t="shared" si="1"/>
        <v>300</v>
      </c>
      <c r="G36" s="384">
        <f t="shared" si="1"/>
        <v>456</v>
      </c>
      <c r="H36" s="387">
        <f t="shared" si="1"/>
        <v>0.88241095890410959</v>
      </c>
      <c r="I36" s="387">
        <f t="shared" si="1"/>
        <v>0.58053352559480897</v>
      </c>
      <c r="J36" s="367"/>
      <c r="K36" s="379"/>
    </row>
    <row r="37" spans="1:11" ht="15.75" customHeight="1" x14ac:dyDescent="0.3">
      <c r="A37" s="136"/>
      <c r="B37" s="361" t="s">
        <v>547</v>
      </c>
      <c r="C37" s="384">
        <v>103461</v>
      </c>
      <c r="D37" s="384">
        <v>20558</v>
      </c>
      <c r="E37" s="384">
        <v>20476</v>
      </c>
      <c r="F37" s="386">
        <v>296</v>
      </c>
      <c r="G37" s="386">
        <v>456</v>
      </c>
      <c r="H37" s="385">
        <f>IF(F37=0,0,$C37/(F37*365))</f>
        <v>0.95761754905590524</v>
      </c>
      <c r="I37" s="385">
        <f>IF(G37=0,0,$C37/(G37*365))</f>
        <v>0.62161139149242972</v>
      </c>
      <c r="J37" s="367"/>
      <c r="K37" s="379"/>
    </row>
    <row r="38" spans="1:11" ht="15.75" customHeight="1" x14ac:dyDescent="0.3">
      <c r="A38" s="136"/>
      <c r="B38" s="361" t="s">
        <v>548</v>
      </c>
      <c r="C38" s="384">
        <f t="shared" ref="C38:I38" si="2">+C36-C37</f>
        <v>-6837</v>
      </c>
      <c r="D38" s="384">
        <f t="shared" si="2"/>
        <v>453</v>
      </c>
      <c r="E38" s="384">
        <f t="shared" si="2"/>
        <v>325</v>
      </c>
      <c r="F38" s="384">
        <f t="shared" si="2"/>
        <v>4</v>
      </c>
      <c r="G38" s="384">
        <f t="shared" si="2"/>
        <v>0</v>
      </c>
      <c r="H38" s="387">
        <f t="shared" si="2"/>
        <v>-7.5206590151795649E-2</v>
      </c>
      <c r="I38" s="387">
        <f t="shared" si="2"/>
        <v>-4.1077865897620747E-2</v>
      </c>
      <c r="J38" s="367"/>
      <c r="K38" s="379"/>
    </row>
    <row r="39" spans="1:11" ht="15.75" customHeight="1" x14ac:dyDescent="0.3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3">
      <c r="A40" s="136"/>
      <c r="B40" s="361" t="s">
        <v>549</v>
      </c>
      <c r="C40" s="389">
        <f t="shared" ref="C40:I40" si="3">IF(C37=0,0,C38/C37)</f>
        <v>-6.6082871806767765E-2</v>
      </c>
      <c r="D40" s="389">
        <f t="shared" si="3"/>
        <v>2.203521743360249E-2</v>
      </c>
      <c r="E40" s="389">
        <f t="shared" si="3"/>
        <v>1.5872240672006252E-2</v>
      </c>
      <c r="F40" s="389">
        <f t="shared" si="3"/>
        <v>1.3513513513513514E-2</v>
      </c>
      <c r="G40" s="389">
        <f t="shared" si="3"/>
        <v>0</v>
      </c>
      <c r="H40" s="389">
        <f t="shared" si="3"/>
        <v>-7.853510018267755E-2</v>
      </c>
      <c r="I40" s="389">
        <f t="shared" si="3"/>
        <v>-6.6082871806767737E-2</v>
      </c>
      <c r="J40" s="390"/>
      <c r="K40" s="379"/>
    </row>
    <row r="41" spans="1:11" ht="15.75" customHeight="1" x14ac:dyDescent="0.3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3">
      <c r="A42" s="391"/>
      <c r="B42" s="375" t="s">
        <v>550</v>
      </c>
      <c r="C42" s="375">
        <v>456</v>
      </c>
      <c r="D42" s="391"/>
      <c r="E42" s="391"/>
      <c r="F42" s="391"/>
      <c r="G42" s="391"/>
      <c r="H42" s="367"/>
      <c r="I42" s="379"/>
    </row>
    <row r="43" spans="1:11" ht="15.75" customHeight="1" x14ac:dyDescent="0.3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3">
      <c r="A44" s="392" t="s">
        <v>551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3">
      <c r="A45" s="392" t="s">
        <v>530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3">
      <c r="A46" s="392" t="s">
        <v>552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3">
      <c r="A47" s="395"/>
      <c r="B47" s="393"/>
      <c r="C47" s="393"/>
      <c r="D47" s="393"/>
      <c r="E47" s="393"/>
      <c r="F47" s="393"/>
      <c r="G47" s="393"/>
    </row>
    <row r="48" spans="1:11" ht="15" customHeight="1" x14ac:dyDescent="0.25">
      <c r="B48" s="397"/>
      <c r="C48" s="398"/>
    </row>
  </sheetData>
  <printOptions gridLines="1"/>
  <pageMargins left="0.25" right="0.25" top="0.5" bottom="0.5" header="0.25" footer="0.25"/>
  <pageSetup scale="71" orientation="landscape" horizontalDpi="1200" verticalDpi="1200" r:id="rId1"/>
  <headerFooter>
    <oddHeader>&amp;LOFFICE OF HEALTH CARE ACCESS&amp;CTWELVE MONTHS ACTUAL FILING&amp;RDANBURY HOSPITAL</oddHeader>
    <oddFooter>&amp;LREPORT 150&amp;CPAGE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1"/>
  <sheetViews>
    <sheetView zoomScaleSheetLayoutView="90" workbookViewId="0">
      <selection activeCell="B13" sqref="B13"/>
    </sheetView>
  </sheetViews>
  <sheetFormatPr defaultColWidth="9.109375" defaultRowHeight="13.2" x14ac:dyDescent="0.25"/>
  <cols>
    <col min="1" max="1" width="6.88671875" style="396" customWidth="1"/>
    <col min="2" max="2" width="52.5546875" style="365" customWidth="1"/>
    <col min="3" max="4" width="20.33203125" style="365" customWidth="1"/>
    <col min="5" max="5" width="19" style="365" customWidth="1"/>
    <col min="6" max="8" width="18.109375" style="365" customWidth="1"/>
    <col min="9" max="9" width="17.5546875" style="365" customWidth="1"/>
    <col min="10" max="11" width="22" style="365" bestFit="1" customWidth="1"/>
    <col min="12" max="12" width="14" style="365" bestFit="1" customWidth="1"/>
    <col min="13" max="13" width="15.109375" style="365" customWidth="1"/>
    <col min="14" max="16384" width="9.109375" style="365"/>
  </cols>
  <sheetData>
    <row r="1" spans="1:16" ht="15.75" customHeight="1" x14ac:dyDescent="0.3">
      <c r="A1" s="810" t="s">
        <v>0</v>
      </c>
      <c r="B1" s="811"/>
      <c r="C1" s="811"/>
      <c r="D1" s="811"/>
      <c r="E1" s="811"/>
      <c r="F1" s="812"/>
    </row>
    <row r="2" spans="1:16" ht="15.75" customHeight="1" x14ac:dyDescent="0.3">
      <c r="A2" s="810" t="s">
        <v>1</v>
      </c>
      <c r="B2" s="811"/>
      <c r="C2" s="811"/>
      <c r="D2" s="811"/>
      <c r="E2" s="811"/>
      <c r="F2" s="812"/>
    </row>
    <row r="3" spans="1:16" ht="15.75" customHeight="1" x14ac:dyDescent="0.3">
      <c r="A3" s="810" t="s">
        <v>2</v>
      </c>
      <c r="B3" s="811"/>
      <c r="C3" s="811"/>
      <c r="D3" s="811"/>
      <c r="E3" s="811"/>
      <c r="F3" s="812"/>
    </row>
    <row r="4" spans="1:16" ht="15.75" customHeight="1" x14ac:dyDescent="0.3">
      <c r="A4" s="810" t="s">
        <v>553</v>
      </c>
      <c r="B4" s="811"/>
      <c r="C4" s="811"/>
      <c r="D4" s="811"/>
      <c r="E4" s="811"/>
      <c r="F4" s="812"/>
    </row>
    <row r="5" spans="1:16" ht="15.75" customHeight="1" x14ac:dyDescent="0.3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3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3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3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3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3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3">
      <c r="A11" s="136" t="s">
        <v>14</v>
      </c>
      <c r="B11" s="406" t="s">
        <v>554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3">
      <c r="A12" s="374">
        <v>1</v>
      </c>
      <c r="B12" s="408" t="s">
        <v>555</v>
      </c>
      <c r="C12" s="409">
        <v>13622</v>
      </c>
      <c r="D12" s="409">
        <v>14467</v>
      </c>
      <c r="E12" s="409">
        <f>+D12-C12</f>
        <v>845</v>
      </c>
      <c r="F12" s="410">
        <f>IF(C12=0,0,+E12/C12)</f>
        <v>6.2032007047423288E-2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3">
      <c r="A13" s="374">
        <v>2</v>
      </c>
      <c r="B13" s="408" t="s">
        <v>556</v>
      </c>
      <c r="C13" s="409">
        <v>17285</v>
      </c>
      <c r="D13" s="409">
        <v>16328</v>
      </c>
      <c r="E13" s="409">
        <f>+D13-C13</f>
        <v>-957</v>
      </c>
      <c r="F13" s="410">
        <f>IF(C13=0,0,+E13/C13)</f>
        <v>-5.5365924211744286E-2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3">
      <c r="A14" s="374">
        <v>3</v>
      </c>
      <c r="B14" s="408" t="s">
        <v>557</v>
      </c>
      <c r="C14" s="409">
        <v>15207</v>
      </c>
      <c r="D14" s="409">
        <v>17712</v>
      </c>
      <c r="E14" s="409">
        <f>+D14-C14</f>
        <v>2505</v>
      </c>
      <c r="F14" s="410">
        <f>IF(C14=0,0,+E14/C14)</f>
        <v>0.16472677056618662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3">
      <c r="A15" s="374">
        <v>4</v>
      </c>
      <c r="B15" s="408" t="s">
        <v>558</v>
      </c>
      <c r="C15" s="409">
        <v>6342</v>
      </c>
      <c r="D15" s="409">
        <v>6857</v>
      </c>
      <c r="E15" s="409">
        <f>+D15-C15</f>
        <v>515</v>
      </c>
      <c r="F15" s="410">
        <f>IF(C15=0,0,+E15/C15)</f>
        <v>8.120466729738253E-2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3">
      <c r="A16" s="136"/>
      <c r="B16" s="399" t="s">
        <v>559</v>
      </c>
      <c r="C16" s="401">
        <f>SUM(C12:C15)</f>
        <v>52456</v>
      </c>
      <c r="D16" s="401">
        <f>SUM(D12:D15)</f>
        <v>55364</v>
      </c>
      <c r="E16" s="401">
        <f>+D16-C16</f>
        <v>2908</v>
      </c>
      <c r="F16" s="402">
        <f>IF(C16=0,0,+E16/C16)</f>
        <v>5.5436937623913378E-2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3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3">
      <c r="A18" s="136" t="s">
        <v>26</v>
      </c>
      <c r="B18" s="406" t="s">
        <v>560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5">
      <c r="A19" s="374">
        <v>1</v>
      </c>
      <c r="B19" s="408" t="s">
        <v>555</v>
      </c>
      <c r="C19" s="409">
        <v>1610</v>
      </c>
      <c r="D19" s="409">
        <v>1790</v>
      </c>
      <c r="E19" s="409">
        <f>+D19-C19</f>
        <v>180</v>
      </c>
      <c r="F19" s="410">
        <f>IF(C19=0,0,+E19/C19)</f>
        <v>0.11180124223602485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5">
      <c r="A20" s="374">
        <v>2</v>
      </c>
      <c r="B20" s="408" t="s">
        <v>556</v>
      </c>
      <c r="C20" s="409">
        <v>9111</v>
      </c>
      <c r="D20" s="409">
        <v>8641</v>
      </c>
      <c r="E20" s="409">
        <f>+D20-C20</f>
        <v>-470</v>
      </c>
      <c r="F20" s="410">
        <f>IF(C20=0,0,+E20/C20)</f>
        <v>-5.158599495115794E-2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5">
      <c r="A21" s="374">
        <v>3</v>
      </c>
      <c r="B21" s="408" t="s">
        <v>557</v>
      </c>
      <c r="C21" s="409">
        <v>219</v>
      </c>
      <c r="D21" s="409">
        <v>208</v>
      </c>
      <c r="E21" s="409">
        <f>+D21-C21</f>
        <v>-11</v>
      </c>
      <c r="F21" s="410">
        <f>IF(C21=0,0,+E21/C21)</f>
        <v>-5.0228310502283102E-2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5">
      <c r="A22" s="374">
        <v>4</v>
      </c>
      <c r="B22" s="408" t="s">
        <v>558</v>
      </c>
      <c r="C22" s="409">
        <v>5925</v>
      </c>
      <c r="D22" s="409">
        <v>6169</v>
      </c>
      <c r="E22" s="409">
        <f>+D22-C22</f>
        <v>244</v>
      </c>
      <c r="F22" s="410">
        <f>IF(C22=0,0,+E22/C22)</f>
        <v>4.1181434599156116E-2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3">
      <c r="A23" s="136"/>
      <c r="B23" s="399" t="s">
        <v>561</v>
      </c>
      <c r="C23" s="401">
        <f>SUM(C19:C22)</f>
        <v>16865</v>
      </c>
      <c r="D23" s="401">
        <f>SUM(D19:D22)</f>
        <v>16808</v>
      </c>
      <c r="E23" s="401">
        <f>+D23-C23</f>
        <v>-57</v>
      </c>
      <c r="F23" s="402">
        <f>IF(C23=0,0,+E23/C23)</f>
        <v>-3.3797806107322857E-3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3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3">
      <c r="A25" s="136" t="s">
        <v>36</v>
      </c>
      <c r="B25" s="406" t="s">
        <v>562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5">
      <c r="A26" s="374">
        <v>1</v>
      </c>
      <c r="B26" s="408" t="s">
        <v>555</v>
      </c>
      <c r="C26" s="409">
        <v>7</v>
      </c>
      <c r="D26" s="409">
        <v>6</v>
      </c>
      <c r="E26" s="409">
        <f>+D26-C26</f>
        <v>-1</v>
      </c>
      <c r="F26" s="410">
        <f>IF(C26=0,0,+E26/C26)</f>
        <v>-0.14285714285714285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5">
      <c r="A27" s="374">
        <v>2</v>
      </c>
      <c r="B27" s="408" t="s">
        <v>556</v>
      </c>
      <c r="C27" s="409">
        <v>880</v>
      </c>
      <c r="D27" s="409">
        <v>923</v>
      </c>
      <c r="E27" s="409">
        <f>+D27-C27</f>
        <v>43</v>
      </c>
      <c r="F27" s="410">
        <f>IF(C27=0,0,+E27/C27)</f>
        <v>4.8863636363636366E-2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5">
      <c r="A28" s="374">
        <v>3</v>
      </c>
      <c r="B28" s="408" t="s">
        <v>557</v>
      </c>
      <c r="C28" s="409">
        <v>0</v>
      </c>
      <c r="D28" s="409">
        <v>0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5">
      <c r="A29" s="374">
        <v>4</v>
      </c>
      <c r="B29" s="408" t="s">
        <v>558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3">
      <c r="A30" s="136"/>
      <c r="B30" s="399" t="s">
        <v>563</v>
      </c>
      <c r="C30" s="401">
        <f>SUM(C26:C29)</f>
        <v>887</v>
      </c>
      <c r="D30" s="401">
        <f>SUM(D26:D29)</f>
        <v>929</v>
      </c>
      <c r="E30" s="401">
        <f>+D30-C30</f>
        <v>42</v>
      </c>
      <c r="F30" s="402">
        <f>IF(C30=0,0,+E30/C30)</f>
        <v>4.7350620067643741E-2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3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3">
      <c r="A32" s="136" t="s">
        <v>170</v>
      </c>
      <c r="B32" s="406" t="s">
        <v>564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5">
      <c r="A33" s="374">
        <v>1</v>
      </c>
      <c r="B33" s="408" t="s">
        <v>555</v>
      </c>
      <c r="C33" s="409">
        <v>0</v>
      </c>
      <c r="D33" s="409">
        <v>0</v>
      </c>
      <c r="E33" s="409">
        <f>+D33-C33</f>
        <v>0</v>
      </c>
      <c r="F33" s="410">
        <f>IF(C33=0,0,+E33/C33)</f>
        <v>0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5">
      <c r="A34" s="374">
        <v>2</v>
      </c>
      <c r="B34" s="408" t="s">
        <v>556</v>
      </c>
      <c r="C34" s="409">
        <v>0</v>
      </c>
      <c r="D34" s="409">
        <v>0</v>
      </c>
      <c r="E34" s="409">
        <f>+D34-C34</f>
        <v>0</v>
      </c>
      <c r="F34" s="410">
        <f>IF(C34=0,0,+E34/C34)</f>
        <v>0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5">
      <c r="A35" s="374">
        <v>3</v>
      </c>
      <c r="B35" s="408" t="s">
        <v>557</v>
      </c>
      <c r="C35" s="409">
        <v>0</v>
      </c>
      <c r="D35" s="409">
        <v>0</v>
      </c>
      <c r="E35" s="409">
        <f>+D35-C35</f>
        <v>0</v>
      </c>
      <c r="F35" s="410">
        <f>IF(C35=0,0,+E35/C35)</f>
        <v>0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5">
      <c r="A36" s="374">
        <v>4</v>
      </c>
      <c r="B36" s="408" t="s">
        <v>558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3">
      <c r="A37" s="136"/>
      <c r="B37" s="399" t="s">
        <v>565</v>
      </c>
      <c r="C37" s="401">
        <f>SUM(C33:C36)</f>
        <v>0</v>
      </c>
      <c r="D37" s="401">
        <f>SUM(D33:D36)</f>
        <v>0</v>
      </c>
      <c r="E37" s="401">
        <f>+D37-C37</f>
        <v>0</v>
      </c>
      <c r="F37" s="402">
        <f>IF(C37=0,0,+E37/C37)</f>
        <v>0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3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3">
      <c r="A39" s="136"/>
      <c r="B39" s="813" t="s">
        <v>566</v>
      </c>
      <c r="C39" s="814"/>
      <c r="D39" s="814"/>
      <c r="E39" s="814"/>
      <c r="F39" s="815"/>
    </row>
    <row r="40" spans="1:16" ht="15.75" customHeight="1" x14ac:dyDescent="0.3">
      <c r="A40" s="136"/>
      <c r="B40" s="813" t="s">
        <v>567</v>
      </c>
      <c r="C40" s="814"/>
      <c r="D40" s="814"/>
      <c r="E40" s="814"/>
      <c r="F40" s="815"/>
    </row>
    <row r="41" spans="1:16" ht="15.75" customHeight="1" x14ac:dyDescent="0.3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3">
      <c r="A42" s="136" t="s">
        <v>175</v>
      </c>
      <c r="B42" s="406" t="s">
        <v>568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5">
      <c r="A43" s="374">
        <v>1</v>
      </c>
      <c r="B43" s="408" t="s">
        <v>569</v>
      </c>
      <c r="C43" s="409">
        <v>376</v>
      </c>
      <c r="D43" s="409">
        <v>348</v>
      </c>
      <c r="E43" s="409">
        <f>+D43-C43</f>
        <v>-28</v>
      </c>
      <c r="F43" s="410">
        <f>IF(C43=0,0,+E43/C43)</f>
        <v>-7.4468085106382975E-2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5">
      <c r="A44" s="374">
        <v>2</v>
      </c>
      <c r="B44" s="408" t="s">
        <v>570</v>
      </c>
      <c r="C44" s="409">
        <v>10656</v>
      </c>
      <c r="D44" s="409">
        <v>11077</v>
      </c>
      <c r="E44" s="409">
        <f>+D44-C44</f>
        <v>421</v>
      </c>
      <c r="F44" s="410">
        <f>IF(C44=0,0,+E44/C44)</f>
        <v>3.9508258258258259E-2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3">
      <c r="A45" s="136"/>
      <c r="B45" s="399" t="s">
        <v>571</v>
      </c>
      <c r="C45" s="401">
        <f>SUM(C43:C44)</f>
        <v>11032</v>
      </c>
      <c r="D45" s="401">
        <f>SUM(D43:D44)</f>
        <v>11425</v>
      </c>
      <c r="E45" s="401">
        <f>+D45-C45</f>
        <v>393</v>
      </c>
      <c r="F45" s="402">
        <f>IF(C45=0,0,+E45/C45)</f>
        <v>3.5623640319071788E-2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3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3">
      <c r="A47" s="136" t="s">
        <v>181</v>
      </c>
      <c r="B47" s="406" t="s">
        <v>572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5">
      <c r="A48" s="374">
        <v>1</v>
      </c>
      <c r="B48" s="408" t="s">
        <v>569</v>
      </c>
      <c r="C48" s="409">
        <v>818</v>
      </c>
      <c r="D48" s="409">
        <v>852</v>
      </c>
      <c r="E48" s="409">
        <f>+D48-C48</f>
        <v>34</v>
      </c>
      <c r="F48" s="410">
        <f>IF(C48=0,0,+E48/C48)</f>
        <v>4.1564792176039117E-2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5">
      <c r="A49" s="374">
        <v>2</v>
      </c>
      <c r="B49" s="408" t="s">
        <v>570</v>
      </c>
      <c r="C49" s="409">
        <v>814</v>
      </c>
      <c r="D49" s="409">
        <v>893</v>
      </c>
      <c r="E49" s="409">
        <f>+D49-C49</f>
        <v>79</v>
      </c>
      <c r="F49" s="410">
        <f>IF(C49=0,0,+E49/C49)</f>
        <v>9.7051597051597049E-2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3">
      <c r="A50" s="136"/>
      <c r="B50" s="399" t="s">
        <v>573</v>
      </c>
      <c r="C50" s="401">
        <f>SUM(C48:C49)</f>
        <v>1632</v>
      </c>
      <c r="D50" s="401">
        <f>SUM(D48:D49)</f>
        <v>1745</v>
      </c>
      <c r="E50" s="401">
        <f>+D50-C50</f>
        <v>113</v>
      </c>
      <c r="F50" s="402">
        <f>IF(C50=0,0,+E50/C50)</f>
        <v>6.9240196078431376E-2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3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3">
      <c r="A52" s="136" t="s">
        <v>183</v>
      </c>
      <c r="B52" s="406" t="s">
        <v>574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5">
      <c r="A53" s="374">
        <v>1</v>
      </c>
      <c r="B53" s="408" t="s">
        <v>575</v>
      </c>
      <c r="C53" s="409">
        <v>97</v>
      </c>
      <c r="D53" s="409">
        <v>112</v>
      </c>
      <c r="E53" s="409">
        <f>+D53-C53</f>
        <v>15</v>
      </c>
      <c r="F53" s="410">
        <f>IF(C53=0,0,+E53/C53)</f>
        <v>0.15463917525773196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5">
      <c r="A54" s="374">
        <v>2</v>
      </c>
      <c r="B54" s="408" t="s">
        <v>576</v>
      </c>
      <c r="C54" s="409">
        <v>300</v>
      </c>
      <c r="D54" s="409">
        <v>325</v>
      </c>
      <c r="E54" s="409">
        <f>+D54-C54</f>
        <v>25</v>
      </c>
      <c r="F54" s="410">
        <f>IF(C54=0,0,+E54/C54)</f>
        <v>8.3333333333333329E-2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3">
      <c r="A55" s="136"/>
      <c r="B55" s="399" t="s">
        <v>577</v>
      </c>
      <c r="C55" s="401">
        <f>SUM(C53:C54)</f>
        <v>397</v>
      </c>
      <c r="D55" s="401">
        <f>SUM(D53:D54)</f>
        <v>437</v>
      </c>
      <c r="E55" s="401">
        <f>+D55-C55</f>
        <v>40</v>
      </c>
      <c r="F55" s="402">
        <f>IF(C55=0,0,+E55/C55)</f>
        <v>0.10075566750629723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3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3">
      <c r="A57" s="136" t="s">
        <v>185</v>
      </c>
      <c r="B57" s="406" t="s">
        <v>578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5">
      <c r="A58" s="374">
        <v>1</v>
      </c>
      <c r="B58" s="408" t="s">
        <v>579</v>
      </c>
      <c r="C58" s="409">
        <v>50</v>
      </c>
      <c r="D58" s="409">
        <v>37</v>
      </c>
      <c r="E58" s="409">
        <f>+D58-C58</f>
        <v>-13</v>
      </c>
      <c r="F58" s="410">
        <f>IF(C58=0,0,+E58/C58)</f>
        <v>-0.26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5">
      <c r="A59" s="374">
        <v>2</v>
      </c>
      <c r="B59" s="408" t="s">
        <v>580</v>
      </c>
      <c r="C59" s="409">
        <v>104</v>
      </c>
      <c r="D59" s="409">
        <v>172</v>
      </c>
      <c r="E59" s="409">
        <f>+D59-C59</f>
        <v>68</v>
      </c>
      <c r="F59" s="410">
        <f>IF(C59=0,0,+E59/C59)</f>
        <v>0.65384615384615385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3">
      <c r="A60" s="136"/>
      <c r="B60" s="399" t="s">
        <v>581</v>
      </c>
      <c r="C60" s="401">
        <f>SUM(C58:C59)</f>
        <v>154</v>
      </c>
      <c r="D60" s="401">
        <f>SUM(D58:D59)</f>
        <v>209</v>
      </c>
      <c r="E60" s="401">
        <f>SUM(E58:E59)</f>
        <v>55</v>
      </c>
      <c r="F60" s="402">
        <f>IF(C60=0,0,+E60/C60)</f>
        <v>0.35714285714285715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3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3">
      <c r="A62" s="136" t="s">
        <v>12</v>
      </c>
      <c r="B62" s="406" t="s">
        <v>582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5">
      <c r="A63" s="374">
        <v>1</v>
      </c>
      <c r="B63" s="408" t="s">
        <v>583</v>
      </c>
      <c r="C63" s="409">
        <v>4295</v>
      </c>
      <c r="D63" s="409">
        <v>4023</v>
      </c>
      <c r="E63" s="409">
        <f>+D63-C63</f>
        <v>-272</v>
      </c>
      <c r="F63" s="410">
        <f>IF(C63=0,0,+E63/C63)</f>
        <v>-6.3329452852153661E-2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5">
      <c r="A64" s="374">
        <v>2</v>
      </c>
      <c r="B64" s="408" t="s">
        <v>584</v>
      </c>
      <c r="C64" s="409">
        <v>10670</v>
      </c>
      <c r="D64" s="409">
        <v>10640</v>
      </c>
      <c r="E64" s="409">
        <f>+D64-C64</f>
        <v>-30</v>
      </c>
      <c r="F64" s="410">
        <f>IF(C64=0,0,+E64/C64)</f>
        <v>-2.8116213683223993E-3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3">
      <c r="A65" s="136"/>
      <c r="B65" s="399" t="s">
        <v>585</v>
      </c>
      <c r="C65" s="401">
        <f>SUM(C63:C64)</f>
        <v>14965</v>
      </c>
      <c r="D65" s="401">
        <f>SUM(D63:D64)</f>
        <v>14663</v>
      </c>
      <c r="E65" s="401">
        <f>+D65-C65</f>
        <v>-302</v>
      </c>
      <c r="F65" s="402">
        <f>IF(C65=0,0,+E65/C65)</f>
        <v>-2.0180420982292016E-2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5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3">
      <c r="A67" s="136" t="s">
        <v>195</v>
      </c>
      <c r="B67" s="406" t="s">
        <v>586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5">
      <c r="A68" s="374">
        <v>1</v>
      </c>
      <c r="B68" s="408" t="s">
        <v>587</v>
      </c>
      <c r="C68" s="409">
        <v>902</v>
      </c>
      <c r="D68" s="409">
        <v>988</v>
      </c>
      <c r="E68" s="409">
        <f>+D68-C68</f>
        <v>86</v>
      </c>
      <c r="F68" s="410">
        <f>IF(C68=0,0,+E68/C68)</f>
        <v>9.5343680709534362E-2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5">
      <c r="A69" s="374">
        <v>2</v>
      </c>
      <c r="B69" s="408" t="s">
        <v>588</v>
      </c>
      <c r="C69" s="409">
        <v>12891</v>
      </c>
      <c r="D69" s="409">
        <v>13628</v>
      </c>
      <c r="E69" s="409">
        <f>+D69-C69</f>
        <v>737</v>
      </c>
      <c r="F69" s="412">
        <f>IF(C69=0,0,+E69/C69)</f>
        <v>5.7171670157474208E-2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3">
      <c r="A70" s="136"/>
      <c r="B70" s="399" t="s">
        <v>589</v>
      </c>
      <c r="C70" s="401">
        <f>SUM(C68:C69)</f>
        <v>13793</v>
      </c>
      <c r="D70" s="401">
        <f>SUM(D68:D69)</f>
        <v>14616</v>
      </c>
      <c r="E70" s="401">
        <f>+D70-C70</f>
        <v>823</v>
      </c>
      <c r="F70" s="402">
        <f>IF(C70=0,0,+E70/C70)</f>
        <v>5.9667947509606321E-2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3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3">
      <c r="A72" s="136" t="s">
        <v>226</v>
      </c>
      <c r="B72" s="406" t="s">
        <v>590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5">
      <c r="A73" s="374">
        <v>1</v>
      </c>
      <c r="B73" s="408" t="s">
        <v>591</v>
      </c>
      <c r="C73" s="376">
        <v>13654</v>
      </c>
      <c r="D73" s="376">
        <v>14054</v>
      </c>
      <c r="E73" s="409">
        <f>+D73-C73</f>
        <v>400</v>
      </c>
      <c r="F73" s="410">
        <f>IF(C73=0,0,+E73/C73)</f>
        <v>2.9295444558371173E-2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5">
      <c r="A74" s="374">
        <v>2</v>
      </c>
      <c r="B74" s="408" t="s">
        <v>592</v>
      </c>
      <c r="C74" s="376">
        <v>69933</v>
      </c>
      <c r="D74" s="376">
        <v>70142</v>
      </c>
      <c r="E74" s="409">
        <f>+D74-C74</f>
        <v>209</v>
      </c>
      <c r="F74" s="410">
        <f>IF(C74=0,0,+E74/C74)</f>
        <v>2.988574778716772E-3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3">
      <c r="A75" s="136"/>
      <c r="B75" s="399" t="s">
        <v>434</v>
      </c>
      <c r="C75" s="401">
        <f>SUM(C73:C74)</f>
        <v>83587</v>
      </c>
      <c r="D75" s="401">
        <f>SUM(D73:D74)</f>
        <v>84196</v>
      </c>
      <c r="E75" s="401">
        <f>SUM(E73:E74)</f>
        <v>609</v>
      </c>
      <c r="F75" s="402">
        <f>IF(C75=0,0,+E75/C75)</f>
        <v>7.2858219579599696E-3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5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5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3">
      <c r="A78" s="136" t="s">
        <v>427</v>
      </c>
      <c r="B78" s="406" t="s">
        <v>593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5">
      <c r="A79" s="374">
        <v>1</v>
      </c>
      <c r="B79" s="408" t="s">
        <v>594</v>
      </c>
      <c r="C79" s="376">
        <v>0</v>
      </c>
      <c r="D79" s="376">
        <v>0</v>
      </c>
      <c r="E79" s="409">
        <f t="shared" ref="E79:E92" si="0">+D79-C79</f>
        <v>0</v>
      </c>
      <c r="F79" s="410">
        <f t="shared" ref="F79:F92" si="1">IF(C79=0,0,+E79/C79)</f>
        <v>0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5">
      <c r="A80" s="374">
        <v>2</v>
      </c>
      <c r="B80" s="408" t="s">
        <v>595</v>
      </c>
      <c r="C80" s="376">
        <v>12011</v>
      </c>
      <c r="D80" s="376">
        <v>10155</v>
      </c>
      <c r="E80" s="409">
        <f t="shared" si="0"/>
        <v>-1856</v>
      </c>
      <c r="F80" s="410">
        <f t="shared" si="1"/>
        <v>-0.15452501873282823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5">
      <c r="A81" s="374">
        <v>3</v>
      </c>
      <c r="B81" s="408" t="s">
        <v>596</v>
      </c>
      <c r="C81" s="376">
        <v>26764</v>
      </c>
      <c r="D81" s="376">
        <v>28256</v>
      </c>
      <c r="E81" s="409">
        <f t="shared" si="0"/>
        <v>1492</v>
      </c>
      <c r="F81" s="410">
        <f t="shared" si="1"/>
        <v>5.5746525183081749E-2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5">
      <c r="A82" s="374">
        <v>4</v>
      </c>
      <c r="B82" s="408" t="s">
        <v>597</v>
      </c>
      <c r="C82" s="376">
        <v>0</v>
      </c>
      <c r="D82" s="376">
        <v>0</v>
      </c>
      <c r="E82" s="409">
        <f t="shared" si="0"/>
        <v>0</v>
      </c>
      <c r="F82" s="410">
        <f t="shared" si="1"/>
        <v>0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5">
      <c r="A83" s="374">
        <v>5</v>
      </c>
      <c r="B83" s="408" t="s">
        <v>598</v>
      </c>
      <c r="C83" s="376">
        <v>8905</v>
      </c>
      <c r="D83" s="376">
        <v>4534</v>
      </c>
      <c r="E83" s="409">
        <f t="shared" si="0"/>
        <v>-4371</v>
      </c>
      <c r="F83" s="410">
        <f t="shared" si="1"/>
        <v>-0.49084783829309375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5">
      <c r="A84" s="374">
        <v>6</v>
      </c>
      <c r="B84" s="408" t="s">
        <v>599</v>
      </c>
      <c r="C84" s="376">
        <v>0</v>
      </c>
      <c r="D84" s="376">
        <v>0</v>
      </c>
      <c r="E84" s="409">
        <f t="shared" si="0"/>
        <v>0</v>
      </c>
      <c r="F84" s="410">
        <f t="shared" si="1"/>
        <v>0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5">
      <c r="A85" s="374">
        <v>7</v>
      </c>
      <c r="B85" s="408" t="s">
        <v>600</v>
      </c>
      <c r="C85" s="376">
        <v>1556</v>
      </c>
      <c r="D85" s="376">
        <v>1257</v>
      </c>
      <c r="E85" s="409">
        <f t="shared" si="0"/>
        <v>-299</v>
      </c>
      <c r="F85" s="410">
        <f t="shared" si="1"/>
        <v>-0.19215938303341903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5">
      <c r="A86" s="374">
        <v>8</v>
      </c>
      <c r="B86" s="408" t="s">
        <v>601</v>
      </c>
      <c r="C86" s="376">
        <v>44469</v>
      </c>
      <c r="D86" s="376">
        <v>40543</v>
      </c>
      <c r="E86" s="409">
        <f t="shared" si="0"/>
        <v>-3926</v>
      </c>
      <c r="F86" s="410">
        <f t="shared" si="1"/>
        <v>-8.8286221862421008E-2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5">
      <c r="A87" s="374">
        <v>9</v>
      </c>
      <c r="B87" s="408" t="s">
        <v>602</v>
      </c>
      <c r="C87" s="376">
        <v>0</v>
      </c>
      <c r="D87" s="376">
        <v>0</v>
      </c>
      <c r="E87" s="409">
        <f t="shared" si="0"/>
        <v>0</v>
      </c>
      <c r="F87" s="410">
        <f t="shared" si="1"/>
        <v>0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5">
      <c r="A88" s="374">
        <v>10</v>
      </c>
      <c r="B88" s="408" t="s">
        <v>603</v>
      </c>
      <c r="C88" s="376">
        <v>1222</v>
      </c>
      <c r="D88" s="376">
        <v>978</v>
      </c>
      <c r="E88" s="409">
        <f t="shared" si="0"/>
        <v>-244</v>
      </c>
      <c r="F88" s="410">
        <f t="shared" si="1"/>
        <v>-0.19967266775777415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5">
      <c r="A89" s="374">
        <v>11</v>
      </c>
      <c r="B89" s="408" t="s">
        <v>604</v>
      </c>
      <c r="C89" s="376">
        <v>917</v>
      </c>
      <c r="D89" s="376">
        <v>774</v>
      </c>
      <c r="E89" s="409">
        <f t="shared" si="0"/>
        <v>-143</v>
      </c>
      <c r="F89" s="410">
        <f t="shared" si="1"/>
        <v>-0.15594329334787349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5">
      <c r="A90" s="374">
        <v>12</v>
      </c>
      <c r="B90" s="408" t="s">
        <v>605</v>
      </c>
      <c r="C90" s="376">
        <v>7545</v>
      </c>
      <c r="D90" s="376">
        <v>3915</v>
      </c>
      <c r="E90" s="409">
        <f t="shared" si="0"/>
        <v>-3630</v>
      </c>
      <c r="F90" s="410">
        <f t="shared" si="1"/>
        <v>-0.48111332007952284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5">
      <c r="A91" s="374">
        <v>13</v>
      </c>
      <c r="B91" s="408" t="s">
        <v>606</v>
      </c>
      <c r="C91" s="376">
        <v>5788</v>
      </c>
      <c r="D91" s="376">
        <v>7583</v>
      </c>
      <c r="E91" s="409">
        <f t="shared" si="0"/>
        <v>1795</v>
      </c>
      <c r="F91" s="410">
        <f t="shared" si="1"/>
        <v>0.31012439530062197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3">
      <c r="A92" s="136"/>
      <c r="B92" s="399" t="s">
        <v>607</v>
      </c>
      <c r="C92" s="381">
        <f>SUM(C79:C91)</f>
        <v>109177</v>
      </c>
      <c r="D92" s="381">
        <f>SUM(D79:D91)</f>
        <v>97995</v>
      </c>
      <c r="E92" s="401">
        <f t="shared" si="0"/>
        <v>-11182</v>
      </c>
      <c r="F92" s="402">
        <f t="shared" si="1"/>
        <v>-0.10242083955411854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3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3">
      <c r="A94" s="136" t="s">
        <v>430</v>
      </c>
      <c r="B94" s="406" t="s">
        <v>608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5">
      <c r="A95" s="374">
        <v>1</v>
      </c>
      <c r="B95" s="408" t="s">
        <v>609</v>
      </c>
      <c r="C95" s="414">
        <v>50149</v>
      </c>
      <c r="D95" s="414">
        <v>54413</v>
      </c>
      <c r="E95" s="415">
        <f t="shared" ref="E95:E100" si="2">+D95-C95</f>
        <v>4264</v>
      </c>
      <c r="F95" s="412">
        <f t="shared" ref="F95:F100" si="3">IF(C95=0,0,+E95/C95)</f>
        <v>8.5026620670402203E-2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5">
      <c r="A96" s="374">
        <v>2</v>
      </c>
      <c r="B96" s="408" t="s">
        <v>610</v>
      </c>
      <c r="C96" s="414">
        <v>7661</v>
      </c>
      <c r="D96" s="414">
        <v>9440</v>
      </c>
      <c r="E96" s="409">
        <f t="shared" si="2"/>
        <v>1779</v>
      </c>
      <c r="F96" s="410">
        <f t="shared" si="3"/>
        <v>0.23221511552016708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5">
      <c r="A97" s="374">
        <v>3</v>
      </c>
      <c r="B97" s="408" t="s">
        <v>611</v>
      </c>
      <c r="C97" s="414">
        <v>7671</v>
      </c>
      <c r="D97" s="414">
        <v>8869</v>
      </c>
      <c r="E97" s="409">
        <f t="shared" si="2"/>
        <v>1198</v>
      </c>
      <c r="F97" s="410">
        <f t="shared" si="3"/>
        <v>0.15617259809672793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5">
      <c r="A98" s="374">
        <v>4</v>
      </c>
      <c r="B98" s="408" t="s">
        <v>612</v>
      </c>
      <c r="C98" s="414">
        <v>0</v>
      </c>
      <c r="D98" s="414">
        <v>0</v>
      </c>
      <c r="E98" s="409">
        <f t="shared" si="2"/>
        <v>0</v>
      </c>
      <c r="F98" s="410">
        <f t="shared" si="3"/>
        <v>0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5">
      <c r="A99" s="374">
        <v>5</v>
      </c>
      <c r="B99" s="408" t="s">
        <v>613</v>
      </c>
      <c r="C99" s="414">
        <v>185977</v>
      </c>
      <c r="D99" s="414">
        <v>184380</v>
      </c>
      <c r="E99" s="409">
        <f t="shared" si="2"/>
        <v>-1597</v>
      </c>
      <c r="F99" s="410">
        <f t="shared" si="3"/>
        <v>-8.5870833490162765E-3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3">
      <c r="A100" s="136"/>
      <c r="B100" s="399" t="s">
        <v>614</v>
      </c>
      <c r="C100" s="381">
        <f>SUM(C95:C99)</f>
        <v>251458</v>
      </c>
      <c r="D100" s="381">
        <f>SUM(D95:D99)</f>
        <v>257102</v>
      </c>
      <c r="E100" s="401">
        <f t="shared" si="2"/>
        <v>5644</v>
      </c>
      <c r="F100" s="402">
        <f t="shared" si="3"/>
        <v>2.244510017577488E-2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5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3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3">
      <c r="A103" s="136" t="s">
        <v>462</v>
      </c>
      <c r="B103" s="406" t="s">
        <v>615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5">
      <c r="A104" s="374">
        <v>1</v>
      </c>
      <c r="B104" s="408" t="s">
        <v>616</v>
      </c>
      <c r="C104" s="416">
        <v>656.6</v>
      </c>
      <c r="D104" s="416">
        <v>658</v>
      </c>
      <c r="E104" s="417">
        <f>+D104-C104</f>
        <v>1.3999999999999773</v>
      </c>
      <c r="F104" s="410">
        <f>IF(C104=0,0,+E104/C104)</f>
        <v>2.1321961620468736E-3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5">
      <c r="A105" s="374">
        <v>2</v>
      </c>
      <c r="B105" s="408" t="s">
        <v>617</v>
      </c>
      <c r="C105" s="416">
        <v>123.5</v>
      </c>
      <c r="D105" s="416">
        <v>113.1</v>
      </c>
      <c r="E105" s="417">
        <f>+D105-C105</f>
        <v>-10.400000000000006</v>
      </c>
      <c r="F105" s="410">
        <f>IF(C105=0,0,+E105/C105)</f>
        <v>-8.4210526315789513E-2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5">
      <c r="A106" s="374">
        <v>3</v>
      </c>
      <c r="B106" s="408" t="s">
        <v>618</v>
      </c>
      <c r="C106" s="416">
        <v>1938.8</v>
      </c>
      <c r="D106" s="416">
        <v>1919</v>
      </c>
      <c r="E106" s="417">
        <f>+D106-C106</f>
        <v>-19.799999999999955</v>
      </c>
      <c r="F106" s="410">
        <f>IF(C106=0,0,+E106/C106)</f>
        <v>-1.0212502578914769E-2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3">
      <c r="A107" s="136"/>
      <c r="B107" s="399" t="s">
        <v>619</v>
      </c>
      <c r="C107" s="418">
        <f>SUM(C104:C106)</f>
        <v>2718.9</v>
      </c>
      <c r="D107" s="418">
        <f>SUM(D104:D106)</f>
        <v>2690.1</v>
      </c>
      <c r="E107" s="418">
        <f>+D107-C107</f>
        <v>-28.800000000000182</v>
      </c>
      <c r="F107" s="402">
        <f>IF(C107=0,0,+E107/C107)</f>
        <v>-1.0592519033432704E-2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3">
      <c r="B111" s="392"/>
    </row>
  </sheetData>
  <mergeCells count="6">
    <mergeCell ref="B40:F40"/>
    <mergeCell ref="A1:F1"/>
    <mergeCell ref="A2:F2"/>
    <mergeCell ref="A3:F3"/>
    <mergeCell ref="A4:F4"/>
    <mergeCell ref="B39:F39"/>
  </mergeCells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FILING&amp;RDANBURY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topLeftCell="A4" zoomScale="75" zoomScaleSheetLayoutView="90" workbookViewId="0">
      <selection activeCell="B29" sqref="B29"/>
    </sheetView>
  </sheetViews>
  <sheetFormatPr defaultColWidth="9.109375" defaultRowHeight="13.2" x14ac:dyDescent="0.25"/>
  <cols>
    <col min="1" max="1" width="5.33203125" style="396" customWidth="1"/>
    <col min="2" max="2" width="56.44140625" style="365" customWidth="1"/>
    <col min="3" max="3" width="15.5546875" style="365" customWidth="1"/>
    <col min="4" max="4" width="15.33203125" style="365" customWidth="1"/>
    <col min="5" max="5" width="15.6640625" style="365" customWidth="1"/>
    <col min="6" max="6" width="15.88671875" style="365" customWidth="1"/>
    <col min="7" max="16384" width="9.109375" style="365"/>
  </cols>
  <sheetData>
    <row r="1" spans="1:6" ht="15.75" customHeight="1" x14ac:dyDescent="0.3">
      <c r="A1" s="810" t="s">
        <v>0</v>
      </c>
      <c r="B1" s="811"/>
      <c r="C1" s="811"/>
      <c r="D1" s="811"/>
      <c r="E1" s="811"/>
      <c r="F1" s="812"/>
    </row>
    <row r="2" spans="1:6" ht="15.75" customHeight="1" x14ac:dyDescent="0.3">
      <c r="A2" s="810" t="s">
        <v>1</v>
      </c>
      <c r="B2" s="811"/>
      <c r="C2" s="811"/>
      <c r="D2" s="811"/>
      <c r="E2" s="811"/>
      <c r="F2" s="812"/>
    </row>
    <row r="3" spans="1:6" ht="15.75" customHeight="1" x14ac:dyDescent="0.3">
      <c r="A3" s="810" t="s">
        <v>2</v>
      </c>
      <c r="B3" s="811"/>
      <c r="C3" s="811"/>
      <c r="D3" s="811"/>
      <c r="E3" s="811"/>
      <c r="F3" s="812"/>
    </row>
    <row r="4" spans="1:6" ht="15.75" customHeight="1" x14ac:dyDescent="0.3">
      <c r="A4" s="810" t="s">
        <v>620</v>
      </c>
      <c r="B4" s="811"/>
      <c r="C4" s="811"/>
      <c r="D4" s="811"/>
      <c r="E4" s="811"/>
      <c r="F4" s="812"/>
    </row>
    <row r="5" spans="1:6" ht="15.75" customHeight="1" x14ac:dyDescent="0.3">
      <c r="A5" s="136"/>
      <c r="B5" s="399"/>
      <c r="C5" s="400"/>
      <c r="D5" s="400"/>
      <c r="E5" s="401"/>
      <c r="F5" s="402"/>
    </row>
    <row r="6" spans="1:6" ht="15.75" customHeight="1" x14ac:dyDescent="0.3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3">
      <c r="A7" s="405"/>
      <c r="B7" s="361"/>
      <c r="C7" s="362"/>
      <c r="D7" s="362"/>
      <c r="E7" s="362"/>
      <c r="F7" s="362"/>
    </row>
    <row r="8" spans="1:6" ht="15.75" customHeight="1" x14ac:dyDescent="0.3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3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3">
      <c r="A10" s="369"/>
      <c r="B10" s="406"/>
      <c r="C10" s="371"/>
      <c r="D10" s="371"/>
      <c r="E10" s="371"/>
      <c r="F10" s="371"/>
    </row>
    <row r="11" spans="1:6" ht="15.75" customHeight="1" x14ac:dyDescent="0.3">
      <c r="A11" s="136" t="s">
        <v>14</v>
      </c>
      <c r="B11" s="406" t="s">
        <v>584</v>
      </c>
      <c r="C11" s="409"/>
      <c r="D11" s="409"/>
      <c r="E11" s="409"/>
      <c r="F11" s="410"/>
    </row>
    <row r="12" spans="1:6" ht="15.75" customHeight="1" x14ac:dyDescent="0.25">
      <c r="A12" s="374">
        <v>1</v>
      </c>
      <c r="B12" s="408" t="s">
        <v>621</v>
      </c>
      <c r="C12" s="409">
        <v>7906</v>
      </c>
      <c r="D12" s="409">
        <v>7681</v>
      </c>
      <c r="E12" s="409">
        <f>+D12-C12</f>
        <v>-225</v>
      </c>
      <c r="F12" s="410">
        <f>IF(C12=0,0,+E12/C12)</f>
        <v>-2.8459397925626108E-2</v>
      </c>
    </row>
    <row r="13" spans="1:6" ht="15.75" customHeight="1" x14ac:dyDescent="0.25">
      <c r="A13" s="374">
        <v>2</v>
      </c>
      <c r="B13" s="408" t="s">
        <v>622</v>
      </c>
      <c r="C13" s="409">
        <v>2764</v>
      </c>
      <c r="D13" s="409">
        <v>2959</v>
      </c>
      <c r="E13" s="409">
        <f>+D13-C13</f>
        <v>195</v>
      </c>
      <c r="F13" s="410">
        <f>IF(C13=0,0,+E13/C13)</f>
        <v>7.0549927641099852E-2</v>
      </c>
    </row>
    <row r="14" spans="1:6" ht="15.75" customHeight="1" x14ac:dyDescent="0.3">
      <c r="A14" s="374"/>
      <c r="B14" s="399" t="s">
        <v>623</v>
      </c>
      <c r="C14" s="401">
        <f>SUM(C11:C13)</f>
        <v>10670</v>
      </c>
      <c r="D14" s="401">
        <f>SUM(D11:D13)</f>
        <v>10640</v>
      </c>
      <c r="E14" s="401">
        <f>+D14-C14</f>
        <v>-30</v>
      </c>
      <c r="F14" s="402">
        <f>IF(C14=0,0,+E14/C14)</f>
        <v>-2.8116213683223993E-3</v>
      </c>
    </row>
    <row r="15" spans="1:6" ht="15.75" customHeight="1" x14ac:dyDescent="0.3">
      <c r="A15" s="136"/>
      <c r="B15" s="399"/>
      <c r="C15" s="401"/>
      <c r="D15" s="401"/>
      <c r="E15" s="401"/>
      <c r="F15" s="402"/>
    </row>
    <row r="16" spans="1:6" ht="15.75" customHeight="1" x14ac:dyDescent="0.3">
      <c r="A16" s="136" t="s">
        <v>26</v>
      </c>
      <c r="B16" s="406" t="s">
        <v>588</v>
      </c>
      <c r="C16" s="409"/>
      <c r="D16" s="409"/>
      <c r="E16" s="409"/>
      <c r="F16" s="410"/>
    </row>
    <row r="17" spans="1:6" ht="15.75" customHeight="1" x14ac:dyDescent="0.25">
      <c r="A17" s="374">
        <v>1</v>
      </c>
      <c r="B17" s="408" t="s">
        <v>621</v>
      </c>
      <c r="C17" s="409">
        <v>11840</v>
      </c>
      <c r="D17" s="409">
        <v>12495</v>
      </c>
      <c r="E17" s="409">
        <f>+D17-C17</f>
        <v>655</v>
      </c>
      <c r="F17" s="410">
        <f>IF(C17=0,0,+E17/C17)</f>
        <v>5.5320945945945943E-2</v>
      </c>
    </row>
    <row r="18" spans="1:6" ht="15.75" customHeight="1" x14ac:dyDescent="0.25">
      <c r="A18" s="374">
        <v>2</v>
      </c>
      <c r="B18" s="408" t="s">
        <v>622</v>
      </c>
      <c r="C18" s="409">
        <v>1051</v>
      </c>
      <c r="D18" s="409">
        <v>1133</v>
      </c>
      <c r="E18" s="409">
        <f>+D18-C18</f>
        <v>82</v>
      </c>
      <c r="F18" s="410">
        <f>IF(C18=0,0,+E18/C18)</f>
        <v>7.8020932445290195E-2</v>
      </c>
    </row>
    <row r="19" spans="1:6" ht="15.75" customHeight="1" x14ac:dyDescent="0.3">
      <c r="A19" s="374"/>
      <c r="B19" s="399" t="s">
        <v>624</v>
      </c>
      <c r="C19" s="401">
        <f>SUM(C16:C18)</f>
        <v>12891</v>
      </c>
      <c r="D19" s="401">
        <f>SUM(D16:D18)</f>
        <v>13628</v>
      </c>
      <c r="E19" s="401">
        <f>+D19-C19</f>
        <v>737</v>
      </c>
      <c r="F19" s="402">
        <f>IF(C19=0,0,+E19/C19)</f>
        <v>5.7171670157474208E-2</v>
      </c>
    </row>
    <row r="20" spans="1:6" ht="15.75" customHeight="1" x14ac:dyDescent="0.3">
      <c r="A20" s="136"/>
      <c r="B20" s="399"/>
      <c r="C20" s="401"/>
      <c r="D20" s="401"/>
      <c r="E20" s="401"/>
      <c r="F20" s="402"/>
    </row>
    <row r="21" spans="1:6" ht="15.75" customHeight="1" x14ac:dyDescent="0.3">
      <c r="A21" s="136" t="s">
        <v>36</v>
      </c>
      <c r="B21" s="406" t="s">
        <v>625</v>
      </c>
      <c r="C21" s="409"/>
      <c r="D21" s="409"/>
      <c r="E21" s="409"/>
      <c r="F21" s="410"/>
    </row>
    <row r="22" spans="1:6" ht="15.75" customHeight="1" x14ac:dyDescent="0.25">
      <c r="A22" s="374">
        <v>1</v>
      </c>
      <c r="B22" s="408" t="s">
        <v>621</v>
      </c>
      <c r="C22" s="409">
        <v>69933</v>
      </c>
      <c r="D22" s="409">
        <v>0</v>
      </c>
      <c r="E22" s="409">
        <f>+D22-C22</f>
        <v>-69933</v>
      </c>
      <c r="F22" s="410">
        <f>IF(C22=0,0,+E22/C22)</f>
        <v>-1</v>
      </c>
    </row>
    <row r="23" spans="1:6" ht="15.75" customHeight="1" x14ac:dyDescent="0.25">
      <c r="A23" s="374">
        <v>2</v>
      </c>
      <c r="B23" s="408" t="s">
        <v>621</v>
      </c>
      <c r="C23" s="409">
        <v>69933</v>
      </c>
      <c r="D23" s="409">
        <v>70142</v>
      </c>
      <c r="E23" s="409">
        <f>+D23-C23</f>
        <v>209</v>
      </c>
      <c r="F23" s="410">
        <f>IF(C23=0,0,+E23/C23)</f>
        <v>2.988574778716772E-3</v>
      </c>
    </row>
    <row r="24" spans="1:6" ht="15.75" customHeight="1" x14ac:dyDescent="0.3">
      <c r="A24" s="374"/>
      <c r="B24" s="399" t="s">
        <v>626</v>
      </c>
      <c r="C24" s="401">
        <f>SUM(C21:C23)</f>
        <v>139866</v>
      </c>
      <c r="D24" s="401">
        <f>SUM(D21:D23)</f>
        <v>70142</v>
      </c>
      <c r="E24" s="401">
        <f>+D24-C24</f>
        <v>-69724</v>
      </c>
      <c r="F24" s="402">
        <f>IF(C24=0,0,+E24/C24)</f>
        <v>-0.49850571261064164</v>
      </c>
    </row>
    <row r="25" spans="1:6" ht="15.75" customHeight="1" x14ac:dyDescent="0.3">
      <c r="A25" s="136"/>
      <c r="B25" s="399"/>
      <c r="C25" s="401"/>
      <c r="D25" s="401"/>
      <c r="E25" s="401"/>
      <c r="F25" s="402"/>
    </row>
    <row r="26" spans="1:6" ht="15.75" customHeight="1" x14ac:dyDescent="0.3">
      <c r="B26" s="813" t="s">
        <v>627</v>
      </c>
      <c r="C26" s="814"/>
      <c r="D26" s="814"/>
      <c r="E26" s="814"/>
      <c r="F26" s="815"/>
    </row>
    <row r="27" spans="1:6" ht="15.75" customHeight="1" x14ac:dyDescent="0.3">
      <c r="A27" s="392"/>
    </row>
    <row r="28" spans="1:6" ht="15.75" customHeight="1" x14ac:dyDescent="0.3">
      <c r="B28" s="813" t="s">
        <v>628</v>
      </c>
      <c r="C28" s="814"/>
      <c r="D28" s="814"/>
      <c r="E28" s="814"/>
      <c r="F28" s="815"/>
    </row>
    <row r="29" spans="1:6" ht="15.75" customHeight="1" x14ac:dyDescent="0.3">
      <c r="A29" s="392"/>
    </row>
    <row r="30" spans="1:6" ht="15.75" customHeight="1" x14ac:dyDescent="0.3">
      <c r="B30" s="813" t="s">
        <v>629</v>
      </c>
      <c r="C30" s="814"/>
      <c r="D30" s="814"/>
      <c r="E30" s="814"/>
      <c r="F30" s="815"/>
    </row>
    <row r="31" spans="1:6" ht="15.75" customHeight="1" x14ac:dyDescent="0.3">
      <c r="A31" s="392"/>
    </row>
  </sheetData>
  <mergeCells count="7">
    <mergeCell ref="B30:F30"/>
    <mergeCell ref="A1:F1"/>
    <mergeCell ref="A2:F2"/>
    <mergeCell ref="A3:F3"/>
    <mergeCell ref="A4:F4"/>
    <mergeCell ref="B26:F26"/>
    <mergeCell ref="B28:F28"/>
  </mergeCells>
  <printOptions gridLines="1"/>
  <pageMargins left="0.25" right="0.25" top="0.5" bottom="0.5" header="0.25" footer="0.25"/>
  <pageSetup scale="82" fitToHeight="0" orientation="portrait" horizontalDpi="1200" verticalDpi="1200" r:id="rId1"/>
  <headerFooter>
    <oddHeader>&amp;LOFFICE OF HEALTH CARE ACCESS&amp;CTWELVE MONTHS ACTUAL FILING&amp;RDANBURY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72"/>
  <sheetViews>
    <sheetView topLeftCell="A286" zoomScale="85" zoomScaleSheetLayoutView="80" workbookViewId="0">
      <selection activeCell="B329" sqref="B329"/>
    </sheetView>
  </sheetViews>
  <sheetFormatPr defaultColWidth="9.109375" defaultRowHeight="15.75" customHeight="1" x14ac:dyDescent="0.25"/>
  <cols>
    <col min="1" max="1" width="5.109375" style="421" bestFit="1" customWidth="1"/>
    <col min="2" max="2" width="62.109375" style="485" customWidth="1"/>
    <col min="3" max="3" width="14.44140625" style="568" customWidth="1"/>
    <col min="4" max="4" width="14.33203125" style="421" customWidth="1"/>
    <col min="5" max="5" width="14" style="421" customWidth="1"/>
    <col min="6" max="6" width="15.5546875" style="421" customWidth="1"/>
    <col min="7" max="17" width="12.6640625" style="420" customWidth="1"/>
    <col min="18" max="21" width="9.109375" style="421"/>
    <col min="22" max="22" width="9.109375" style="421" hidden="1" customWidth="1"/>
    <col min="23" max="16384" width="9.109375" style="421"/>
  </cols>
  <sheetData>
    <row r="1" spans="1:21" ht="15.75" customHeight="1" x14ac:dyDescent="0.3">
      <c r="A1" s="816" t="s">
        <v>0</v>
      </c>
      <c r="B1" s="816"/>
      <c r="C1" s="816"/>
      <c r="D1" s="816"/>
      <c r="E1" s="816"/>
      <c r="F1" s="816"/>
    </row>
    <row r="2" spans="1:21" ht="15.75" customHeight="1" x14ac:dyDescent="0.3">
      <c r="A2" s="817" t="s">
        <v>630</v>
      </c>
      <c r="B2" s="818"/>
      <c r="C2" s="818"/>
      <c r="D2" s="818"/>
      <c r="E2" s="818"/>
      <c r="F2" s="819"/>
    </row>
    <row r="3" spans="1:21" ht="15.75" customHeight="1" x14ac:dyDescent="0.3">
      <c r="A3" s="817" t="s">
        <v>2</v>
      </c>
      <c r="B3" s="818"/>
      <c r="C3" s="818"/>
      <c r="D3" s="818"/>
      <c r="E3" s="818"/>
      <c r="F3" s="819"/>
    </row>
    <row r="4" spans="1:21" ht="15.75" customHeight="1" x14ac:dyDescent="0.3">
      <c r="A4" s="817" t="s">
        <v>631</v>
      </c>
      <c r="B4" s="818"/>
      <c r="C4" s="818"/>
      <c r="D4" s="818"/>
      <c r="E4" s="818"/>
      <c r="F4" s="819"/>
    </row>
    <row r="5" spans="1:21" ht="15.75" customHeight="1" x14ac:dyDescent="0.3">
      <c r="A5" s="817" t="s">
        <v>632</v>
      </c>
      <c r="B5" s="818"/>
      <c r="C5" s="818"/>
      <c r="D5" s="818"/>
      <c r="E5" s="818"/>
      <c r="F5" s="819"/>
    </row>
    <row r="6" spans="1:21" ht="15.75" customHeight="1" x14ac:dyDescent="0.3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5">
      <c r="A7" s="425"/>
      <c r="B7" s="425"/>
      <c r="C7" s="426" t="s">
        <v>633</v>
      </c>
      <c r="D7" s="426" t="s">
        <v>633</v>
      </c>
      <c r="E7" s="426" t="s">
        <v>634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5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5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3">
      <c r="A10" s="436" t="s">
        <v>12</v>
      </c>
      <c r="B10" s="437" t="s">
        <v>635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5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3">
      <c r="A12" s="443" t="s">
        <v>14</v>
      </c>
      <c r="B12" s="444" t="s">
        <v>636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5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637</v>
      </c>
      <c r="C14" s="420"/>
      <c r="D14" s="420"/>
      <c r="E14" s="420"/>
      <c r="F14" s="420"/>
      <c r="Q14" s="421"/>
    </row>
    <row r="15" spans="1:21" ht="15.75" customHeight="1" x14ac:dyDescent="0.25">
      <c r="A15" s="428">
        <v>1</v>
      </c>
      <c r="B15" s="447" t="s">
        <v>638</v>
      </c>
      <c r="C15" s="448">
        <v>394588741</v>
      </c>
      <c r="D15" s="448">
        <v>400549025</v>
      </c>
      <c r="E15" s="448">
        <f t="shared" ref="E15:E24" si="0">D15-C15</f>
        <v>5960284</v>
      </c>
      <c r="F15" s="449">
        <f t="shared" ref="F15:F24" si="1">IF(C15=0,0,E15/C15)</f>
        <v>1.5105053390258796E-2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5">
      <c r="A16" s="451">
        <v>2</v>
      </c>
      <c r="B16" s="447" t="s">
        <v>639</v>
      </c>
      <c r="C16" s="448">
        <v>121787972</v>
      </c>
      <c r="D16" s="448">
        <v>119372952</v>
      </c>
      <c r="E16" s="448">
        <f t="shared" si="0"/>
        <v>-2415020</v>
      </c>
      <c r="F16" s="449">
        <f t="shared" si="1"/>
        <v>-1.9829708634938104E-2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5">
      <c r="A17" s="451">
        <v>3</v>
      </c>
      <c r="B17" s="452" t="s">
        <v>640</v>
      </c>
      <c r="C17" s="453">
        <f>IF(C15=0,0,C16/C15)</f>
        <v>0.30864532954324714</v>
      </c>
      <c r="D17" s="453">
        <f>IF(LN_IA1=0,0,LN_IA2/LN_IA1)</f>
        <v>0.29802332436085693</v>
      </c>
      <c r="E17" s="454">
        <f t="shared" si="0"/>
        <v>-1.0622005182390204E-2</v>
      </c>
      <c r="F17" s="449">
        <f t="shared" si="1"/>
        <v>-3.4414922779195521E-2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5">
      <c r="A18" s="451">
        <v>4</v>
      </c>
      <c r="B18" s="447" t="s">
        <v>137</v>
      </c>
      <c r="C18" s="456">
        <v>10031</v>
      </c>
      <c r="D18" s="456">
        <v>10192</v>
      </c>
      <c r="E18" s="456">
        <f t="shared" si="0"/>
        <v>161</v>
      </c>
      <c r="F18" s="449">
        <f t="shared" si="1"/>
        <v>1.6050244242847175E-2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5">
      <c r="A19" s="451">
        <v>5</v>
      </c>
      <c r="B19" s="452" t="s">
        <v>641</v>
      </c>
      <c r="C19" s="459">
        <v>1.5479000000000001</v>
      </c>
      <c r="D19" s="459">
        <v>1.5397000000000001</v>
      </c>
      <c r="E19" s="460">
        <f t="shared" si="0"/>
        <v>-8.1999999999999851E-3</v>
      </c>
      <c r="F19" s="449">
        <f t="shared" si="1"/>
        <v>-5.2974998384908486E-3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5">
      <c r="A20" s="428">
        <v>6</v>
      </c>
      <c r="B20" s="452" t="s">
        <v>642</v>
      </c>
      <c r="C20" s="463">
        <f>C18*C19</f>
        <v>15526.984900000001</v>
      </c>
      <c r="D20" s="463">
        <f>LN_IA4*LN_IA5</f>
        <v>15692.6224</v>
      </c>
      <c r="E20" s="463">
        <f t="shared" si="0"/>
        <v>165.63749999999891</v>
      </c>
      <c r="F20" s="449">
        <f t="shared" si="1"/>
        <v>1.0667718238072022E-2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5">
      <c r="A21" s="451">
        <v>7</v>
      </c>
      <c r="B21" s="447" t="s">
        <v>643</v>
      </c>
      <c r="C21" s="465">
        <f>IF(C20=0,0,C16/C20)</f>
        <v>7843.6330546054687</v>
      </c>
      <c r="D21" s="465">
        <f>IF(LN_IA6=0,0,LN_IA2/LN_IA6)</f>
        <v>7606.947325770102</v>
      </c>
      <c r="E21" s="465">
        <f t="shared" si="0"/>
        <v>-236.68572883536672</v>
      </c>
      <c r="F21" s="449">
        <f t="shared" si="1"/>
        <v>-3.0175522897057799E-2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5">
      <c r="A22" s="451">
        <v>8</v>
      </c>
      <c r="B22" s="447" t="s">
        <v>139</v>
      </c>
      <c r="C22" s="456">
        <v>59642</v>
      </c>
      <c r="D22" s="456">
        <v>52360</v>
      </c>
      <c r="E22" s="456">
        <f t="shared" si="0"/>
        <v>-7282</v>
      </c>
      <c r="F22" s="449">
        <f t="shared" si="1"/>
        <v>-0.12209516783474733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5">
      <c r="A23" s="451">
        <v>9</v>
      </c>
      <c r="B23" s="447" t="s">
        <v>644</v>
      </c>
      <c r="C23" s="465">
        <f>IF(C22=0,0,C16/C22)</f>
        <v>2041.9833674256397</v>
      </c>
      <c r="D23" s="465">
        <f>IF(LN_IA8=0,0,LN_IA2/LN_IA8)</f>
        <v>2279.850114591291</v>
      </c>
      <c r="E23" s="465">
        <f t="shared" si="0"/>
        <v>237.8667471656513</v>
      </c>
      <c r="F23" s="449">
        <f t="shared" si="1"/>
        <v>0.11648809239104314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5">
      <c r="A24" s="451">
        <v>10</v>
      </c>
      <c r="B24" s="447" t="s">
        <v>645</v>
      </c>
      <c r="C24" s="466">
        <f>IF(C18=0,0,C22/C18)</f>
        <v>5.945768118831622</v>
      </c>
      <c r="D24" s="466">
        <f>IF(LN_IA4=0,0,LN_IA8/LN_IA4)</f>
        <v>5.1373626373626378</v>
      </c>
      <c r="E24" s="466">
        <f t="shared" si="0"/>
        <v>-0.80840548146898428</v>
      </c>
      <c r="F24" s="449">
        <f t="shared" si="1"/>
        <v>-0.13596316999120386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5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646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5">
      <c r="A27" s="451">
        <v>11</v>
      </c>
      <c r="B27" s="447" t="s">
        <v>647</v>
      </c>
      <c r="C27" s="448">
        <v>323857155</v>
      </c>
      <c r="D27" s="448">
        <v>347675633</v>
      </c>
      <c r="E27" s="448">
        <f t="shared" ref="E27:E32" si="2">D27-C27</f>
        <v>23818478</v>
      </c>
      <c r="F27" s="449">
        <f t="shared" ref="F27:F32" si="3">IF(C27=0,0,E27/C27)</f>
        <v>7.3546246029364395E-2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5">
      <c r="A28" s="451">
        <v>12</v>
      </c>
      <c r="B28" s="447" t="s">
        <v>648</v>
      </c>
      <c r="C28" s="448">
        <v>99844401</v>
      </c>
      <c r="D28" s="448">
        <v>103415198</v>
      </c>
      <c r="E28" s="448">
        <f t="shared" si="2"/>
        <v>3570797</v>
      </c>
      <c r="F28" s="449">
        <f t="shared" si="3"/>
        <v>3.5763617831709962E-2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5">
      <c r="A29" s="451">
        <v>13</v>
      </c>
      <c r="B29" s="447" t="s">
        <v>649</v>
      </c>
      <c r="C29" s="453">
        <f>IF(C27=0,0,C28/C27)</f>
        <v>0.30829765363683259</v>
      </c>
      <c r="D29" s="453">
        <f>IF(LN_IA11=0,0,LN_IA12/LN_IA11)</f>
        <v>0.29744735662852739</v>
      </c>
      <c r="E29" s="454">
        <f t="shared" si="2"/>
        <v>-1.0850297008305199E-2</v>
      </c>
      <c r="F29" s="449">
        <f t="shared" si="3"/>
        <v>-3.5194225062402176E-2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5">
      <c r="A30" s="451">
        <v>14</v>
      </c>
      <c r="B30" s="447" t="s">
        <v>650</v>
      </c>
      <c r="C30" s="453">
        <f>IF(C15=0,0,C27/C15)</f>
        <v>0.82074606127699934</v>
      </c>
      <c r="D30" s="453">
        <f>IF(LN_IA1=0,0,LN_IA11/LN_IA1)</f>
        <v>0.86799770140496535</v>
      </c>
      <c r="E30" s="454">
        <f t="shared" si="2"/>
        <v>4.725164012796601E-2</v>
      </c>
      <c r="F30" s="449">
        <f t="shared" si="3"/>
        <v>5.7571570985606869E-2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5">
      <c r="A31" s="451">
        <v>15</v>
      </c>
      <c r="B31" s="447" t="s">
        <v>651</v>
      </c>
      <c r="C31" s="463">
        <f>C30*C18</f>
        <v>8232.9037406695807</v>
      </c>
      <c r="D31" s="463">
        <f>LN_IA14*LN_IA4</f>
        <v>8846.6325727194071</v>
      </c>
      <c r="E31" s="463">
        <f t="shared" si="2"/>
        <v>613.72883204982645</v>
      </c>
      <c r="F31" s="449">
        <f t="shared" si="3"/>
        <v>7.4545853004217441E-2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5">
      <c r="A32" s="451">
        <v>16</v>
      </c>
      <c r="B32" s="452" t="s">
        <v>652</v>
      </c>
      <c r="C32" s="465">
        <f>IF(C31=0,0,C28/C31)</f>
        <v>12127.483102563236</v>
      </c>
      <c r="D32" s="465">
        <f>IF(LN_IA15=0,0,LN_IA12/LN_IA15)</f>
        <v>11689.781072054937</v>
      </c>
      <c r="E32" s="465">
        <f t="shared" si="2"/>
        <v>-437.70203050829878</v>
      </c>
      <c r="F32" s="449">
        <f t="shared" si="3"/>
        <v>-3.6091745237376349E-2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5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653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5">
      <c r="A35" s="451">
        <v>17</v>
      </c>
      <c r="B35" s="447" t="s">
        <v>654</v>
      </c>
      <c r="C35" s="448">
        <f>C15+C27</f>
        <v>718445896</v>
      </c>
      <c r="D35" s="448">
        <f>LN_IA1+LN_IA11</f>
        <v>748224658</v>
      </c>
      <c r="E35" s="448">
        <f>D35-C35</f>
        <v>29778762</v>
      </c>
      <c r="F35" s="449">
        <f>IF(C35=0,0,E35/C35)</f>
        <v>4.1448858105802303E-2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5">
      <c r="A36" s="451">
        <v>18</v>
      </c>
      <c r="B36" s="447" t="s">
        <v>655</v>
      </c>
      <c r="C36" s="448">
        <f>C16+C28</f>
        <v>221632373</v>
      </c>
      <c r="D36" s="448">
        <f>LN_IA2+LN_IA12</f>
        <v>222788150</v>
      </c>
      <c r="E36" s="448">
        <f>D36-C36</f>
        <v>1155777</v>
      </c>
      <c r="F36" s="449">
        <f>IF(C36=0,0,E36/C36)</f>
        <v>5.2148383575715265E-3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5">
      <c r="A37" s="473">
        <v>19</v>
      </c>
      <c r="B37" s="447" t="s">
        <v>656</v>
      </c>
      <c r="C37" s="448">
        <f>C35-C36</f>
        <v>496813523</v>
      </c>
      <c r="D37" s="448">
        <f>LN_IA17-LN_IA18</f>
        <v>525436508</v>
      </c>
      <c r="E37" s="448">
        <f>D37-C37</f>
        <v>28622985</v>
      </c>
      <c r="F37" s="449">
        <f>IF(C37=0,0,E37/C37)</f>
        <v>5.7613135864661234E-2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5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3">
      <c r="A39" s="443" t="s">
        <v>26</v>
      </c>
      <c r="B39" s="444" t="s">
        <v>657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5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658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5">
      <c r="A42" s="428">
        <v>1</v>
      </c>
      <c r="B42" s="447" t="s">
        <v>638</v>
      </c>
      <c r="C42" s="448">
        <v>202120591</v>
      </c>
      <c r="D42" s="448">
        <v>216575902</v>
      </c>
      <c r="E42" s="448">
        <f t="shared" ref="E42:E53" si="4">D42-C42</f>
        <v>14455311</v>
      </c>
      <c r="F42" s="449">
        <f t="shared" ref="F42:F53" si="5">IF(C42=0,0,E42/C42)</f>
        <v>7.1518250211330528E-2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5">
      <c r="A43" s="451">
        <v>2</v>
      </c>
      <c r="B43" s="447" t="s">
        <v>639</v>
      </c>
      <c r="C43" s="448">
        <v>111176594</v>
      </c>
      <c r="D43" s="448">
        <v>117220330</v>
      </c>
      <c r="E43" s="448">
        <f t="shared" si="4"/>
        <v>6043736</v>
      </c>
      <c r="F43" s="449">
        <f t="shared" si="5"/>
        <v>5.4361586216609588E-2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5">
      <c r="A44" s="451">
        <v>3</v>
      </c>
      <c r="B44" s="452" t="s">
        <v>640</v>
      </c>
      <c r="C44" s="453">
        <f>IF(C42=0,0,C43/C42)</f>
        <v>0.55005080605567791</v>
      </c>
      <c r="D44" s="453">
        <f>IF(LN_IB1=0,0,LN_IB2/LN_IB1)</f>
        <v>0.54124364214814624</v>
      </c>
      <c r="E44" s="454">
        <f t="shared" si="4"/>
        <v>-8.8071639075316677E-3</v>
      </c>
      <c r="F44" s="449">
        <f t="shared" si="5"/>
        <v>-1.6011546225495721E-2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5">
      <c r="A45" s="451">
        <v>4</v>
      </c>
      <c r="B45" s="447" t="s">
        <v>137</v>
      </c>
      <c r="C45" s="456">
        <v>6907</v>
      </c>
      <c r="D45" s="456">
        <v>7063</v>
      </c>
      <c r="E45" s="456">
        <f t="shared" si="4"/>
        <v>156</v>
      </c>
      <c r="F45" s="449">
        <f t="shared" si="5"/>
        <v>2.2585782539452728E-2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5">
      <c r="A46" s="451">
        <v>5</v>
      </c>
      <c r="B46" s="452" t="s">
        <v>641</v>
      </c>
      <c r="C46" s="459">
        <v>1.2779</v>
      </c>
      <c r="D46" s="459">
        <v>1.2867</v>
      </c>
      <c r="E46" s="460">
        <f t="shared" si="4"/>
        <v>8.799999999999919E-3</v>
      </c>
      <c r="F46" s="449">
        <f t="shared" si="5"/>
        <v>6.886297832381187E-3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5">
      <c r="A47" s="428">
        <v>6</v>
      </c>
      <c r="B47" s="452" t="s">
        <v>642</v>
      </c>
      <c r="C47" s="463">
        <f>C45*C46</f>
        <v>8826.4552999999996</v>
      </c>
      <c r="D47" s="463">
        <f>LN_IB4*LN_IB5</f>
        <v>9087.9620999999988</v>
      </c>
      <c r="E47" s="463">
        <f t="shared" si="4"/>
        <v>261.5067999999992</v>
      </c>
      <c r="F47" s="449">
        <f t="shared" si="5"/>
        <v>2.9627612797177957E-2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5">
      <c r="A48" s="451">
        <v>7</v>
      </c>
      <c r="B48" s="447" t="s">
        <v>643</v>
      </c>
      <c r="C48" s="465">
        <f>IF(C47=0,0,C43/C47)</f>
        <v>12595.837198654368</v>
      </c>
      <c r="D48" s="465">
        <f>IF(LN_IB6=0,0,LN_IB2/LN_IB6)</f>
        <v>12898.417567124319</v>
      </c>
      <c r="E48" s="465">
        <f t="shared" si="4"/>
        <v>302.58036846995128</v>
      </c>
      <c r="F48" s="449">
        <f t="shared" si="5"/>
        <v>2.4022251454812103E-2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5">
      <c r="A49" s="451">
        <v>8</v>
      </c>
      <c r="B49" s="452" t="s">
        <v>659</v>
      </c>
      <c r="C49" s="465">
        <f>C21-C48</f>
        <v>-4752.2041440488993</v>
      </c>
      <c r="D49" s="465">
        <f>LN_IA7-LN_IB7</f>
        <v>-5291.4702413542173</v>
      </c>
      <c r="E49" s="465">
        <f t="shared" si="4"/>
        <v>-539.266097305318</v>
      </c>
      <c r="F49" s="449">
        <f t="shared" si="5"/>
        <v>0.11347704790431433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5">
      <c r="A50" s="451">
        <v>9</v>
      </c>
      <c r="B50" s="447" t="s">
        <v>660</v>
      </c>
      <c r="C50" s="479">
        <f>C49*C47</f>
        <v>-41945117.453922369</v>
      </c>
      <c r="D50" s="479">
        <f>LN_IB8*LN_IB6</f>
        <v>-48088681.006704971</v>
      </c>
      <c r="E50" s="479">
        <f t="shared" si="4"/>
        <v>-6143563.5527826026</v>
      </c>
      <c r="F50" s="449">
        <f t="shared" si="5"/>
        <v>0.14646671473816808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5">
      <c r="A51" s="451">
        <v>10</v>
      </c>
      <c r="B51" s="447" t="s">
        <v>139</v>
      </c>
      <c r="C51" s="456">
        <v>27386</v>
      </c>
      <c r="D51" s="456">
        <v>27454</v>
      </c>
      <c r="E51" s="456">
        <f t="shared" si="4"/>
        <v>68</v>
      </c>
      <c r="F51" s="449">
        <f t="shared" si="5"/>
        <v>2.4830205214343096E-3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5">
      <c r="A52" s="451">
        <v>11</v>
      </c>
      <c r="B52" s="447" t="s">
        <v>644</v>
      </c>
      <c r="C52" s="465">
        <f>IF(C51=0,0,C43/C51)</f>
        <v>4059.6141824289784</v>
      </c>
      <c r="D52" s="465">
        <f>IF(LN_IB10=0,0,LN_IB2/LN_IB10)</f>
        <v>4269.6994973410065</v>
      </c>
      <c r="E52" s="465">
        <f t="shared" si="4"/>
        <v>210.08531491202802</v>
      </c>
      <c r="F52" s="449">
        <f t="shared" si="5"/>
        <v>5.1750069211337769E-2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5">
      <c r="A53" s="451">
        <v>12</v>
      </c>
      <c r="B53" s="447" t="s">
        <v>645</v>
      </c>
      <c r="C53" s="466">
        <f>IF(C45=0,0,C51/C45)</f>
        <v>3.9649630809323875</v>
      </c>
      <c r="D53" s="466">
        <f>IF(LN_IB4=0,0,LN_IB10/LN_IB4)</f>
        <v>3.8870168483647176</v>
      </c>
      <c r="E53" s="466">
        <f t="shared" si="4"/>
        <v>-7.794623256766986E-2</v>
      </c>
      <c r="F53" s="449">
        <f t="shared" si="5"/>
        <v>-1.9658753682352141E-2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5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661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5">
      <c r="A56" s="451">
        <v>13</v>
      </c>
      <c r="B56" s="447" t="s">
        <v>647</v>
      </c>
      <c r="C56" s="448">
        <v>409408961</v>
      </c>
      <c r="D56" s="448">
        <v>439310801</v>
      </c>
      <c r="E56" s="448">
        <f t="shared" ref="E56:E63" si="6">D56-C56</f>
        <v>29901840</v>
      </c>
      <c r="F56" s="449">
        <f t="shared" ref="F56:F63" si="7">IF(C56=0,0,E56/C56)</f>
        <v>7.3036603612591663E-2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5">
      <c r="A57" s="451">
        <v>14</v>
      </c>
      <c r="B57" s="447" t="s">
        <v>648</v>
      </c>
      <c r="C57" s="448">
        <v>220262320</v>
      </c>
      <c r="D57" s="448">
        <v>232514369</v>
      </c>
      <c r="E57" s="448">
        <f t="shared" si="6"/>
        <v>12252049</v>
      </c>
      <c r="F57" s="449">
        <f t="shared" si="7"/>
        <v>5.5624806821248408E-2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5">
      <c r="A58" s="451">
        <v>15</v>
      </c>
      <c r="B58" s="447" t="s">
        <v>649</v>
      </c>
      <c r="C58" s="453">
        <f>IF(C56=0,0,C57/C56)</f>
        <v>0.53800073027712747</v>
      </c>
      <c r="D58" s="453">
        <f>IF(LN_IB13=0,0,LN_IB14/LN_IB13)</f>
        <v>0.52927077702330383</v>
      </c>
      <c r="E58" s="454">
        <f t="shared" si="6"/>
        <v>-8.7299532538236413E-3</v>
      </c>
      <c r="F58" s="449">
        <f t="shared" si="7"/>
        <v>-1.622665688451164E-2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5">
      <c r="A59" s="451">
        <v>16</v>
      </c>
      <c r="B59" s="447" t="s">
        <v>650</v>
      </c>
      <c r="C59" s="453">
        <f>IF(C42=0,0,C56/C42)</f>
        <v>2.0255678007591023</v>
      </c>
      <c r="D59" s="453">
        <f>IF(LN_IB1=0,0,LN_IB13/LN_IB1)</f>
        <v>2.0284380530941988</v>
      </c>
      <c r="E59" s="454">
        <f t="shared" si="6"/>
        <v>2.8702523350965237E-3</v>
      </c>
      <c r="F59" s="449">
        <f t="shared" si="7"/>
        <v>1.4170112370570204E-3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5">
      <c r="A60" s="451">
        <v>17</v>
      </c>
      <c r="B60" s="447" t="s">
        <v>651</v>
      </c>
      <c r="C60" s="463">
        <f>C59*C45</f>
        <v>13990.596799843119</v>
      </c>
      <c r="D60" s="463">
        <f>LN_IB16*LN_IB4</f>
        <v>14326.857969004326</v>
      </c>
      <c r="E60" s="463">
        <f t="shared" si="6"/>
        <v>336.26116916120736</v>
      </c>
      <c r="F60" s="449">
        <f t="shared" si="7"/>
        <v>2.4034798084165927E-2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5">
      <c r="A61" s="451">
        <v>18</v>
      </c>
      <c r="B61" s="452" t="s">
        <v>652</v>
      </c>
      <c r="C61" s="465">
        <f>IF(C60=0,0,C57/C60)</f>
        <v>15743.597156803909</v>
      </c>
      <c r="D61" s="465">
        <f>IF(LN_IB17=0,0,LN_IB14/LN_IB17)</f>
        <v>16229.264609381693</v>
      </c>
      <c r="E61" s="465">
        <f t="shared" si="6"/>
        <v>485.66745257778348</v>
      </c>
      <c r="F61" s="449">
        <f t="shared" si="7"/>
        <v>3.0848569595665284E-2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5">
      <c r="A62" s="473">
        <v>19</v>
      </c>
      <c r="B62" s="447" t="s">
        <v>662</v>
      </c>
      <c r="C62" s="465">
        <f>C32-C61</f>
        <v>-3616.1140542406738</v>
      </c>
      <c r="D62" s="465">
        <f>LN_IA16-LN_IB18</f>
        <v>-4539.483537326756</v>
      </c>
      <c r="E62" s="465">
        <f t="shared" si="6"/>
        <v>-923.36948308608225</v>
      </c>
      <c r="F62" s="449">
        <f t="shared" si="7"/>
        <v>0.25534855074696339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5">
      <c r="A63" s="473">
        <v>20</v>
      </c>
      <c r="B63" s="452" t="s">
        <v>663</v>
      </c>
      <c r="C63" s="448">
        <f>C62*C60</f>
        <v>-50591593.715127297</v>
      </c>
      <c r="D63" s="448">
        <f>LN_IB19*LN_IB17</f>
        <v>-65036535.891913779</v>
      </c>
      <c r="E63" s="448">
        <f t="shared" si="6"/>
        <v>-14444942.176786482</v>
      </c>
      <c r="F63" s="449">
        <f t="shared" si="7"/>
        <v>0.28552059968941695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5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664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5">
      <c r="A66" s="473">
        <v>21</v>
      </c>
      <c r="B66" s="447" t="s">
        <v>654</v>
      </c>
      <c r="C66" s="448">
        <f>C42+C56</f>
        <v>611529552</v>
      </c>
      <c r="D66" s="448">
        <f>LN_IB1+LN_IB13</f>
        <v>655886703</v>
      </c>
      <c r="E66" s="448">
        <f>D66-C66</f>
        <v>44357151</v>
      </c>
      <c r="F66" s="449">
        <f>IF(C66=0,0,E66/C66)</f>
        <v>7.2534762800800831E-2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5">
      <c r="A67" s="473">
        <v>22</v>
      </c>
      <c r="B67" s="447" t="s">
        <v>655</v>
      </c>
      <c r="C67" s="448">
        <f>C43+C57</f>
        <v>331438914</v>
      </c>
      <c r="D67" s="448">
        <f>LN_IB2+LN_IB14</f>
        <v>349734699</v>
      </c>
      <c r="E67" s="448">
        <f>D67-C67</f>
        <v>18295785</v>
      </c>
      <c r="F67" s="449">
        <f>IF(C67=0,0,E67/C67)</f>
        <v>5.5201076962254347E-2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5">
      <c r="A68" s="473">
        <v>23</v>
      </c>
      <c r="B68" s="447" t="s">
        <v>656</v>
      </c>
      <c r="C68" s="448">
        <f>C66-C67</f>
        <v>280090638</v>
      </c>
      <c r="D68" s="448">
        <f>LN_IB21-LN_IB22</f>
        <v>306152004</v>
      </c>
      <c r="E68" s="448">
        <f>D68-C68</f>
        <v>26061366</v>
      </c>
      <c r="F68" s="449">
        <f>IF(C68=0,0,E68/C68)</f>
        <v>9.304618742737128E-2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5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5">
      <c r="A70" s="473">
        <v>24</v>
      </c>
      <c r="B70" s="447" t="s">
        <v>665</v>
      </c>
      <c r="C70" s="441">
        <f>C50+C63</f>
        <v>-92536711.169049665</v>
      </c>
      <c r="D70" s="441">
        <f>LN_IB9+LN_IB20</f>
        <v>-113125216.89861876</v>
      </c>
      <c r="E70" s="448">
        <f>D70-C70</f>
        <v>-20588505.729569092</v>
      </c>
      <c r="F70" s="449">
        <f>IF(C70=0,0,E70/C70)</f>
        <v>0.22249013898880854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5">
      <c r="A71" s="428"/>
      <c r="C71" s="421"/>
      <c r="Q71" s="421"/>
      <c r="U71" s="441"/>
    </row>
    <row r="72" spans="1:21" ht="15.75" customHeight="1" x14ac:dyDescent="0.25">
      <c r="A72" s="428"/>
      <c r="B72" s="434" t="s">
        <v>666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5">
      <c r="A73" s="428">
        <v>25</v>
      </c>
      <c r="B73" s="445" t="s">
        <v>667</v>
      </c>
      <c r="C73" s="488">
        <v>535124832</v>
      </c>
      <c r="D73" s="488">
        <v>577536176</v>
      </c>
      <c r="E73" s="488">
        <f>D73-C73</f>
        <v>42411344</v>
      </c>
      <c r="F73" s="489">
        <f>IF(C73=0,0,E73/C73)</f>
        <v>7.9255047540010254E-2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5">
      <c r="A74" s="428">
        <v>26</v>
      </c>
      <c r="B74" s="445" t="s">
        <v>668</v>
      </c>
      <c r="C74" s="488">
        <v>312135754</v>
      </c>
      <c r="D74" s="488">
        <v>338099919</v>
      </c>
      <c r="E74" s="488">
        <f>D74-C74</f>
        <v>25964165</v>
      </c>
      <c r="F74" s="489">
        <f>IF(C74=0,0,E74/C74)</f>
        <v>8.3182284205736964E-2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5">
      <c r="A75" s="428"/>
      <c r="B75" s="445" t="s">
        <v>669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5">
      <c r="A76" s="451">
        <v>27</v>
      </c>
      <c r="B76" s="447" t="s">
        <v>670</v>
      </c>
      <c r="C76" s="441">
        <f>C73-C74</f>
        <v>222989078</v>
      </c>
      <c r="D76" s="441">
        <f>LN_IB32-LN_IB33</f>
        <v>239436257</v>
      </c>
      <c r="E76" s="488">
        <f>D76-C76</f>
        <v>16447179</v>
      </c>
      <c r="F76" s="489">
        <f>IF(E76=0,0,E76/C76)</f>
        <v>7.3757778396662102E-2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5">
      <c r="A77" s="451">
        <v>28</v>
      </c>
      <c r="B77" s="447" t="s">
        <v>671</v>
      </c>
      <c r="C77" s="453">
        <f>IF(C73=0,0,C76/C73)</f>
        <v>0.4167047848753167</v>
      </c>
      <c r="D77" s="453">
        <f>IF(LN_IB32=0,0,LN_IB34/LN_IB32)</f>
        <v>0.41458226679119753</v>
      </c>
      <c r="E77" s="493">
        <f>D77-C77</f>
        <v>-2.1225180841191738E-3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5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3">
      <c r="A79" s="443" t="s">
        <v>36</v>
      </c>
      <c r="B79" s="444" t="s">
        <v>672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3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3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673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5">
      <c r="A83" s="428">
        <v>1</v>
      </c>
      <c r="B83" s="447" t="s">
        <v>638</v>
      </c>
      <c r="C83" s="448">
        <v>9910178</v>
      </c>
      <c r="D83" s="448">
        <v>8080469</v>
      </c>
      <c r="E83" s="448">
        <f t="shared" ref="E83:E95" si="8">D83-C83</f>
        <v>-1829709</v>
      </c>
      <c r="F83" s="449">
        <f t="shared" ref="F83:F95" si="9">IF(C83=0,0,E83/C83)</f>
        <v>-0.18462927709270208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5">
      <c r="A84" s="451">
        <v>2</v>
      </c>
      <c r="B84" s="447" t="s">
        <v>639</v>
      </c>
      <c r="C84" s="448">
        <v>2378942</v>
      </c>
      <c r="D84" s="448">
        <v>2234024</v>
      </c>
      <c r="E84" s="448">
        <f t="shared" si="8"/>
        <v>-144918</v>
      </c>
      <c r="F84" s="449">
        <f t="shared" si="9"/>
        <v>-6.0916995874636705E-2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5">
      <c r="A85" s="428">
        <v>3</v>
      </c>
      <c r="B85" s="452" t="s">
        <v>640</v>
      </c>
      <c r="C85" s="453">
        <f>IF(C83=0,0,C84/C83)</f>
        <v>0.24005038052797842</v>
      </c>
      <c r="D85" s="453">
        <f>IF(LN_IC1=0,0,LN_IC2/LN_IC1)</f>
        <v>0.27647207111369404</v>
      </c>
      <c r="E85" s="454">
        <f t="shared" si="8"/>
        <v>3.6421690585715621E-2</v>
      </c>
      <c r="F85" s="449">
        <f t="shared" si="9"/>
        <v>0.15172519412636629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5">
      <c r="A86" s="451">
        <v>4</v>
      </c>
      <c r="B86" s="447" t="s">
        <v>137</v>
      </c>
      <c r="C86" s="456">
        <v>306</v>
      </c>
      <c r="D86" s="456">
        <v>327</v>
      </c>
      <c r="E86" s="456">
        <f t="shared" si="8"/>
        <v>21</v>
      </c>
      <c r="F86" s="449">
        <f t="shared" si="9"/>
        <v>6.8627450980392163E-2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5">
      <c r="A87" s="428">
        <v>5</v>
      </c>
      <c r="B87" s="452" t="s">
        <v>641</v>
      </c>
      <c r="C87" s="459">
        <v>1.2467999999999999</v>
      </c>
      <c r="D87" s="459">
        <v>1.2983</v>
      </c>
      <c r="E87" s="460">
        <f t="shared" si="8"/>
        <v>5.1500000000000101E-2</v>
      </c>
      <c r="F87" s="449">
        <f t="shared" si="9"/>
        <v>4.130574270131545E-2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5">
      <c r="A88" s="451">
        <v>6</v>
      </c>
      <c r="B88" s="452" t="s">
        <v>642</v>
      </c>
      <c r="C88" s="463">
        <f>C86*C87</f>
        <v>381.52079999999995</v>
      </c>
      <c r="D88" s="463">
        <f>LN_IC4*LN_IC5</f>
        <v>424.54410000000001</v>
      </c>
      <c r="E88" s="463">
        <f t="shared" si="8"/>
        <v>43.023300000000063</v>
      </c>
      <c r="F88" s="449">
        <f t="shared" si="9"/>
        <v>0.11276790151415092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5">
      <c r="A89" s="428">
        <v>7</v>
      </c>
      <c r="B89" s="447" t="s">
        <v>643</v>
      </c>
      <c r="C89" s="465">
        <f>IF(C88=0,0,C84/C88)</f>
        <v>6235.418881486934</v>
      </c>
      <c r="D89" s="465">
        <f>IF(LN_IC6=0,0,LN_IC2/LN_IC6)</f>
        <v>5262.171821490394</v>
      </c>
      <c r="E89" s="465">
        <f t="shared" si="8"/>
        <v>-973.24705999653997</v>
      </c>
      <c r="F89" s="449">
        <f t="shared" si="9"/>
        <v>-0.15608366951675487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5">
      <c r="A90" s="451">
        <v>8</v>
      </c>
      <c r="B90" s="447" t="s">
        <v>674</v>
      </c>
      <c r="C90" s="465">
        <f>C48-C89</f>
        <v>6360.418317167434</v>
      </c>
      <c r="D90" s="465">
        <f>LN_IB7-LN_IC7</f>
        <v>7636.2457456339253</v>
      </c>
      <c r="E90" s="465">
        <f t="shared" si="8"/>
        <v>1275.8274284664913</v>
      </c>
      <c r="F90" s="449">
        <f t="shared" si="9"/>
        <v>0.20058860358648103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5">
      <c r="A91" s="428">
        <v>9</v>
      </c>
      <c r="B91" s="447" t="s">
        <v>675</v>
      </c>
      <c r="C91" s="465">
        <f>C21-C89</f>
        <v>1608.2141731185347</v>
      </c>
      <c r="D91" s="465">
        <f>LN_IA7-LN_IC7</f>
        <v>2344.775504279708</v>
      </c>
      <c r="E91" s="465">
        <f t="shared" si="8"/>
        <v>736.56133116117326</v>
      </c>
      <c r="F91" s="449">
        <f t="shared" si="9"/>
        <v>0.45799952734708577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5">
      <c r="A92" s="451">
        <v>10</v>
      </c>
      <c r="B92" s="447" t="s">
        <v>660</v>
      </c>
      <c r="C92" s="441">
        <f>C91*C88</f>
        <v>613567.15789952176</v>
      </c>
      <c r="D92" s="441">
        <f>LN_IC9*LN_IC6</f>
        <v>995460.60616647487</v>
      </c>
      <c r="E92" s="441">
        <f t="shared" si="8"/>
        <v>381893.44826695311</v>
      </c>
      <c r="F92" s="449">
        <f t="shared" si="9"/>
        <v>0.62241507445464073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5">
      <c r="A93" s="428">
        <v>11</v>
      </c>
      <c r="B93" s="447" t="s">
        <v>139</v>
      </c>
      <c r="C93" s="456">
        <v>1267</v>
      </c>
      <c r="D93" s="456">
        <v>1254</v>
      </c>
      <c r="E93" s="456">
        <f t="shared" si="8"/>
        <v>-13</v>
      </c>
      <c r="F93" s="449">
        <f t="shared" si="9"/>
        <v>-1.0260457774269928E-2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5">
      <c r="A94" s="451">
        <v>12</v>
      </c>
      <c r="B94" s="447" t="s">
        <v>644</v>
      </c>
      <c r="C94" s="499">
        <f>IF(C93=0,0,C84/C93)</f>
        <v>1877.617995264404</v>
      </c>
      <c r="D94" s="499">
        <f>IF(LN_IC11=0,0,LN_IC2/LN_IC11)</f>
        <v>1781.518341307815</v>
      </c>
      <c r="E94" s="499">
        <f t="shared" si="8"/>
        <v>-96.099653956589009</v>
      </c>
      <c r="F94" s="449">
        <f t="shared" si="9"/>
        <v>-5.1181685624533207E-2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5">
      <c r="A95" s="428">
        <v>13</v>
      </c>
      <c r="B95" s="447" t="s">
        <v>645</v>
      </c>
      <c r="C95" s="466">
        <f>IF(C86=0,0,C93/C86)</f>
        <v>4.1405228758169939</v>
      </c>
      <c r="D95" s="466">
        <f>IF(LN_IC4=0,0,LN_IC11/LN_IC4)</f>
        <v>3.834862385321101</v>
      </c>
      <c r="E95" s="466">
        <f t="shared" si="8"/>
        <v>-0.30566049049589283</v>
      </c>
      <c r="F95" s="449">
        <f t="shared" si="9"/>
        <v>-7.3821712779592111E-2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5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676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5">
      <c r="A98" s="451">
        <v>14</v>
      </c>
      <c r="B98" s="447" t="s">
        <v>647</v>
      </c>
      <c r="C98" s="448">
        <v>32278519</v>
      </c>
      <c r="D98" s="448">
        <v>32379492</v>
      </c>
      <c r="E98" s="448">
        <f t="shared" ref="E98:E106" si="10">D98-C98</f>
        <v>100973</v>
      </c>
      <c r="F98" s="449">
        <f t="shared" ref="F98:F106" si="11">IF(C98=0,0,E98/C98)</f>
        <v>3.1281794558170404E-3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5">
      <c r="A99" s="451">
        <v>15</v>
      </c>
      <c r="B99" s="447" t="s">
        <v>648</v>
      </c>
      <c r="C99" s="448">
        <v>7748473</v>
      </c>
      <c r="D99" s="448">
        <v>8952024</v>
      </c>
      <c r="E99" s="448">
        <f t="shared" si="10"/>
        <v>1203551</v>
      </c>
      <c r="F99" s="449">
        <f t="shared" si="11"/>
        <v>0.15532750775539902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5">
      <c r="A100" s="451">
        <v>16</v>
      </c>
      <c r="B100" s="447" t="s">
        <v>649</v>
      </c>
      <c r="C100" s="453">
        <f>IF(C98=0,0,C99/C98)</f>
        <v>0.2400504496504316</v>
      </c>
      <c r="D100" s="453">
        <f>IF(LN_IC14=0,0,LN_IC15/LN_IC14)</f>
        <v>0.27647203359459749</v>
      </c>
      <c r="E100" s="454">
        <f t="shared" si="10"/>
        <v>3.6421583944165892E-2</v>
      </c>
      <c r="F100" s="449">
        <f t="shared" si="11"/>
        <v>0.15172470619073639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5">
      <c r="A101" s="451">
        <v>17</v>
      </c>
      <c r="B101" s="447" t="s">
        <v>650</v>
      </c>
      <c r="C101" s="453">
        <f>IF(C83=0,0,C98/C83)</f>
        <v>3.2571078945302494</v>
      </c>
      <c r="D101" s="453">
        <f>IF(LN_IC1=0,0,LN_IC14/LN_IC1)</f>
        <v>4.0071302791954277</v>
      </c>
      <c r="E101" s="454">
        <f t="shared" si="10"/>
        <v>0.75002238466517834</v>
      </c>
      <c r="F101" s="449">
        <f t="shared" si="11"/>
        <v>0.23027250215588851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5">
      <c r="A102" s="451">
        <v>18</v>
      </c>
      <c r="B102" s="447" t="s">
        <v>651</v>
      </c>
      <c r="C102" s="463">
        <f>C101*C86</f>
        <v>996.67501572625633</v>
      </c>
      <c r="D102" s="463">
        <f>LN_IC17*LN_IC4</f>
        <v>1310.3316012969049</v>
      </c>
      <c r="E102" s="463">
        <f t="shared" si="10"/>
        <v>313.65658557064853</v>
      </c>
      <c r="F102" s="449">
        <f t="shared" si="11"/>
        <v>0.3147029679901161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5">
      <c r="A103" s="451">
        <v>19</v>
      </c>
      <c r="B103" s="452" t="s">
        <v>652</v>
      </c>
      <c r="C103" s="465">
        <f>IF(C102=0,0,C99/C102)</f>
        <v>7774.3225000516832</v>
      </c>
      <c r="D103" s="465">
        <f>IF(LN_IC18=0,0,LN_IC15/LN_IC18)</f>
        <v>6831.8767487097966</v>
      </c>
      <c r="E103" s="465">
        <f t="shared" si="10"/>
        <v>-942.44575134188653</v>
      </c>
      <c r="F103" s="449">
        <f t="shared" si="11"/>
        <v>-0.12122545100690398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5">
      <c r="A104" s="451">
        <v>20</v>
      </c>
      <c r="B104" s="452" t="s">
        <v>677</v>
      </c>
      <c r="C104" s="465">
        <f>C61-C103</f>
        <v>7969.2746567522263</v>
      </c>
      <c r="D104" s="465">
        <f>LN_IB18-LN_IC19</f>
        <v>9397.3878606718972</v>
      </c>
      <c r="E104" s="465">
        <f t="shared" si="10"/>
        <v>1428.1132039196709</v>
      </c>
      <c r="F104" s="449">
        <f t="shared" si="11"/>
        <v>0.17920240742482826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5">
      <c r="A105" s="451">
        <v>21</v>
      </c>
      <c r="B105" s="447" t="s">
        <v>678</v>
      </c>
      <c r="C105" s="465">
        <f>C32-C103</f>
        <v>4353.1606025115525</v>
      </c>
      <c r="D105" s="465">
        <f>LN_IA16-LN_IC19</f>
        <v>4857.9043233451403</v>
      </c>
      <c r="E105" s="465">
        <f t="shared" si="10"/>
        <v>504.74372083358776</v>
      </c>
      <c r="F105" s="449">
        <f t="shared" si="11"/>
        <v>0.1159487937436483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5">
      <c r="A106" s="451">
        <v>22</v>
      </c>
      <c r="B106" s="452" t="s">
        <v>663</v>
      </c>
      <c r="C106" s="448">
        <f>C105*C102</f>
        <v>4338686.4119671211</v>
      </c>
      <c r="D106" s="448">
        <f>LN_IC21*LN_IC18</f>
        <v>6365465.550955995</v>
      </c>
      <c r="E106" s="448">
        <f t="shared" si="10"/>
        <v>2026779.1389888739</v>
      </c>
      <c r="F106" s="449">
        <f t="shared" si="11"/>
        <v>0.46714119125976439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5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679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5">
      <c r="A109" s="451">
        <v>23</v>
      </c>
      <c r="B109" s="447" t="s">
        <v>654</v>
      </c>
      <c r="C109" s="448">
        <f>C83+C98</f>
        <v>42188697</v>
      </c>
      <c r="D109" s="448">
        <f>LN_IC1+LN_IC14</f>
        <v>40459961</v>
      </c>
      <c r="E109" s="448">
        <f>D109-C109</f>
        <v>-1728736</v>
      </c>
      <c r="F109" s="449">
        <f>IF(C109=0,0,E109/C109)</f>
        <v>-4.0976283292181316E-2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5">
      <c r="A110" s="451">
        <v>24</v>
      </c>
      <c r="B110" s="447" t="s">
        <v>655</v>
      </c>
      <c r="C110" s="448">
        <f>C84+C99</f>
        <v>10127415</v>
      </c>
      <c r="D110" s="448">
        <f>LN_IC2+LN_IC15</f>
        <v>11186048</v>
      </c>
      <c r="E110" s="448">
        <f>D110-C110</f>
        <v>1058633</v>
      </c>
      <c r="F110" s="449">
        <f>IF(C110=0,0,E110/C110)</f>
        <v>0.10453141300124465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5">
      <c r="A111" s="451">
        <v>25</v>
      </c>
      <c r="B111" s="447" t="s">
        <v>656</v>
      </c>
      <c r="C111" s="448">
        <f>C109-C110</f>
        <v>32061282</v>
      </c>
      <c r="D111" s="448">
        <f>LN_IC23-LN_IC24</f>
        <v>29273913</v>
      </c>
      <c r="E111" s="448">
        <f>D111-C111</f>
        <v>-2787369</v>
      </c>
      <c r="F111" s="449">
        <f>IF(C111=0,0,E111/C111)</f>
        <v>-8.6938788037234441E-2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5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5">
      <c r="A113" s="451">
        <v>26</v>
      </c>
      <c r="B113" s="447" t="s">
        <v>665</v>
      </c>
      <c r="C113" s="448">
        <f>C92+C106</f>
        <v>4952253.5698666424</v>
      </c>
      <c r="D113" s="448">
        <f>LN_IC10+LN_IC22</f>
        <v>7360926.1571224695</v>
      </c>
      <c r="E113" s="448">
        <f>D113-C113</f>
        <v>2408672.5872558272</v>
      </c>
      <c r="F113" s="449">
        <f>IF(C113=0,0,E113/C113)</f>
        <v>0.48637909050377837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5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3">
      <c r="A115" s="443" t="s">
        <v>170</v>
      </c>
      <c r="B115" s="444" t="s">
        <v>680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3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681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5">
      <c r="A118" s="428">
        <v>1</v>
      </c>
      <c r="B118" s="447" t="s">
        <v>638</v>
      </c>
      <c r="C118" s="448">
        <v>89456723</v>
      </c>
      <c r="D118" s="448">
        <v>97089520</v>
      </c>
      <c r="E118" s="448">
        <f t="shared" ref="E118:E130" si="12">D118-C118</f>
        <v>7632797</v>
      </c>
      <c r="F118" s="449">
        <f t="shared" ref="F118:F130" si="13">IF(C118=0,0,E118/C118)</f>
        <v>8.5323905728136279E-2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5">
      <c r="A119" s="451">
        <v>2</v>
      </c>
      <c r="B119" s="447" t="s">
        <v>639</v>
      </c>
      <c r="C119" s="448">
        <v>18192797</v>
      </c>
      <c r="D119" s="448">
        <v>20705832</v>
      </c>
      <c r="E119" s="448">
        <f t="shared" si="12"/>
        <v>2513035</v>
      </c>
      <c r="F119" s="449">
        <f t="shared" si="13"/>
        <v>0.13813351514888009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5">
      <c r="A120" s="451">
        <v>3</v>
      </c>
      <c r="B120" s="452" t="s">
        <v>640</v>
      </c>
      <c r="C120" s="453">
        <f>IF(C118=0,0,C119/C118)</f>
        <v>0.20336981268585033</v>
      </c>
      <c r="D120" s="453">
        <f>IF(LN_ID1=0,0,LN_1D2/LN_ID1)</f>
        <v>0.2132653658190915</v>
      </c>
      <c r="E120" s="454">
        <f t="shared" si="12"/>
        <v>9.8955531332411695E-3</v>
      </c>
      <c r="F120" s="449">
        <f t="shared" si="13"/>
        <v>4.8657925198205498E-2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5">
      <c r="A121" s="451">
        <v>4</v>
      </c>
      <c r="B121" s="447" t="s">
        <v>137</v>
      </c>
      <c r="C121" s="456">
        <v>3528</v>
      </c>
      <c r="D121" s="456">
        <v>3664</v>
      </c>
      <c r="E121" s="456">
        <f t="shared" si="12"/>
        <v>136</v>
      </c>
      <c r="F121" s="449">
        <f t="shared" si="13"/>
        <v>3.8548752834467119E-2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5">
      <c r="A122" s="451">
        <v>5</v>
      </c>
      <c r="B122" s="452" t="s">
        <v>641</v>
      </c>
      <c r="C122" s="459">
        <v>1.0754999999999999</v>
      </c>
      <c r="D122" s="459">
        <v>1.1249</v>
      </c>
      <c r="E122" s="460">
        <f t="shared" si="12"/>
        <v>4.940000000000011E-2</v>
      </c>
      <c r="F122" s="449">
        <f t="shared" si="13"/>
        <v>4.5932124593212567E-2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5">
      <c r="A123" s="451">
        <v>6</v>
      </c>
      <c r="B123" s="452" t="s">
        <v>642</v>
      </c>
      <c r="C123" s="463">
        <f>C121*C122</f>
        <v>3794.3639999999996</v>
      </c>
      <c r="D123" s="463">
        <f>LN_ID4*LN_ID5</f>
        <v>4121.6336000000001</v>
      </c>
      <c r="E123" s="463">
        <f t="shared" si="12"/>
        <v>327.26960000000054</v>
      </c>
      <c r="F123" s="449">
        <f t="shared" si="13"/>
        <v>8.6251503545785424E-2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5">
      <c r="A124" s="451">
        <v>7</v>
      </c>
      <c r="B124" s="447" t="s">
        <v>643</v>
      </c>
      <c r="C124" s="465">
        <f>IF(C123=0,0,C119/C123)</f>
        <v>4794.6894393895791</v>
      </c>
      <c r="D124" s="465">
        <f>IF(LN_ID6=0,0,LN_1D2/LN_ID6)</f>
        <v>5023.6954590044097</v>
      </c>
      <c r="E124" s="465">
        <f t="shared" si="12"/>
        <v>229.00601961483062</v>
      </c>
      <c r="F124" s="449">
        <f t="shared" si="13"/>
        <v>4.7762430186507721E-2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5">
      <c r="A125" s="451">
        <v>8</v>
      </c>
      <c r="B125" s="447" t="s">
        <v>682</v>
      </c>
      <c r="C125" s="465">
        <f>C48-C124</f>
        <v>7801.1477592647889</v>
      </c>
      <c r="D125" s="465">
        <f>LN_IB7-LN_ID7</f>
        <v>7874.7221081199095</v>
      </c>
      <c r="E125" s="465">
        <f t="shared" si="12"/>
        <v>73.574348855120661</v>
      </c>
      <c r="F125" s="449">
        <f t="shared" si="13"/>
        <v>9.4312210363843435E-3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5">
      <c r="A126" s="451">
        <v>9</v>
      </c>
      <c r="B126" s="447" t="s">
        <v>683</v>
      </c>
      <c r="C126" s="465">
        <f>C21-C124</f>
        <v>3048.9436152158896</v>
      </c>
      <c r="D126" s="465">
        <f>LN_IA7-LN_ID7</f>
        <v>2583.2518667656923</v>
      </c>
      <c r="E126" s="465">
        <f t="shared" si="12"/>
        <v>-465.69174845019734</v>
      </c>
      <c r="F126" s="449">
        <f t="shared" si="13"/>
        <v>-0.15273872108560546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5">
      <c r="A127" s="451">
        <v>10</v>
      </c>
      <c r="B127" s="447" t="s">
        <v>660</v>
      </c>
      <c r="C127" s="479">
        <f>C126*C123</f>
        <v>11568801.891605023</v>
      </c>
      <c r="D127" s="479">
        <f>LN_ID9*LN_ID6</f>
        <v>10647217.6913242</v>
      </c>
      <c r="E127" s="479">
        <f t="shared" si="12"/>
        <v>-921584.20028082281</v>
      </c>
      <c r="F127" s="449">
        <f t="shared" si="13"/>
        <v>-7.9661161883113965E-2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5">
      <c r="A128" s="451">
        <v>11</v>
      </c>
      <c r="B128" s="447" t="s">
        <v>139</v>
      </c>
      <c r="C128" s="456">
        <v>15997</v>
      </c>
      <c r="D128" s="456">
        <v>16489</v>
      </c>
      <c r="E128" s="456">
        <f t="shared" si="12"/>
        <v>492</v>
      </c>
      <c r="F128" s="449">
        <f t="shared" si="13"/>
        <v>3.0755766706257424E-2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5">
      <c r="A129" s="451">
        <v>12</v>
      </c>
      <c r="B129" s="447" t="s">
        <v>644</v>
      </c>
      <c r="C129" s="465">
        <f>IF(C128=0,0,C119/C128)</f>
        <v>1137.2630493217478</v>
      </c>
      <c r="D129" s="465">
        <f>IF(LN_ID11=0,0,LN_1D2/LN_ID11)</f>
        <v>1255.7360664685548</v>
      </c>
      <c r="E129" s="465">
        <f t="shared" si="12"/>
        <v>118.47301714680702</v>
      </c>
      <c r="F129" s="449">
        <f t="shared" si="13"/>
        <v>0.10417380325287376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5">
      <c r="A130" s="451">
        <v>13</v>
      </c>
      <c r="B130" s="447" t="s">
        <v>645</v>
      </c>
      <c r="C130" s="466">
        <f>IF(C121=0,0,C128/C121)</f>
        <v>4.5342970521541952</v>
      </c>
      <c r="D130" s="466">
        <f>IF(LN_ID4=0,0,LN_ID11/LN_ID4)</f>
        <v>4.5002729257641922</v>
      </c>
      <c r="E130" s="466">
        <f t="shared" si="12"/>
        <v>-3.4024126390002962E-2</v>
      </c>
      <c r="F130" s="449">
        <f t="shared" si="13"/>
        <v>-7.5037268177739853E-3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5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684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5">
      <c r="A133" s="451">
        <v>14</v>
      </c>
      <c r="B133" s="447" t="s">
        <v>647</v>
      </c>
      <c r="C133" s="448">
        <v>118372145</v>
      </c>
      <c r="D133" s="448">
        <v>126877541</v>
      </c>
      <c r="E133" s="448">
        <f t="shared" ref="E133:E141" si="14">D133-C133</f>
        <v>8505396</v>
      </c>
      <c r="F133" s="449">
        <f t="shared" ref="F133:F141" si="15">IF(C133=0,0,E133/C133)</f>
        <v>7.1853019137230301E-2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5">
      <c r="A134" s="451">
        <v>15</v>
      </c>
      <c r="B134" s="447" t="s">
        <v>648</v>
      </c>
      <c r="C134" s="448">
        <v>24165250</v>
      </c>
      <c r="D134" s="448">
        <v>27142086</v>
      </c>
      <c r="E134" s="448">
        <f t="shared" si="14"/>
        <v>2976836</v>
      </c>
      <c r="F134" s="449">
        <f t="shared" si="15"/>
        <v>0.12318664197556409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5">
      <c r="A135" s="451">
        <v>16</v>
      </c>
      <c r="B135" s="447" t="s">
        <v>649</v>
      </c>
      <c r="C135" s="453">
        <f>IF(C133=0,0,C134/C133)</f>
        <v>0.20414642313020517</v>
      </c>
      <c r="D135" s="453">
        <f>IF(LN_ID14=0,0,LN_ID15/LN_ID14)</f>
        <v>0.2139234870574927</v>
      </c>
      <c r="E135" s="454">
        <f t="shared" si="14"/>
        <v>9.777063927287527E-3</v>
      </c>
      <c r="F135" s="449">
        <f t="shared" si="15"/>
        <v>4.7892408680859852E-2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5">
      <c r="A136" s="451">
        <v>17</v>
      </c>
      <c r="B136" s="447" t="s">
        <v>650</v>
      </c>
      <c r="C136" s="453">
        <f>IF(C118=0,0,C133/C118)</f>
        <v>1.3232336377893028</v>
      </c>
      <c r="D136" s="453">
        <f>IF(LN_ID1=0,0,LN_ID14/LN_ID1)</f>
        <v>1.3068098493019638</v>
      </c>
      <c r="E136" s="454">
        <f t="shared" si="14"/>
        <v>-1.6423788487339053E-2</v>
      </c>
      <c r="F136" s="449">
        <f t="shared" si="15"/>
        <v>-1.2411858358421051E-2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5">
      <c r="A137" s="451">
        <v>18</v>
      </c>
      <c r="B137" s="447" t="s">
        <v>651</v>
      </c>
      <c r="C137" s="463">
        <f>C136*C121</f>
        <v>4668.3682741206603</v>
      </c>
      <c r="D137" s="463">
        <f>LN_ID17*LN_ID4</f>
        <v>4788.1512878423955</v>
      </c>
      <c r="E137" s="463">
        <f t="shared" si="14"/>
        <v>119.78301372173519</v>
      </c>
      <c r="F137" s="449">
        <f t="shared" si="15"/>
        <v>2.5658432815970942E-2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5">
      <c r="A138" s="451">
        <v>19</v>
      </c>
      <c r="B138" s="452" t="s">
        <v>652</v>
      </c>
      <c r="C138" s="465">
        <f>IF(C137=0,0,C134/C137)</f>
        <v>5176.3803926869496</v>
      </c>
      <c r="D138" s="465">
        <f>IF(LN_ID18=0,0,LN_ID15/LN_ID18)</f>
        <v>5668.5940707254849</v>
      </c>
      <c r="E138" s="465">
        <f t="shared" si="14"/>
        <v>492.21367803853536</v>
      </c>
      <c r="F138" s="449">
        <f t="shared" si="15"/>
        <v>9.5088390090867655E-2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5">
      <c r="A139" s="451">
        <v>20</v>
      </c>
      <c r="B139" s="452" t="s">
        <v>685</v>
      </c>
      <c r="C139" s="465">
        <f>C61-C138</f>
        <v>10567.21676411696</v>
      </c>
      <c r="D139" s="465">
        <f>LN_IB18-LN_ID19</f>
        <v>10560.670538656208</v>
      </c>
      <c r="E139" s="465">
        <f t="shared" si="14"/>
        <v>-6.5462254607518844</v>
      </c>
      <c r="F139" s="449">
        <f t="shared" si="15"/>
        <v>-6.1948435495152011E-4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5">
      <c r="A140" s="451">
        <v>21</v>
      </c>
      <c r="B140" s="447" t="s">
        <v>686</v>
      </c>
      <c r="C140" s="465">
        <f>C32-C138</f>
        <v>6951.1027098762861</v>
      </c>
      <c r="D140" s="465">
        <f>LN_IA16-LN_ID19</f>
        <v>6021.187001329452</v>
      </c>
      <c r="E140" s="465">
        <f t="shared" si="14"/>
        <v>-929.91570854683414</v>
      </c>
      <c r="F140" s="449">
        <f t="shared" si="15"/>
        <v>-0.13377959546268661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5">
      <c r="A141" s="428">
        <v>22</v>
      </c>
      <c r="B141" s="452" t="s">
        <v>663</v>
      </c>
      <c r="C141" s="441">
        <f>C140*C137</f>
        <v>32450307.360940602</v>
      </c>
      <c r="D141" s="441">
        <f>LN_ID21*LN_ID18</f>
        <v>28830354.294755507</v>
      </c>
      <c r="E141" s="441">
        <f t="shared" si="14"/>
        <v>-3619953.0661850944</v>
      </c>
      <c r="F141" s="449">
        <f t="shared" si="15"/>
        <v>-0.11155373740904273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5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3">
      <c r="A143" s="428"/>
      <c r="B143" s="495" t="s">
        <v>687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5">
      <c r="A144" s="451">
        <v>23</v>
      </c>
      <c r="B144" s="447" t="s">
        <v>654</v>
      </c>
      <c r="C144" s="448">
        <f>C118+C133</f>
        <v>207828868</v>
      </c>
      <c r="D144" s="448">
        <f>LN_ID1+LN_ID14</f>
        <v>223967061</v>
      </c>
      <c r="E144" s="448">
        <f>D144-C144</f>
        <v>16138193</v>
      </c>
      <c r="F144" s="449">
        <f>IF(C144=0,0,E144/C144)</f>
        <v>7.7651353997655423E-2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5">
      <c r="A145" s="451">
        <v>24</v>
      </c>
      <c r="B145" s="447" t="s">
        <v>655</v>
      </c>
      <c r="C145" s="448">
        <f>C119+C134</f>
        <v>42358047</v>
      </c>
      <c r="D145" s="448">
        <f>LN_1D2+LN_ID15</f>
        <v>47847918</v>
      </c>
      <c r="E145" s="448">
        <f>D145-C145</f>
        <v>5489871</v>
      </c>
      <c r="F145" s="449">
        <f>IF(C145=0,0,E145/C145)</f>
        <v>0.12960632958360899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5">
      <c r="A146" s="451">
        <v>25</v>
      </c>
      <c r="B146" s="447" t="s">
        <v>656</v>
      </c>
      <c r="C146" s="448">
        <f>C144-C145</f>
        <v>165470821</v>
      </c>
      <c r="D146" s="448">
        <f>LN_ID23-LN_ID24</f>
        <v>176119143</v>
      </c>
      <c r="E146" s="448">
        <f>D146-C146</f>
        <v>10648322</v>
      </c>
      <c r="F146" s="449">
        <f>IF(C146=0,0,E146/C146)</f>
        <v>6.4351659921962914E-2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5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5">
      <c r="A148" s="451">
        <v>26</v>
      </c>
      <c r="B148" s="447" t="s">
        <v>665</v>
      </c>
      <c r="C148" s="448">
        <f>C127+C141</f>
        <v>44019109.252545625</v>
      </c>
      <c r="D148" s="448">
        <f>LN_ID10+LN_ID22</f>
        <v>39477571.986079708</v>
      </c>
      <c r="E148" s="448">
        <f>D148-C148</f>
        <v>-4541537.2664659172</v>
      </c>
      <c r="F148" s="503">
        <f>IF(C148=0,0,E148/C148)</f>
        <v>-0.10317194835566283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5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3">
      <c r="A150" s="443" t="s">
        <v>175</v>
      </c>
      <c r="B150" s="444" t="s">
        <v>688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5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689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5">
      <c r="A153" s="428">
        <v>1</v>
      </c>
      <c r="B153" s="447" t="s">
        <v>638</v>
      </c>
      <c r="C153" s="448">
        <v>2859982</v>
      </c>
      <c r="D153" s="448">
        <v>2106914</v>
      </c>
      <c r="E153" s="448">
        <f t="shared" ref="E153:E165" si="16">D153-C153</f>
        <v>-753068</v>
      </c>
      <c r="F153" s="449">
        <f t="shared" ref="F153:F165" si="17">IF(C153=0,0,E153/C153)</f>
        <v>-0.26331214671980452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5">
      <c r="A154" s="451">
        <v>2</v>
      </c>
      <c r="B154" s="447" t="s">
        <v>639</v>
      </c>
      <c r="C154" s="448">
        <v>597623</v>
      </c>
      <c r="D154" s="448">
        <v>298308</v>
      </c>
      <c r="E154" s="448">
        <f t="shared" si="16"/>
        <v>-299315</v>
      </c>
      <c r="F154" s="449">
        <f t="shared" si="17"/>
        <v>-0.50084250438821798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5">
      <c r="A155" s="451">
        <v>3</v>
      </c>
      <c r="B155" s="452" t="s">
        <v>640</v>
      </c>
      <c r="C155" s="453">
        <f>IF(C153=0,0,C154/C153)</f>
        <v>0.20896040604451357</v>
      </c>
      <c r="D155" s="453">
        <f>IF(LN_IE1=0,0,LN_IE2/LN_IE1)</f>
        <v>0.14158527590589839</v>
      </c>
      <c r="E155" s="454">
        <f t="shared" si="16"/>
        <v>-6.737513013861518E-2</v>
      </c>
      <c r="F155" s="449">
        <f t="shared" si="17"/>
        <v>-0.32243012642434599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5">
      <c r="A156" s="451">
        <v>4</v>
      </c>
      <c r="B156" s="447" t="s">
        <v>137</v>
      </c>
      <c r="C156" s="506">
        <v>66</v>
      </c>
      <c r="D156" s="506">
        <v>61</v>
      </c>
      <c r="E156" s="506">
        <f t="shared" si="16"/>
        <v>-5</v>
      </c>
      <c r="F156" s="449">
        <f t="shared" si="17"/>
        <v>-7.575757575757576E-2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5">
      <c r="A157" s="451">
        <v>5</v>
      </c>
      <c r="B157" s="452" t="s">
        <v>641</v>
      </c>
      <c r="C157" s="459">
        <v>1.4732000000000001</v>
      </c>
      <c r="D157" s="459">
        <v>1.2403</v>
      </c>
      <c r="E157" s="460">
        <f t="shared" si="16"/>
        <v>-0.23290000000000011</v>
      </c>
      <c r="F157" s="449">
        <f t="shared" si="17"/>
        <v>-0.15809122997556346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5">
      <c r="A158" s="451">
        <v>6</v>
      </c>
      <c r="B158" s="452" t="s">
        <v>642</v>
      </c>
      <c r="C158" s="463">
        <f>C156*C157</f>
        <v>97.231200000000001</v>
      </c>
      <c r="D158" s="463">
        <f>LN_IE4*LN_IE5</f>
        <v>75.658299999999997</v>
      </c>
      <c r="E158" s="463">
        <f t="shared" si="16"/>
        <v>-21.572900000000004</v>
      </c>
      <c r="F158" s="449">
        <f t="shared" si="17"/>
        <v>-0.22187219740165712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5">
      <c r="A159" s="451">
        <v>7</v>
      </c>
      <c r="B159" s="447" t="s">
        <v>643</v>
      </c>
      <c r="C159" s="465">
        <f>IF(C158=0,0,C154/C158)</f>
        <v>6146.4118513398989</v>
      </c>
      <c r="D159" s="465">
        <f>IF(LN_IE6=0,0,LN_IE2/LN_IE6)</f>
        <v>3942.8324453496843</v>
      </c>
      <c r="E159" s="465">
        <f t="shared" si="16"/>
        <v>-2203.5794059902146</v>
      </c>
      <c r="F159" s="449">
        <f t="shared" si="17"/>
        <v>-0.35851476589708858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5">
      <c r="A160" s="451">
        <v>8</v>
      </c>
      <c r="B160" s="510" t="s">
        <v>690</v>
      </c>
      <c r="C160" s="465">
        <f>C48-C159</f>
        <v>6449.425347314469</v>
      </c>
      <c r="D160" s="465">
        <f>LN_IB7-LN_IE7</f>
        <v>8955.5851217746349</v>
      </c>
      <c r="E160" s="465">
        <f t="shared" si="16"/>
        <v>2506.1597744601659</v>
      </c>
      <c r="F160" s="449">
        <f t="shared" si="17"/>
        <v>0.38858652352704992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5">
      <c r="A161" s="451">
        <v>9</v>
      </c>
      <c r="B161" s="510" t="s">
        <v>691</v>
      </c>
      <c r="C161" s="465">
        <f>C21-C159</f>
        <v>1697.2212032655698</v>
      </c>
      <c r="D161" s="465">
        <f>LN_IA7-LN_IE7</f>
        <v>3664.1148804204176</v>
      </c>
      <c r="E161" s="465">
        <f t="shared" si="16"/>
        <v>1966.8936771548479</v>
      </c>
      <c r="F161" s="449">
        <f t="shared" si="17"/>
        <v>1.1588905873732958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5">
      <c r="A162" s="451">
        <v>10</v>
      </c>
      <c r="B162" s="447" t="s">
        <v>660</v>
      </c>
      <c r="C162" s="479">
        <f>C161*C158</f>
        <v>165022.85425895528</v>
      </c>
      <c r="D162" s="479">
        <f>LN_IE9*LN_IE6</f>
        <v>277220.70285731205</v>
      </c>
      <c r="E162" s="479">
        <f t="shared" si="16"/>
        <v>112197.84859835677</v>
      </c>
      <c r="F162" s="449">
        <f t="shared" si="17"/>
        <v>0.67989278880302806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5">
      <c r="A163" s="451">
        <v>11</v>
      </c>
      <c r="B163" s="447" t="s">
        <v>139</v>
      </c>
      <c r="C163" s="456">
        <v>364</v>
      </c>
      <c r="D163" s="456">
        <v>241</v>
      </c>
      <c r="E163" s="506">
        <f t="shared" si="16"/>
        <v>-123</v>
      </c>
      <c r="F163" s="449">
        <f t="shared" si="17"/>
        <v>-0.33791208791208793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5">
      <c r="A164" s="451">
        <v>12</v>
      </c>
      <c r="B164" s="447" t="s">
        <v>644</v>
      </c>
      <c r="C164" s="465">
        <f>IF(C163=0,0,C154/C163)</f>
        <v>1641.8214285714287</v>
      </c>
      <c r="D164" s="465">
        <f>IF(LN_IE11=0,0,LN_IE2/LN_IE11)</f>
        <v>1237.7925311203319</v>
      </c>
      <c r="E164" s="465">
        <f t="shared" si="16"/>
        <v>-404.02889745109678</v>
      </c>
      <c r="F164" s="449">
        <f t="shared" si="17"/>
        <v>-0.24608577426270278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5">
      <c r="A165" s="451">
        <v>13</v>
      </c>
      <c r="B165" s="447" t="s">
        <v>645</v>
      </c>
      <c r="C165" s="466">
        <f>IF(C156=0,0,C163/C156)</f>
        <v>5.5151515151515156</v>
      </c>
      <c r="D165" s="466">
        <f>IF(LN_IE4=0,0,LN_IE11/LN_IE4)</f>
        <v>3.9508196721311477</v>
      </c>
      <c r="E165" s="466">
        <f t="shared" si="16"/>
        <v>-1.5643318430203679</v>
      </c>
      <c r="F165" s="449">
        <f t="shared" si="17"/>
        <v>-0.28364258692127547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5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692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5">
      <c r="A168" s="451">
        <v>14</v>
      </c>
      <c r="B168" s="447" t="s">
        <v>647</v>
      </c>
      <c r="C168" s="511">
        <v>1990730</v>
      </c>
      <c r="D168" s="511">
        <v>2419544</v>
      </c>
      <c r="E168" s="511">
        <f t="shared" ref="E168:E176" si="18">D168-C168</f>
        <v>428814</v>
      </c>
      <c r="F168" s="449">
        <f t="shared" ref="F168:F176" si="19">IF(C168=0,0,E168/C168)</f>
        <v>0.21540540404776137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5">
      <c r="A169" s="451">
        <v>15</v>
      </c>
      <c r="B169" s="447" t="s">
        <v>648</v>
      </c>
      <c r="C169" s="511">
        <v>333771</v>
      </c>
      <c r="D169" s="511">
        <v>235653</v>
      </c>
      <c r="E169" s="511">
        <f t="shared" si="18"/>
        <v>-98118</v>
      </c>
      <c r="F169" s="449">
        <f t="shared" si="19"/>
        <v>-0.29396801998975347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5">
      <c r="A170" s="451">
        <v>16</v>
      </c>
      <c r="B170" s="447" t="s">
        <v>649</v>
      </c>
      <c r="C170" s="453">
        <f>IF(C168=0,0,C169/C168)</f>
        <v>0.16766261622620848</v>
      </c>
      <c r="D170" s="453">
        <f>IF(LN_IE14=0,0,LN_IE15/LN_IE14)</f>
        <v>9.7395624960736407E-2</v>
      </c>
      <c r="E170" s="454">
        <f t="shared" si="18"/>
        <v>-7.0266991265472076E-2</v>
      </c>
      <c r="F170" s="449">
        <f t="shared" si="19"/>
        <v>-0.41909754748589068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5">
      <c r="A171" s="451">
        <v>17</v>
      </c>
      <c r="B171" s="447" t="s">
        <v>650</v>
      </c>
      <c r="C171" s="453">
        <f>IF(C153=0,0,C168/C153)</f>
        <v>0.696063821380694</v>
      </c>
      <c r="D171" s="453">
        <f>IF(LN_IE1=0,0,LN_IE14/LN_IE1)</f>
        <v>1.1483828955524527</v>
      </c>
      <c r="E171" s="454">
        <f t="shared" si="18"/>
        <v>0.45231907417175865</v>
      </c>
      <c r="F171" s="449">
        <f t="shared" si="19"/>
        <v>0.64982414008323308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5">
      <c r="A172" s="451">
        <v>18</v>
      </c>
      <c r="B172" s="447" t="s">
        <v>651</v>
      </c>
      <c r="C172" s="463">
        <f>C171*C156</f>
        <v>45.940212211125804</v>
      </c>
      <c r="D172" s="463">
        <f>LN_IE17*LN_IE4</f>
        <v>70.051356628699608</v>
      </c>
      <c r="E172" s="463">
        <f t="shared" si="18"/>
        <v>24.111144417573804</v>
      </c>
      <c r="F172" s="449">
        <f t="shared" si="19"/>
        <v>0.52483746280420018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5">
      <c r="A173" s="451">
        <v>19</v>
      </c>
      <c r="B173" s="452" t="s">
        <v>652</v>
      </c>
      <c r="C173" s="465">
        <f>IF(C172=0,0,C169/C172)</f>
        <v>7265.334310300972</v>
      </c>
      <c r="D173" s="465">
        <f>IF(LN_IE18=0,0,LN_IE15/LN_IE18)</f>
        <v>3364.0033732545076</v>
      </c>
      <c r="E173" s="465">
        <f t="shared" si="18"/>
        <v>-3901.3309370464644</v>
      </c>
      <c r="F173" s="449">
        <f t="shared" si="19"/>
        <v>-0.53697886021776864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5">
      <c r="A174" s="451">
        <v>20</v>
      </c>
      <c r="B174" s="510" t="s">
        <v>693</v>
      </c>
      <c r="C174" s="465">
        <f>C61-C173</f>
        <v>8478.2628465029375</v>
      </c>
      <c r="D174" s="465">
        <f>LN_IB18-LN_IE19</f>
        <v>12865.261236127186</v>
      </c>
      <c r="E174" s="465">
        <f t="shared" si="18"/>
        <v>4386.9983896242484</v>
      </c>
      <c r="F174" s="449">
        <f t="shared" si="19"/>
        <v>0.51744071504385725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5">
      <c r="A175" s="451">
        <v>21</v>
      </c>
      <c r="B175" s="510" t="s">
        <v>694</v>
      </c>
      <c r="C175" s="465">
        <f>C32-C173</f>
        <v>4862.1487922622637</v>
      </c>
      <c r="D175" s="465">
        <f>LN_IA16-LN_IE19</f>
        <v>8325.7776988004298</v>
      </c>
      <c r="E175" s="465">
        <f t="shared" si="18"/>
        <v>3463.6289065381661</v>
      </c>
      <c r="F175" s="449">
        <f t="shared" si="19"/>
        <v>0.71236588070901197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5">
      <c r="A176" s="451">
        <v>22</v>
      </c>
      <c r="B176" s="452" t="s">
        <v>663</v>
      </c>
      <c r="C176" s="441">
        <f>C175*C172</f>
        <v>223368.14731859742</v>
      </c>
      <c r="D176" s="441">
        <f>LN_IE21*LN_IE18</f>
        <v>583232.0227899428</v>
      </c>
      <c r="E176" s="441">
        <f t="shared" si="18"/>
        <v>359863.87547134538</v>
      </c>
      <c r="F176" s="449">
        <f t="shared" si="19"/>
        <v>1.6110796449328093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5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695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5">
      <c r="A179" s="451">
        <v>23</v>
      </c>
      <c r="B179" s="447" t="s">
        <v>654</v>
      </c>
      <c r="C179" s="448">
        <f>C153+C168</f>
        <v>4850712</v>
      </c>
      <c r="D179" s="448">
        <f>LN_IE1+LN_IE14</f>
        <v>4526458</v>
      </c>
      <c r="E179" s="448">
        <f>D179-C179</f>
        <v>-324254</v>
      </c>
      <c r="F179" s="449">
        <f>IF(C179=0,0,E179/C179)</f>
        <v>-6.6846681476863609E-2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5">
      <c r="A180" s="451">
        <v>24</v>
      </c>
      <c r="B180" s="447" t="s">
        <v>655</v>
      </c>
      <c r="C180" s="448">
        <f>C154+C169</f>
        <v>931394</v>
      </c>
      <c r="D180" s="448">
        <f>LN_IE15+LN_IE2</f>
        <v>533961</v>
      </c>
      <c r="E180" s="448">
        <f>D180-C180</f>
        <v>-397433</v>
      </c>
      <c r="F180" s="449">
        <f>IF(C180=0,0,E180/C180)</f>
        <v>-0.42670770908981592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5">
      <c r="A181" s="451">
        <v>25</v>
      </c>
      <c r="B181" s="447" t="s">
        <v>656</v>
      </c>
      <c r="C181" s="448">
        <f>C179-C180</f>
        <v>3919318</v>
      </c>
      <c r="D181" s="448">
        <f>LN_IE23-LN_IE24</f>
        <v>3992497</v>
      </c>
      <c r="E181" s="448">
        <f>D181-C181</f>
        <v>73179</v>
      </c>
      <c r="F181" s="449">
        <f>IF(C181=0,0,E181/C181)</f>
        <v>1.8671360680608207E-2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5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5">
      <c r="A183" s="451">
        <v>26</v>
      </c>
      <c r="B183" s="447" t="s">
        <v>696</v>
      </c>
      <c r="C183" s="448">
        <f>C162+C176</f>
        <v>388391.0015775527</v>
      </c>
      <c r="D183" s="448">
        <f>LN_IE10+LN_IE22</f>
        <v>860452.72564725485</v>
      </c>
      <c r="E183" s="441">
        <f>D183-C183</f>
        <v>472061.72406970215</v>
      </c>
      <c r="F183" s="449">
        <f>IF(C183=0,0,E183/C183)</f>
        <v>1.2154290963289538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5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3">
      <c r="A185" s="443" t="s">
        <v>181</v>
      </c>
      <c r="B185" s="444" t="s">
        <v>697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3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698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5">
      <c r="A188" s="428">
        <v>1</v>
      </c>
      <c r="B188" s="447" t="s">
        <v>638</v>
      </c>
      <c r="C188" s="448">
        <f>C118+C153</f>
        <v>92316705</v>
      </c>
      <c r="D188" s="448">
        <f>LN_ID1+LN_IE1</f>
        <v>99196434</v>
      </c>
      <c r="E188" s="448">
        <f t="shared" ref="E188:E200" si="20">D188-C188</f>
        <v>6879729</v>
      </c>
      <c r="F188" s="449">
        <f t="shared" ref="F188:F200" si="21">IF(C188=0,0,E188/C188)</f>
        <v>7.4523121248749075E-2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5">
      <c r="A189" s="451">
        <v>2</v>
      </c>
      <c r="B189" s="447" t="s">
        <v>639</v>
      </c>
      <c r="C189" s="448">
        <f>C119+C154</f>
        <v>18790420</v>
      </c>
      <c r="D189" s="448">
        <f>LN_1D2+LN_IE2</f>
        <v>21004140</v>
      </c>
      <c r="E189" s="448">
        <f t="shared" si="20"/>
        <v>2213720</v>
      </c>
      <c r="F189" s="449">
        <f t="shared" si="21"/>
        <v>0.11781109735705748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5">
      <c r="A190" s="451">
        <v>3</v>
      </c>
      <c r="B190" s="452" t="s">
        <v>640</v>
      </c>
      <c r="C190" s="453">
        <f>IF(C188=0,0,C189/C188)</f>
        <v>0.20354300990270396</v>
      </c>
      <c r="D190" s="453">
        <f>IF(LN_IF1=0,0,LN_IF2/LN_IF1)</f>
        <v>0.21174289390281914</v>
      </c>
      <c r="E190" s="454">
        <f t="shared" si="20"/>
        <v>8.1998840001151763E-3</v>
      </c>
      <c r="F190" s="449">
        <f t="shared" si="21"/>
        <v>4.0285755841160162E-2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5">
      <c r="A191" s="451">
        <v>4</v>
      </c>
      <c r="B191" s="447" t="s">
        <v>137</v>
      </c>
      <c r="C191" s="456">
        <f>C121+C156</f>
        <v>3594</v>
      </c>
      <c r="D191" s="456">
        <f>LN_ID4+LN_IE4</f>
        <v>3725</v>
      </c>
      <c r="E191" s="456">
        <f t="shared" si="20"/>
        <v>131</v>
      </c>
      <c r="F191" s="449">
        <f t="shared" si="21"/>
        <v>3.6449638286032274E-2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5">
      <c r="A192" s="451">
        <v>5</v>
      </c>
      <c r="B192" s="452" t="s">
        <v>641</v>
      </c>
      <c r="C192" s="459">
        <f>IF((C121+C156)=0,0,(C123+C158)/(C121+C156))</f>
        <v>1.0828033388981635</v>
      </c>
      <c r="D192" s="459">
        <f>IF((LN_ID4+LN_IE4)=0,0,(LN_ID6+LN_IE6)/(LN_ID4+LN_IE4))</f>
        <v>1.1267897718120805</v>
      </c>
      <c r="E192" s="460">
        <f t="shared" si="20"/>
        <v>4.3986432913917017E-2</v>
      </c>
      <c r="F192" s="449">
        <f t="shared" si="21"/>
        <v>4.0622734834449836E-2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5">
      <c r="A193" s="451">
        <v>6</v>
      </c>
      <c r="B193" s="452" t="s">
        <v>642</v>
      </c>
      <c r="C193" s="463">
        <f>C123+C158</f>
        <v>3891.5951999999997</v>
      </c>
      <c r="D193" s="463">
        <f>LN_IF4*LN_IF5</f>
        <v>4197.2919000000002</v>
      </c>
      <c r="E193" s="463">
        <f t="shared" si="20"/>
        <v>305.69670000000042</v>
      </c>
      <c r="F193" s="449">
        <f t="shared" si="21"/>
        <v>7.8553057111387242E-2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5">
      <c r="A194" s="451">
        <v>7</v>
      </c>
      <c r="B194" s="447" t="s">
        <v>643</v>
      </c>
      <c r="C194" s="465">
        <f>IF(C193=0,0,C189/C193)</f>
        <v>4828.4621175398715</v>
      </c>
      <c r="D194" s="465">
        <f>IF(LN_IF6=0,0,LN_IF2/LN_IF6)</f>
        <v>5004.2123589260018</v>
      </c>
      <c r="E194" s="465">
        <f t="shared" si="20"/>
        <v>175.75024138613026</v>
      </c>
      <c r="F194" s="449">
        <f t="shared" si="21"/>
        <v>3.6398802995202123E-2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5">
      <c r="A195" s="451">
        <v>8</v>
      </c>
      <c r="B195" s="445" t="s">
        <v>699</v>
      </c>
      <c r="C195" s="465">
        <f>C48-C194</f>
        <v>7767.3750811144964</v>
      </c>
      <c r="D195" s="465">
        <f>LN_IB7-LN_IF7</f>
        <v>7894.2052081983175</v>
      </c>
      <c r="E195" s="465">
        <f t="shared" si="20"/>
        <v>126.83012708382103</v>
      </c>
      <c r="F195" s="449">
        <f t="shared" si="21"/>
        <v>1.6328569917035973E-2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5">
      <c r="A196" s="451">
        <v>9</v>
      </c>
      <c r="B196" s="452" t="s">
        <v>700</v>
      </c>
      <c r="C196" s="465">
        <f>C21-C194</f>
        <v>3015.1709370655972</v>
      </c>
      <c r="D196" s="465">
        <f>LN_IA7-LN_IF7</f>
        <v>2602.7349668441002</v>
      </c>
      <c r="E196" s="465">
        <f t="shared" si="20"/>
        <v>-412.43597022149697</v>
      </c>
      <c r="F196" s="449">
        <f t="shared" si="21"/>
        <v>-0.13678692811455823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5">
      <c r="A197" s="451">
        <v>10</v>
      </c>
      <c r="B197" s="447" t="s">
        <v>660</v>
      </c>
      <c r="C197" s="479">
        <f>C127+C162</f>
        <v>11733824.745863978</v>
      </c>
      <c r="D197" s="479">
        <f>LN_IF9*LN_IF6</f>
        <v>10924438.39418151</v>
      </c>
      <c r="E197" s="479">
        <f t="shared" si="20"/>
        <v>-809386.35168246739</v>
      </c>
      <c r="F197" s="449">
        <f t="shared" si="21"/>
        <v>-6.8978902379444998E-2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5">
      <c r="A198" s="451">
        <v>11</v>
      </c>
      <c r="B198" s="447" t="s">
        <v>139</v>
      </c>
      <c r="C198" s="456">
        <f>C128+C163</f>
        <v>16361</v>
      </c>
      <c r="D198" s="456">
        <f>LN_ID11+LN_IE11</f>
        <v>16730</v>
      </c>
      <c r="E198" s="456">
        <f t="shared" si="20"/>
        <v>369</v>
      </c>
      <c r="F198" s="449">
        <f t="shared" si="21"/>
        <v>2.2553633640975491E-2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5">
      <c r="A199" s="451">
        <v>12</v>
      </c>
      <c r="B199" s="447" t="s">
        <v>644</v>
      </c>
      <c r="C199" s="519">
        <f>IF(C198=0,0,C189/C198)</f>
        <v>1148.4884786993459</v>
      </c>
      <c r="D199" s="519">
        <f>IF(LN_IF11=0,0,LN_IF2/LN_IF11)</f>
        <v>1255.47758517633</v>
      </c>
      <c r="E199" s="519">
        <f t="shared" si="20"/>
        <v>106.98910647698403</v>
      </c>
      <c r="F199" s="449">
        <f t="shared" si="21"/>
        <v>9.3156447331668793E-2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5">
      <c r="A200" s="451">
        <v>13</v>
      </c>
      <c r="B200" s="447" t="s">
        <v>645</v>
      </c>
      <c r="C200" s="466">
        <f>IF(C191=0,0,C198/C191)</f>
        <v>4.5523094045631609</v>
      </c>
      <c r="D200" s="466">
        <f>IF(LN_IF4=0,0,LN_IF11/LN_IF4)</f>
        <v>4.4912751677852345</v>
      </c>
      <c r="E200" s="466">
        <f t="shared" si="20"/>
        <v>-6.1034236777926409E-2</v>
      </c>
      <c r="F200" s="449">
        <f t="shared" si="21"/>
        <v>-1.3407312938076371E-2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5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701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5">
      <c r="A203" s="428">
        <v>14</v>
      </c>
      <c r="B203" s="447" t="s">
        <v>647</v>
      </c>
      <c r="C203" s="448">
        <f>C133+C168</f>
        <v>120362875</v>
      </c>
      <c r="D203" s="448">
        <f>LN_ID14+LN_IE14</f>
        <v>129297085</v>
      </c>
      <c r="E203" s="448">
        <f t="shared" ref="E203:E211" si="22">D203-C203</f>
        <v>8934210</v>
      </c>
      <c r="F203" s="449">
        <f t="shared" ref="F203:F211" si="23">IF(C203=0,0,E203/C203)</f>
        <v>7.4227289768543661E-2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5">
      <c r="A204" s="428">
        <v>15</v>
      </c>
      <c r="B204" s="447" t="s">
        <v>648</v>
      </c>
      <c r="C204" s="448">
        <f>C134+C169</f>
        <v>24499021</v>
      </c>
      <c r="D204" s="448">
        <f>LN_ID15+LN_IE15</f>
        <v>27377739</v>
      </c>
      <c r="E204" s="448">
        <f t="shared" si="22"/>
        <v>2878718</v>
      </c>
      <c r="F204" s="449">
        <f t="shared" si="23"/>
        <v>0.11750338921706301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5">
      <c r="A205" s="428">
        <v>16</v>
      </c>
      <c r="B205" s="447" t="s">
        <v>649</v>
      </c>
      <c r="C205" s="453">
        <f>IF(C203=0,0,C204/C203)</f>
        <v>0.2035430027739035</v>
      </c>
      <c r="D205" s="453">
        <f>IF(LN_IF14=0,0,LN_IF15/LN_IF14)</f>
        <v>0.2117428942810273</v>
      </c>
      <c r="E205" s="454">
        <f t="shared" si="22"/>
        <v>8.1998915071238021E-3</v>
      </c>
      <c r="F205" s="449">
        <f t="shared" si="23"/>
        <v>4.0285794133794316E-2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5">
      <c r="A206" s="428">
        <v>17</v>
      </c>
      <c r="B206" s="447" t="s">
        <v>650</v>
      </c>
      <c r="C206" s="453">
        <f>IF(C188=0,0,C203/C188)</f>
        <v>1.3038038456853502</v>
      </c>
      <c r="D206" s="453">
        <f>IF(LN_IF1=0,0,LN_IF14/LN_IF1)</f>
        <v>1.3034448899644921</v>
      </c>
      <c r="E206" s="454">
        <f t="shared" si="22"/>
        <v>-3.5895572085808958E-4</v>
      </c>
      <c r="F206" s="449">
        <f t="shared" si="23"/>
        <v>-2.753142062327657E-4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5">
      <c r="A207" s="428">
        <v>18</v>
      </c>
      <c r="B207" s="447" t="s">
        <v>651</v>
      </c>
      <c r="C207" s="463">
        <f>C137+C172</f>
        <v>4714.3084863317863</v>
      </c>
      <c r="D207" s="463">
        <f>LN_ID18+LN_IE18</f>
        <v>4858.2026444710955</v>
      </c>
      <c r="E207" s="463">
        <f t="shared" si="22"/>
        <v>143.89415813930918</v>
      </c>
      <c r="F207" s="449">
        <f t="shared" si="23"/>
        <v>3.052285580303073E-2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5">
      <c r="A208" s="428">
        <v>19</v>
      </c>
      <c r="B208" s="452" t="s">
        <v>652</v>
      </c>
      <c r="C208" s="465">
        <f>IF(C207=0,0,C204/C207)</f>
        <v>5196.736927808206</v>
      </c>
      <c r="D208" s="465">
        <f>IF(LN_IF18=0,0,LN_IF15/LN_IF18)</f>
        <v>5635.363735013686</v>
      </c>
      <c r="E208" s="465">
        <f t="shared" si="22"/>
        <v>438.62680720547996</v>
      </c>
      <c r="F208" s="449">
        <f t="shared" si="23"/>
        <v>8.4404273931656712E-2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5">
      <c r="A209" s="428">
        <v>20</v>
      </c>
      <c r="B209" s="452" t="s">
        <v>702</v>
      </c>
      <c r="C209" s="465">
        <f>C61-C208</f>
        <v>10546.860228995703</v>
      </c>
      <c r="D209" s="465">
        <f>LN_IB18-LN_IF19</f>
        <v>10593.900874368006</v>
      </c>
      <c r="E209" s="465">
        <f t="shared" si="22"/>
        <v>47.040645372302606</v>
      </c>
      <c r="F209" s="449">
        <f t="shared" si="23"/>
        <v>4.4601563262379488E-3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5">
      <c r="A210" s="428">
        <v>21</v>
      </c>
      <c r="B210" s="452" t="s">
        <v>703</v>
      </c>
      <c r="C210" s="465">
        <f>C32-C208</f>
        <v>6930.7461747550296</v>
      </c>
      <c r="D210" s="465">
        <f>LN_IA16-LN_IF19</f>
        <v>6054.4173370412509</v>
      </c>
      <c r="E210" s="465">
        <f t="shared" si="22"/>
        <v>-876.32883771377874</v>
      </c>
      <c r="F210" s="449">
        <f t="shared" si="23"/>
        <v>-0.12644076346436869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5">
      <c r="A211" s="428">
        <v>22</v>
      </c>
      <c r="B211" s="452" t="s">
        <v>663</v>
      </c>
      <c r="C211" s="479">
        <f>C141+C176</f>
        <v>32673675.5082592</v>
      </c>
      <c r="D211" s="441">
        <f>LN_IF21*LN_IF18</f>
        <v>29413586.317545451</v>
      </c>
      <c r="E211" s="441">
        <f t="shared" si="22"/>
        <v>-3260089.1907137483</v>
      </c>
      <c r="F211" s="449">
        <f t="shared" si="23"/>
        <v>-9.9777240852185978E-2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5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704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5">
      <c r="A214" s="428">
        <v>23</v>
      </c>
      <c r="B214" s="447" t="s">
        <v>654</v>
      </c>
      <c r="C214" s="448">
        <f>C188+C203</f>
        <v>212679580</v>
      </c>
      <c r="D214" s="448">
        <f>LN_IF1+LN_IF14</f>
        <v>228493519</v>
      </c>
      <c r="E214" s="448">
        <f>D214-C214</f>
        <v>15813939</v>
      </c>
      <c r="F214" s="449">
        <f>IF(C214=0,0,E214/C214)</f>
        <v>7.435569978086283E-2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5">
      <c r="A215" s="428">
        <v>24</v>
      </c>
      <c r="B215" s="447" t="s">
        <v>655</v>
      </c>
      <c r="C215" s="448">
        <f>C189+C204</f>
        <v>43289441</v>
      </c>
      <c r="D215" s="448">
        <f>LN_IF2+LN_IF15</f>
        <v>48381879</v>
      </c>
      <c r="E215" s="448">
        <f>D215-C215</f>
        <v>5092438</v>
      </c>
      <c r="F215" s="449">
        <f>IF(C215=0,0,E215/C215)</f>
        <v>0.11763695447118386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5">
      <c r="A216" s="428">
        <v>25</v>
      </c>
      <c r="B216" s="447" t="s">
        <v>656</v>
      </c>
      <c r="C216" s="448">
        <f>C214-C215</f>
        <v>169390139</v>
      </c>
      <c r="D216" s="448">
        <f>LN_IF23-LN_IF24</f>
        <v>180111640</v>
      </c>
      <c r="E216" s="448">
        <f>D216-C216</f>
        <v>10721501</v>
      </c>
      <c r="F216" s="449">
        <f>IF(C216=0,0,E216/C216)</f>
        <v>6.3294717527801303E-2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5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3">
      <c r="A218" s="443" t="s">
        <v>183</v>
      </c>
      <c r="B218" s="444" t="s">
        <v>705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5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706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5">
      <c r="A221" s="428">
        <v>1</v>
      </c>
      <c r="B221" s="447" t="s">
        <v>638</v>
      </c>
      <c r="C221" s="448">
        <v>365331</v>
      </c>
      <c r="D221" s="448">
        <v>587755</v>
      </c>
      <c r="E221" s="448">
        <f t="shared" ref="E221:E230" si="24">D221-C221</f>
        <v>222424</v>
      </c>
      <c r="F221" s="449">
        <f t="shared" ref="F221:F230" si="25">IF(C221=0,0,E221/C221)</f>
        <v>0.6088287060227574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5">
      <c r="A222" s="451">
        <v>2</v>
      </c>
      <c r="B222" s="447" t="s">
        <v>639</v>
      </c>
      <c r="C222" s="448">
        <v>100669</v>
      </c>
      <c r="D222" s="448">
        <v>192196</v>
      </c>
      <c r="E222" s="448">
        <f t="shared" si="24"/>
        <v>91527</v>
      </c>
      <c r="F222" s="449">
        <f t="shared" si="25"/>
        <v>0.90918753538825259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5">
      <c r="A223" s="451">
        <v>3</v>
      </c>
      <c r="B223" s="452" t="s">
        <v>640</v>
      </c>
      <c r="C223" s="453">
        <f>IF(C221=0,0,C222/C221)</f>
        <v>0.27555559205213903</v>
      </c>
      <c r="D223" s="453">
        <f>IF(LN_IG1=0,0,LN_IG2/LN_IG1)</f>
        <v>0.32700019565975619</v>
      </c>
      <c r="E223" s="454">
        <f t="shared" si="24"/>
        <v>5.1444603607617156E-2</v>
      </c>
      <c r="F223" s="449">
        <f t="shared" si="25"/>
        <v>0.18669410126825917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5">
      <c r="A224" s="451">
        <v>4</v>
      </c>
      <c r="B224" s="447" t="s">
        <v>137</v>
      </c>
      <c r="C224" s="456">
        <v>26</v>
      </c>
      <c r="D224" s="456">
        <v>31</v>
      </c>
      <c r="E224" s="456">
        <f t="shared" si="24"/>
        <v>5</v>
      </c>
      <c r="F224" s="449">
        <f t="shared" si="25"/>
        <v>0.19230769230769232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5">
      <c r="A225" s="451">
        <v>5</v>
      </c>
      <c r="B225" s="452" t="s">
        <v>641</v>
      </c>
      <c r="C225" s="459">
        <v>0.64139999999999997</v>
      </c>
      <c r="D225" s="459">
        <v>0.99070000000000003</v>
      </c>
      <c r="E225" s="460">
        <f t="shared" si="24"/>
        <v>0.34930000000000005</v>
      </c>
      <c r="F225" s="449">
        <f t="shared" si="25"/>
        <v>0.54458995946367328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5">
      <c r="A226" s="451">
        <v>6</v>
      </c>
      <c r="B226" s="452" t="s">
        <v>642</v>
      </c>
      <c r="C226" s="463">
        <f>C224*C225</f>
        <v>16.676400000000001</v>
      </c>
      <c r="D226" s="463">
        <f>LN_IG3*LN_IG4</f>
        <v>30.7117</v>
      </c>
      <c r="E226" s="463">
        <f t="shared" si="24"/>
        <v>14.035299999999999</v>
      </c>
      <c r="F226" s="449">
        <f t="shared" si="25"/>
        <v>0.84162649012976409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5">
      <c r="A227" s="451">
        <v>7</v>
      </c>
      <c r="B227" s="447" t="s">
        <v>643</v>
      </c>
      <c r="C227" s="465">
        <f>IF(C226=0,0,C222/C226)</f>
        <v>6036.6146170636348</v>
      </c>
      <c r="D227" s="465">
        <f>IF(LN_IG5=0,0,LN_IG2/LN_IG5)</f>
        <v>6258.0710283051731</v>
      </c>
      <c r="E227" s="465">
        <f t="shared" si="24"/>
        <v>221.45641124153826</v>
      </c>
      <c r="F227" s="449">
        <f t="shared" si="25"/>
        <v>3.6685530763476228E-2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5">
      <c r="A228" s="451">
        <v>8</v>
      </c>
      <c r="B228" s="447" t="s">
        <v>139</v>
      </c>
      <c r="C228" s="456">
        <v>72</v>
      </c>
      <c r="D228" s="456">
        <v>80</v>
      </c>
      <c r="E228" s="456">
        <f t="shared" si="24"/>
        <v>8</v>
      </c>
      <c r="F228" s="449">
        <f t="shared" si="25"/>
        <v>0.1111111111111111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5">
      <c r="A229" s="451">
        <v>9</v>
      </c>
      <c r="B229" s="447" t="s">
        <v>644</v>
      </c>
      <c r="C229" s="465">
        <f>IF(C228=0,0,C222/C228)</f>
        <v>1398.1805555555557</v>
      </c>
      <c r="D229" s="465">
        <f>IF(LN_IG6=0,0,LN_IG2/LN_IG6)</f>
        <v>2402.4499999999998</v>
      </c>
      <c r="E229" s="465">
        <f t="shared" si="24"/>
        <v>1004.2694444444442</v>
      </c>
      <c r="F229" s="449">
        <f t="shared" si="25"/>
        <v>0.71826878184942711</v>
      </c>
      <c r="Q229" s="421"/>
      <c r="U229" s="462"/>
    </row>
    <row r="230" spans="1:21" ht="15.75" customHeight="1" x14ac:dyDescent="0.25">
      <c r="A230" s="451">
        <v>10</v>
      </c>
      <c r="B230" s="447" t="s">
        <v>645</v>
      </c>
      <c r="C230" s="466">
        <f>IF(C224=0,0,C228/C224)</f>
        <v>2.7692307692307692</v>
      </c>
      <c r="D230" s="466">
        <f>IF(LN_IG3=0,0,LN_IG6/LN_IG3)</f>
        <v>2.5806451612903225</v>
      </c>
      <c r="E230" s="466">
        <f t="shared" si="24"/>
        <v>-0.18858560794044665</v>
      </c>
      <c r="F230" s="449">
        <f t="shared" si="25"/>
        <v>-6.8100358422939072E-2</v>
      </c>
      <c r="Q230" s="421"/>
      <c r="U230" s="441"/>
    </row>
    <row r="231" spans="1:21" ht="15.75" customHeight="1" x14ac:dyDescent="0.25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707</v>
      </c>
      <c r="C232" s="421"/>
      <c r="Q232" s="421"/>
      <c r="U232" s="487"/>
    </row>
    <row r="233" spans="1:21" ht="15.75" customHeight="1" x14ac:dyDescent="0.25">
      <c r="A233" s="451">
        <v>11</v>
      </c>
      <c r="B233" s="447" t="s">
        <v>647</v>
      </c>
      <c r="C233" s="448">
        <v>1306897</v>
      </c>
      <c r="D233" s="448">
        <v>1622328</v>
      </c>
      <c r="E233" s="448">
        <f>D233-C233</f>
        <v>315431</v>
      </c>
      <c r="F233" s="449">
        <f>IF(C233=0,0,E233/C233)</f>
        <v>0.24135872987695281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5">
      <c r="A234" s="451">
        <v>12</v>
      </c>
      <c r="B234" s="447" t="s">
        <v>648</v>
      </c>
      <c r="C234" s="448">
        <v>382303</v>
      </c>
      <c r="D234" s="448">
        <v>530501</v>
      </c>
      <c r="E234" s="448">
        <f>D234-C234</f>
        <v>148198</v>
      </c>
      <c r="F234" s="449">
        <f>IF(C234=0,0,E234/C234)</f>
        <v>0.38764540168400458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5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708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5">
      <c r="A237" s="428">
        <v>13</v>
      </c>
      <c r="B237" s="447" t="s">
        <v>654</v>
      </c>
      <c r="C237" s="448">
        <f>C221+C233</f>
        <v>1672228</v>
      </c>
      <c r="D237" s="448">
        <f>LN_IG1+LN_IG9</f>
        <v>2210083</v>
      </c>
      <c r="E237" s="448">
        <f>D237-C237</f>
        <v>537855</v>
      </c>
      <c r="F237" s="449">
        <f>IF(C237=0,0,E237/C237)</f>
        <v>0.32163975247394494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5">
      <c r="A238" s="428">
        <v>14</v>
      </c>
      <c r="B238" s="447" t="s">
        <v>655</v>
      </c>
      <c r="C238" s="448">
        <f>C222+C234</f>
        <v>482972</v>
      </c>
      <c r="D238" s="448">
        <f>LN_IG2+LN_IG10</f>
        <v>722697</v>
      </c>
      <c r="E238" s="448">
        <f>D238-C238</f>
        <v>239725</v>
      </c>
      <c r="F238" s="449">
        <f>IF(C238=0,0,E238/C238)</f>
        <v>0.49635382589466887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5">
      <c r="A239" s="428">
        <v>15</v>
      </c>
      <c r="B239" s="447" t="s">
        <v>656</v>
      </c>
      <c r="C239" s="448">
        <f>C237-C238</f>
        <v>1189256</v>
      </c>
      <c r="D239" s="448">
        <f>LN_IG13-LN_IG14</f>
        <v>1487386</v>
      </c>
      <c r="E239" s="448">
        <f>D239-C239</f>
        <v>298130</v>
      </c>
      <c r="F239" s="449">
        <f>IF(C239=0,0,E239/C239)</f>
        <v>0.25068614326940541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5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3">
      <c r="A241" s="443" t="s">
        <v>185</v>
      </c>
      <c r="B241" s="444" t="s">
        <v>709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3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5">
      <c r="A243" s="428">
        <v>1</v>
      </c>
      <c r="B243" s="447" t="s">
        <v>710</v>
      </c>
      <c r="C243" s="448">
        <v>16591387</v>
      </c>
      <c r="D243" s="448">
        <v>19327727</v>
      </c>
      <c r="E243" s="441">
        <f>D243-C243</f>
        <v>2736340</v>
      </c>
      <c r="F243" s="503">
        <f>IF(C243=0,0,E243/C243)</f>
        <v>0.16492533143853494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5">
      <c r="A244" s="428">
        <v>2</v>
      </c>
      <c r="B244" s="447" t="s">
        <v>711</v>
      </c>
      <c r="C244" s="448">
        <v>624338000</v>
      </c>
      <c r="D244" s="448">
        <v>644970000</v>
      </c>
      <c r="E244" s="441">
        <f>D244-C244</f>
        <v>20632000</v>
      </c>
      <c r="F244" s="503">
        <f>IF(C244=0,0,E244/C244)</f>
        <v>3.3046202537727963E-2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5">
      <c r="A245" s="428">
        <v>3</v>
      </c>
      <c r="B245" s="447" t="s">
        <v>712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5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713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5">
      <c r="A248" s="451">
        <v>4</v>
      </c>
      <c r="B248" s="523" t="s">
        <v>714</v>
      </c>
      <c r="C248" s="441">
        <v>16274798</v>
      </c>
      <c r="D248" s="441">
        <v>18294245</v>
      </c>
      <c r="E248" s="441">
        <f>D248-C248</f>
        <v>2019447</v>
      </c>
      <c r="F248" s="449">
        <f>IF(C248=0,0,E248/C248)</f>
        <v>0.12408430507094466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5">
      <c r="A249" s="451">
        <v>5</v>
      </c>
      <c r="B249" s="523" t="s">
        <v>715</v>
      </c>
      <c r="C249" s="441">
        <v>21154457</v>
      </c>
      <c r="D249" s="441">
        <v>18796578</v>
      </c>
      <c r="E249" s="441">
        <f>D249-C249</f>
        <v>-2357879</v>
      </c>
      <c r="F249" s="449">
        <f>IF(C249=0,0,E249/C249)</f>
        <v>-0.11146015234520082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5">
      <c r="A250" s="451">
        <v>6</v>
      </c>
      <c r="B250" s="452" t="s">
        <v>716</v>
      </c>
      <c r="C250" s="441">
        <f>C248+C249</f>
        <v>37429255</v>
      </c>
      <c r="D250" s="441">
        <f>LN_IH4+LN_IH5</f>
        <v>37090823</v>
      </c>
      <c r="E250" s="441">
        <f>D250-C250</f>
        <v>-338432</v>
      </c>
      <c r="F250" s="449">
        <f>IF(C250=0,0,E250/C250)</f>
        <v>-9.0419112002095691E-3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5">
      <c r="A251" s="451">
        <v>7</v>
      </c>
      <c r="B251" s="452" t="s">
        <v>717</v>
      </c>
      <c r="C251" s="441">
        <f>C250*C313</f>
        <v>14448349.028418664</v>
      </c>
      <c r="D251" s="441">
        <f>LN_IH6*LN_III10</f>
        <v>14254272.194414083</v>
      </c>
      <c r="E251" s="441">
        <f>D251-C251</f>
        <v>-194076.83400458097</v>
      </c>
      <c r="F251" s="449">
        <f>IF(C251=0,0,E251/C251)</f>
        <v>-1.343245748167133E-2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5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5">
      <c r="A253" s="428"/>
      <c r="B253" s="434" t="s">
        <v>718</v>
      </c>
      <c r="C253" s="420"/>
      <c r="D253" s="420"/>
      <c r="E253" s="420"/>
      <c r="F253" s="420"/>
      <c r="Q253" s="421"/>
      <c r="U253" s="476"/>
    </row>
    <row r="254" spans="1:250" ht="15.75" customHeight="1" x14ac:dyDescent="0.25">
      <c r="A254" s="428">
        <v>8</v>
      </c>
      <c r="B254" s="447" t="s">
        <v>654</v>
      </c>
      <c r="C254" s="441">
        <f>C188+C203</f>
        <v>212679580</v>
      </c>
      <c r="D254" s="441">
        <f>LN_IF23</f>
        <v>228493519</v>
      </c>
      <c r="E254" s="441">
        <f>D254-C254</f>
        <v>15813939</v>
      </c>
      <c r="F254" s="449">
        <f>IF(C254=0,0,E254/C254)</f>
        <v>7.435569978086283E-2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5">
      <c r="A255" s="428">
        <v>9</v>
      </c>
      <c r="B255" s="447" t="s">
        <v>655</v>
      </c>
      <c r="C255" s="441">
        <f>C189+C204</f>
        <v>43289441</v>
      </c>
      <c r="D255" s="441">
        <f>LN_IF24</f>
        <v>48381879</v>
      </c>
      <c r="E255" s="441">
        <f>D255-C255</f>
        <v>5092438</v>
      </c>
      <c r="F255" s="449">
        <f>IF(C255=0,0,E255/C255)</f>
        <v>0.11763695447118386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5">
      <c r="A256" s="428">
        <v>10</v>
      </c>
      <c r="B256" s="447" t="s">
        <v>719</v>
      </c>
      <c r="C256" s="441">
        <f>C254*C313</f>
        <v>82098048.787171677</v>
      </c>
      <c r="D256" s="441">
        <f>LN_IH8*LN_III10</f>
        <v>87811715.973126993</v>
      </c>
      <c r="E256" s="441">
        <f>D256-C256</f>
        <v>5713667.1859553158</v>
      </c>
      <c r="F256" s="449">
        <f>IF(C256=0,0,E256/C256)</f>
        <v>6.9595651423668317E-2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5">
      <c r="A257" s="428">
        <v>11</v>
      </c>
      <c r="B257" s="452" t="s">
        <v>720</v>
      </c>
      <c r="C257" s="441">
        <f>C256-C255</f>
        <v>38808607.787171677</v>
      </c>
      <c r="D257" s="441">
        <f>LN_IH10-LN_IH9</f>
        <v>39429836.973126993</v>
      </c>
      <c r="E257" s="441">
        <f>D257-C257</f>
        <v>621229.18595531583</v>
      </c>
      <c r="F257" s="449">
        <f>IF(C257=0,0,E257/C257)</f>
        <v>1.6007510224591601E-2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3">
      <c r="A258" s="436" t="s">
        <v>44</v>
      </c>
      <c r="B258" s="437" t="s">
        <v>721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5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3">
      <c r="A260" s="419" t="s">
        <v>14</v>
      </c>
      <c r="B260" s="446" t="s">
        <v>722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5">
      <c r="A261" s="428">
        <v>1</v>
      </c>
      <c r="B261" s="447" t="s">
        <v>465</v>
      </c>
      <c r="C261" s="448">
        <f>C15+C42+C188+C221</f>
        <v>689391368</v>
      </c>
      <c r="D261" s="448">
        <f>LN_IA1+LN_IB1+LN_IF1+LN_IG1</f>
        <v>716909116</v>
      </c>
      <c r="E261" s="448">
        <f t="shared" ref="E261:E274" si="26">D261-C261</f>
        <v>27517748</v>
      </c>
      <c r="F261" s="503">
        <f t="shared" ref="F261:F274" si="27">IF(C261=0,0,E261/C261)</f>
        <v>3.9916003125818077E-2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5">
      <c r="A262" s="451">
        <v>2</v>
      </c>
      <c r="B262" s="447" t="s">
        <v>466</v>
      </c>
      <c r="C262" s="448">
        <f>C16+C43+C189+C222</f>
        <v>251855655</v>
      </c>
      <c r="D262" s="448">
        <f>+LN_IA2+LN_IB2+LN_IF2+LN_IG2</f>
        <v>257789618</v>
      </c>
      <c r="E262" s="448">
        <f t="shared" si="26"/>
        <v>5933963</v>
      </c>
      <c r="F262" s="503">
        <f t="shared" si="27"/>
        <v>2.356096788853123E-2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5">
      <c r="A263" s="451">
        <v>3</v>
      </c>
      <c r="B263" s="452" t="s">
        <v>723</v>
      </c>
      <c r="C263" s="453">
        <f>IF(C261=0,0,C262/C261)</f>
        <v>0.36533044463649272</v>
      </c>
      <c r="D263" s="453">
        <f>IF(LN_IIA1=0,0,LN_IIA2/LN_IIA1)</f>
        <v>0.35958479568280449</v>
      </c>
      <c r="E263" s="454">
        <f t="shared" si="26"/>
        <v>-5.7456489536882316E-3</v>
      </c>
      <c r="F263" s="458">
        <f t="shared" si="27"/>
        <v>-1.572726565234717E-2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5">
      <c r="A264" s="451">
        <v>4</v>
      </c>
      <c r="B264" s="447" t="s">
        <v>138</v>
      </c>
      <c r="C264" s="456">
        <f>C18+C45+C191+C224</f>
        <v>20558</v>
      </c>
      <c r="D264" s="456">
        <f>LN_IA4+LN_IB4+LN_IF4+LN_IG3</f>
        <v>21011</v>
      </c>
      <c r="E264" s="456">
        <f t="shared" si="26"/>
        <v>453</v>
      </c>
      <c r="F264" s="503">
        <f t="shared" si="27"/>
        <v>2.203521743360249E-2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5">
      <c r="A265" s="451">
        <v>5</v>
      </c>
      <c r="B265" s="447" t="s">
        <v>724</v>
      </c>
      <c r="C265" s="525">
        <f>IF(C264=0,0,C266/C264)</f>
        <v>1.3747306060900866</v>
      </c>
      <c r="D265" s="525">
        <f>IF(LN_IIA4=0,0,LN_IIA6/LN_IIA4)</f>
        <v>1.3806381466850697</v>
      </c>
      <c r="E265" s="525">
        <f t="shared" si="26"/>
        <v>5.9075405949831072E-3</v>
      </c>
      <c r="F265" s="503">
        <f t="shared" si="27"/>
        <v>4.2972350865053662E-3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5">
      <c r="A266" s="451">
        <v>6</v>
      </c>
      <c r="B266" s="447" t="s">
        <v>725</v>
      </c>
      <c r="C266" s="463">
        <f>C20+C47+C193+C226</f>
        <v>28261.711800000001</v>
      </c>
      <c r="D266" s="463">
        <f>LN_IA6+LN_IB6+LN_IF6+LN_IG5</f>
        <v>29008.588099999997</v>
      </c>
      <c r="E266" s="463">
        <f t="shared" si="26"/>
        <v>746.87629999999626</v>
      </c>
      <c r="F266" s="503">
        <f t="shared" si="27"/>
        <v>2.6427143029602199E-2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5">
      <c r="A267" s="451">
        <v>7</v>
      </c>
      <c r="B267" s="447" t="s">
        <v>467</v>
      </c>
      <c r="C267" s="448">
        <f>C27+C56+C203+C233</f>
        <v>854935888</v>
      </c>
      <c r="D267" s="448">
        <f>LN_IA11+LN_IB13+LN_IF14+LN_IG9</f>
        <v>917905847</v>
      </c>
      <c r="E267" s="448">
        <f t="shared" si="26"/>
        <v>62969959</v>
      </c>
      <c r="F267" s="503">
        <f t="shared" si="27"/>
        <v>7.3654597828743854E-2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5">
      <c r="A268" s="451">
        <v>8</v>
      </c>
      <c r="B268" s="452" t="s">
        <v>650</v>
      </c>
      <c r="C268" s="453">
        <f>IF(C261=0,0,C267/C261)</f>
        <v>1.2401314082017922</v>
      </c>
      <c r="D268" s="453">
        <f>IF(LN_IIA1=0,0,LN_IIA7/LN_IIA1)</f>
        <v>1.2803657067739114</v>
      </c>
      <c r="E268" s="454">
        <f t="shared" si="26"/>
        <v>4.0234298572119132E-2</v>
      </c>
      <c r="F268" s="458">
        <f t="shared" si="27"/>
        <v>3.2443576790349517E-2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5">
      <c r="A269" s="451">
        <v>9</v>
      </c>
      <c r="B269" s="447" t="s">
        <v>468</v>
      </c>
      <c r="C269" s="448">
        <f>C28+C57+C204+C234</f>
        <v>344988045</v>
      </c>
      <c r="D269" s="448">
        <f>LN_IA12+LN_IB14+LN_IF15+LN_IG10</f>
        <v>363837807</v>
      </c>
      <c r="E269" s="448">
        <f t="shared" si="26"/>
        <v>18849762</v>
      </c>
      <c r="F269" s="503">
        <f t="shared" si="27"/>
        <v>5.4638884660481495E-2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5">
      <c r="A270" s="451">
        <v>10</v>
      </c>
      <c r="B270" s="452" t="s">
        <v>649</v>
      </c>
      <c r="C270" s="453">
        <f>IF(C267=0,0,C269/C267)</f>
        <v>0.40352504771679443</v>
      </c>
      <c r="D270" s="453">
        <f>IF(LN_IIA7=0,0,LN_IIA9/LN_IIA7)</f>
        <v>0.39637813419441048</v>
      </c>
      <c r="E270" s="454">
        <f t="shared" si="26"/>
        <v>-7.1469135223839464E-3</v>
      </c>
      <c r="F270" s="458">
        <f t="shared" si="27"/>
        <v>-1.7711201727928071E-2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5">
      <c r="A271" s="451">
        <v>11</v>
      </c>
      <c r="B271" s="447" t="s">
        <v>726</v>
      </c>
      <c r="C271" s="441">
        <f>C261+C267</f>
        <v>1544327256</v>
      </c>
      <c r="D271" s="441">
        <f>LN_IIA1+LN_IIA7</f>
        <v>1634814963</v>
      </c>
      <c r="E271" s="441">
        <f t="shared" si="26"/>
        <v>90487707</v>
      </c>
      <c r="F271" s="503">
        <f t="shared" si="27"/>
        <v>5.8593608737033127E-2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5">
      <c r="A272" s="451">
        <v>12</v>
      </c>
      <c r="B272" s="447" t="s">
        <v>727</v>
      </c>
      <c r="C272" s="441">
        <f>C262+C269</f>
        <v>596843700</v>
      </c>
      <c r="D272" s="441">
        <f>LN_IIA2+LN_IIA9</f>
        <v>621627425</v>
      </c>
      <c r="E272" s="441">
        <f t="shared" si="26"/>
        <v>24783725</v>
      </c>
      <c r="F272" s="503">
        <f t="shared" si="27"/>
        <v>4.1524648748072567E-2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5">
      <c r="A273" s="451">
        <v>13</v>
      </c>
      <c r="B273" s="452" t="s">
        <v>728</v>
      </c>
      <c r="C273" s="453">
        <f>IF(C271=0,0,C272/C271)</f>
        <v>0.38647488586447637</v>
      </c>
      <c r="D273" s="453">
        <f>IF(LN_IIA11=0,0,LN_IIA12/LN_IIA11)</f>
        <v>0.3802432930141954</v>
      </c>
      <c r="E273" s="454">
        <f t="shared" si="26"/>
        <v>-6.2315928502809648E-3</v>
      </c>
      <c r="F273" s="458">
        <f t="shared" si="27"/>
        <v>-1.6124185757483277E-2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5">
      <c r="A274" s="451">
        <v>14</v>
      </c>
      <c r="B274" s="447" t="s">
        <v>139</v>
      </c>
      <c r="C274" s="508">
        <f>C22+C51+C198+C228</f>
        <v>103461</v>
      </c>
      <c r="D274" s="508">
        <f>LN_IA8+LN_IB10+LN_IF11+LN_IG6</f>
        <v>96624</v>
      </c>
      <c r="E274" s="528">
        <f t="shared" si="26"/>
        <v>-6837</v>
      </c>
      <c r="F274" s="458">
        <f t="shared" si="27"/>
        <v>-6.6082871806767765E-2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5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3">
      <c r="A276" s="419" t="s">
        <v>26</v>
      </c>
      <c r="B276" s="446" t="s">
        <v>729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5">
      <c r="A277" s="428">
        <v>1</v>
      </c>
      <c r="B277" s="447" t="s">
        <v>730</v>
      </c>
      <c r="C277" s="448">
        <f>C15+C188+C221</f>
        <v>487270777</v>
      </c>
      <c r="D277" s="448">
        <f>LN_IA1+LN_IF1+LN_IG1</f>
        <v>500333214</v>
      </c>
      <c r="E277" s="448">
        <f t="shared" ref="E277:E291" si="28">D277-C277</f>
        <v>13062437</v>
      </c>
      <c r="F277" s="503">
        <f t="shared" ref="F277:F291" si="29">IF(C277=0,0,E277/C277)</f>
        <v>2.6807347406347742E-2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5">
      <c r="A278" s="451">
        <v>2</v>
      </c>
      <c r="B278" s="447" t="s">
        <v>731</v>
      </c>
      <c r="C278" s="448">
        <f>C16+C189+C222</f>
        <v>140679061</v>
      </c>
      <c r="D278" s="448">
        <f>LN_IA2+LN_IF2+LN_IG2</f>
        <v>140569288</v>
      </c>
      <c r="E278" s="448">
        <f t="shared" si="28"/>
        <v>-109773</v>
      </c>
      <c r="F278" s="503">
        <f t="shared" si="29"/>
        <v>-7.8030802323879604E-4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5">
      <c r="A279" s="451">
        <v>3</v>
      </c>
      <c r="B279" s="452" t="s">
        <v>732</v>
      </c>
      <c r="C279" s="453">
        <f>IF(C277=0,0,C278/C277)</f>
        <v>0.28870818370460166</v>
      </c>
      <c r="D279" s="453">
        <f>IF(D277=0,0,LN_IIB2/D277)</f>
        <v>0.28095134215894768</v>
      </c>
      <c r="E279" s="454">
        <f t="shared" si="28"/>
        <v>-7.7568415456539808E-3</v>
      </c>
      <c r="F279" s="458">
        <f t="shared" si="29"/>
        <v>-2.6867411398322431E-2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5">
      <c r="A280" s="451">
        <v>4</v>
      </c>
      <c r="B280" s="447" t="s">
        <v>733</v>
      </c>
      <c r="C280" s="456">
        <f>C18+C191+C224</f>
        <v>13651</v>
      </c>
      <c r="D280" s="456">
        <f>LN_IA4+LN_IF4+LN_IG3</f>
        <v>13948</v>
      </c>
      <c r="E280" s="456">
        <f t="shared" si="28"/>
        <v>297</v>
      </c>
      <c r="F280" s="503">
        <f t="shared" si="29"/>
        <v>2.1756647864625302E-2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5">
      <c r="A281" s="451">
        <v>5</v>
      </c>
      <c r="B281" s="447" t="s">
        <v>734</v>
      </c>
      <c r="C281" s="525">
        <f>IF(C280=0,0,C282/C280)</f>
        <v>1.4237240128928284</v>
      </c>
      <c r="D281" s="525">
        <f>IF(LN_IIB4=0,0,LN_IIB6/LN_IIB4)</f>
        <v>1.4282066246056782</v>
      </c>
      <c r="E281" s="525">
        <f t="shared" si="28"/>
        <v>4.4826117128498044E-3</v>
      </c>
      <c r="F281" s="503">
        <f t="shared" si="29"/>
        <v>3.1485117004816827E-3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5">
      <c r="A282" s="451">
        <v>6</v>
      </c>
      <c r="B282" s="447" t="s">
        <v>735</v>
      </c>
      <c r="C282" s="463">
        <f>C20+C193+C226</f>
        <v>19435.2565</v>
      </c>
      <c r="D282" s="463">
        <f>LN_IA6+LN_IF6+LN_IG5</f>
        <v>19920.626</v>
      </c>
      <c r="E282" s="463">
        <f t="shared" si="28"/>
        <v>485.3695000000007</v>
      </c>
      <c r="F282" s="503">
        <f t="shared" si="29"/>
        <v>2.4973660625472099E-2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5">
      <c r="A283" s="451">
        <v>7</v>
      </c>
      <c r="B283" s="447" t="s">
        <v>736</v>
      </c>
      <c r="C283" s="448">
        <f>C27+C203+C233</f>
        <v>445526927</v>
      </c>
      <c r="D283" s="448">
        <f>LN_IA11+LN_IF14+LN_IG9</f>
        <v>478595046</v>
      </c>
      <c r="E283" s="448">
        <f t="shared" si="28"/>
        <v>33068119</v>
      </c>
      <c r="F283" s="503">
        <f t="shared" si="29"/>
        <v>7.4222492504925519E-2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5">
      <c r="A284" s="451">
        <v>8</v>
      </c>
      <c r="B284" s="447" t="s">
        <v>737</v>
      </c>
      <c r="C284" s="453">
        <f>IF(C277=0,0,C283/C277)</f>
        <v>0.91433130823685738</v>
      </c>
      <c r="D284" s="453">
        <f>IF(D277=0,0,LN_IIB7/D277)</f>
        <v>0.95655261855152396</v>
      </c>
      <c r="E284" s="454">
        <f t="shared" si="28"/>
        <v>4.2221310314666582E-2</v>
      </c>
      <c r="F284" s="458">
        <f t="shared" si="29"/>
        <v>4.6177255371560741E-2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5">
      <c r="A285" s="451">
        <v>9</v>
      </c>
      <c r="B285" s="447" t="s">
        <v>738</v>
      </c>
      <c r="C285" s="448">
        <f>C28+C204+C234</f>
        <v>124725725</v>
      </c>
      <c r="D285" s="448">
        <f>LN_IA12+LN_IF15+LN_IG10</f>
        <v>131323438</v>
      </c>
      <c r="E285" s="448">
        <f t="shared" si="28"/>
        <v>6597713</v>
      </c>
      <c r="F285" s="503">
        <f t="shared" si="29"/>
        <v>5.2897772291963026E-2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5">
      <c r="A286" s="451">
        <v>10</v>
      </c>
      <c r="B286" s="447" t="s">
        <v>739</v>
      </c>
      <c r="C286" s="453">
        <f>IF(C283=0,0,C285/C283)</f>
        <v>0.27995103649481551</v>
      </c>
      <c r="D286" s="453">
        <f>IF(LN_IIB7=0,0,LN_IIB9/LN_IIB7)</f>
        <v>0.2743936425952892</v>
      </c>
      <c r="E286" s="454">
        <f t="shared" si="28"/>
        <v>-5.5573938995263084E-3</v>
      </c>
      <c r="F286" s="458">
        <f t="shared" si="29"/>
        <v>-1.9851306746739718E-2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5">
      <c r="A287" s="451">
        <v>11</v>
      </c>
      <c r="B287" s="452" t="s">
        <v>740</v>
      </c>
      <c r="C287" s="441">
        <f>C277+C283</f>
        <v>932797704</v>
      </c>
      <c r="D287" s="441">
        <f>D277+LN_IIB7</f>
        <v>978928260</v>
      </c>
      <c r="E287" s="441">
        <f t="shared" si="28"/>
        <v>46130556</v>
      </c>
      <c r="F287" s="503">
        <f t="shared" si="29"/>
        <v>4.9453976786375108E-2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5">
      <c r="A288" s="451">
        <v>12</v>
      </c>
      <c r="B288" s="452" t="s">
        <v>741</v>
      </c>
      <c r="C288" s="441">
        <f>C278+C285</f>
        <v>265404786</v>
      </c>
      <c r="D288" s="441">
        <f>LN_IIB2+LN_IIB9</f>
        <v>271892726</v>
      </c>
      <c r="E288" s="441">
        <f t="shared" si="28"/>
        <v>6487940</v>
      </c>
      <c r="F288" s="503">
        <f t="shared" si="29"/>
        <v>2.4445452163021658E-2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5">
      <c r="A289" s="451">
        <v>13</v>
      </c>
      <c r="B289" s="452" t="s">
        <v>742</v>
      </c>
      <c r="C289" s="453">
        <f>IF(C287=0,0,C288/C287)</f>
        <v>0.28452555667954343</v>
      </c>
      <c r="D289" s="453">
        <f>IF(LN_IIB11=0,0,LN_IIB12/LN_IIB11)</f>
        <v>0.27774530280696974</v>
      </c>
      <c r="E289" s="454">
        <f t="shared" si="28"/>
        <v>-6.7802538725736938E-3</v>
      </c>
      <c r="F289" s="458">
        <f t="shared" si="29"/>
        <v>-2.3830034643285786E-2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5">
      <c r="A290" s="428">
        <v>14</v>
      </c>
      <c r="B290" s="447" t="s">
        <v>139</v>
      </c>
      <c r="C290" s="508">
        <f>C22+C198+C228</f>
        <v>76075</v>
      </c>
      <c r="D290" s="508">
        <f>LN_IA8+LN_IF11+LN_IG6</f>
        <v>69170</v>
      </c>
      <c r="E290" s="528">
        <f t="shared" si="28"/>
        <v>-6905</v>
      </c>
      <c r="F290" s="458">
        <f t="shared" si="29"/>
        <v>-9.0765691751560962E-2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5">
      <c r="A291" s="428">
        <v>15</v>
      </c>
      <c r="B291" s="445" t="s">
        <v>743</v>
      </c>
      <c r="C291" s="448">
        <f>C287-C288</f>
        <v>667392918</v>
      </c>
      <c r="D291" s="516">
        <f>LN_IIB11-LN_IIB12</f>
        <v>707035534</v>
      </c>
      <c r="E291" s="441">
        <f t="shared" si="28"/>
        <v>39642616</v>
      </c>
      <c r="F291" s="503">
        <f t="shared" si="29"/>
        <v>5.939921586042362E-2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5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3">
      <c r="A293" s="419" t="s">
        <v>36</v>
      </c>
      <c r="B293" s="470" t="s">
        <v>645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5">
      <c r="A294" s="428">
        <v>1</v>
      </c>
      <c r="B294" s="452" t="s">
        <v>636</v>
      </c>
      <c r="C294" s="466">
        <f>IF(C18=0,0,C22/C18)</f>
        <v>5.945768118831622</v>
      </c>
      <c r="D294" s="466">
        <f>IF(LN_IA4=0,0,LN_IA8/LN_IA4)</f>
        <v>5.1373626373626378</v>
      </c>
      <c r="E294" s="466">
        <f t="shared" ref="E294:E300" si="30">D294-C294</f>
        <v>-0.80840548146898428</v>
      </c>
      <c r="F294" s="503">
        <f t="shared" ref="F294:F300" si="31">IF(C294=0,0,E294/C294)</f>
        <v>-0.13596316999120386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5">
      <c r="A295" s="451">
        <v>2</v>
      </c>
      <c r="B295" s="452" t="s">
        <v>657</v>
      </c>
      <c r="C295" s="466">
        <f>IF(C45=0,0,C51/C45)</f>
        <v>3.9649630809323875</v>
      </c>
      <c r="D295" s="466">
        <f>IF(LN_IB4=0,0,(LN_IB10)/(LN_IB4))</f>
        <v>3.8870168483647176</v>
      </c>
      <c r="E295" s="466">
        <f t="shared" si="30"/>
        <v>-7.794623256766986E-2</v>
      </c>
      <c r="F295" s="503">
        <f t="shared" si="31"/>
        <v>-1.9658753682352141E-2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5">
      <c r="A296" s="451">
        <v>3</v>
      </c>
      <c r="B296" s="452" t="s">
        <v>672</v>
      </c>
      <c r="C296" s="466">
        <f>IF(C86=0,0,C93/C86)</f>
        <v>4.1405228758169939</v>
      </c>
      <c r="D296" s="466">
        <f>IF(LN_IC4=0,0,LN_IC11/LN_IC4)</f>
        <v>3.834862385321101</v>
      </c>
      <c r="E296" s="466">
        <f t="shared" si="30"/>
        <v>-0.30566049049589283</v>
      </c>
      <c r="F296" s="503">
        <f t="shared" si="31"/>
        <v>-7.3821712779592111E-2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5">
      <c r="A297" s="451">
        <v>4</v>
      </c>
      <c r="B297" s="452" t="s">
        <v>115</v>
      </c>
      <c r="C297" s="466">
        <f>IF(C121=0,0,C128/C121)</f>
        <v>4.5342970521541952</v>
      </c>
      <c r="D297" s="466">
        <f>IF(LN_ID4=0,0,LN_ID11/LN_ID4)</f>
        <v>4.5002729257641922</v>
      </c>
      <c r="E297" s="466">
        <f t="shared" si="30"/>
        <v>-3.4024126390002962E-2</v>
      </c>
      <c r="F297" s="503">
        <f t="shared" si="31"/>
        <v>-7.5037268177739853E-3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5">
      <c r="A298" s="451">
        <v>5</v>
      </c>
      <c r="B298" s="452" t="s">
        <v>744</v>
      </c>
      <c r="C298" s="466">
        <f>IF(C156=0,0,C163/C156)</f>
        <v>5.5151515151515156</v>
      </c>
      <c r="D298" s="466">
        <f>IF(LN_IE4=0,0,LN_IE11/LN_IE4)</f>
        <v>3.9508196721311477</v>
      </c>
      <c r="E298" s="466">
        <f t="shared" si="30"/>
        <v>-1.5643318430203679</v>
      </c>
      <c r="F298" s="503">
        <f t="shared" si="31"/>
        <v>-0.28364258692127547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5">
      <c r="A299" s="451">
        <v>6</v>
      </c>
      <c r="B299" s="447" t="s">
        <v>424</v>
      </c>
      <c r="C299" s="466">
        <f>IF(C224=0,0,C228/C224)</f>
        <v>2.7692307692307692</v>
      </c>
      <c r="D299" s="466">
        <f>IF(LN_IG3=0,0,LN_IG6/LN_IG3)</f>
        <v>2.5806451612903225</v>
      </c>
      <c r="E299" s="466">
        <f t="shared" si="30"/>
        <v>-0.18858560794044665</v>
      </c>
      <c r="F299" s="503">
        <f t="shared" si="31"/>
        <v>-6.8100358422939072E-2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5">
      <c r="A300" s="451">
        <v>7</v>
      </c>
      <c r="B300" s="452" t="s">
        <v>745</v>
      </c>
      <c r="C300" s="466">
        <f>IF(C264=0,0,C274/C264)</f>
        <v>5.0326393618056233</v>
      </c>
      <c r="D300" s="466">
        <f>IF(LN_IIA4=0,0,LN_IIA14/LN_IIA4)</f>
        <v>4.5987339964780354</v>
      </c>
      <c r="E300" s="466">
        <f t="shared" si="30"/>
        <v>-0.43390536532758794</v>
      </c>
      <c r="F300" s="503">
        <f t="shared" si="31"/>
        <v>-8.6218251325664283E-2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5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3">
      <c r="A302" s="419" t="s">
        <v>135</v>
      </c>
      <c r="B302" s="530" t="s">
        <v>746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3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5">
      <c r="A304" s="428">
        <v>1</v>
      </c>
      <c r="B304" s="452" t="s">
        <v>740</v>
      </c>
      <c r="C304" s="441">
        <f>C35+C66+C214+C221+C233</f>
        <v>1544327256</v>
      </c>
      <c r="D304" s="441">
        <f>LN_IIA11</f>
        <v>1634814963</v>
      </c>
      <c r="E304" s="441">
        <f t="shared" ref="E304:E316" si="32">D304-C304</f>
        <v>90487707</v>
      </c>
      <c r="F304" s="449">
        <f>IF(C304=0,0,E304/C304)</f>
        <v>5.8593608737033127E-2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5">
      <c r="A305" s="451">
        <v>2</v>
      </c>
      <c r="B305" s="445" t="s">
        <v>743</v>
      </c>
      <c r="C305" s="441">
        <f>C291</f>
        <v>667392918</v>
      </c>
      <c r="D305" s="441">
        <f>LN_IIB14</f>
        <v>707035534</v>
      </c>
      <c r="E305" s="441">
        <f t="shared" si="32"/>
        <v>39642616</v>
      </c>
      <c r="F305" s="449">
        <f>IF(C305=0,0,E305/C305)</f>
        <v>5.939921586042362E-2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5">
      <c r="A306" s="451">
        <v>3</v>
      </c>
      <c r="B306" s="447" t="s">
        <v>747</v>
      </c>
      <c r="C306" s="441">
        <f>C250</f>
        <v>37429255</v>
      </c>
      <c r="D306" s="441">
        <f>LN_IH6</f>
        <v>37090823</v>
      </c>
      <c r="E306" s="441">
        <f t="shared" si="32"/>
        <v>-338432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5">
      <c r="A307" s="451">
        <v>4</v>
      </c>
      <c r="B307" s="447" t="s">
        <v>748</v>
      </c>
      <c r="C307" s="441">
        <f>C73-C74</f>
        <v>222989078</v>
      </c>
      <c r="D307" s="441">
        <f>LN_IB32-LN_IB33</f>
        <v>239436257</v>
      </c>
      <c r="E307" s="441">
        <f t="shared" si="32"/>
        <v>16447179</v>
      </c>
      <c r="F307" s="449">
        <f t="shared" ref="F307:F316" si="33">IF(C307=0,0,E307/C307)</f>
        <v>7.3757778396662102E-2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5">
      <c r="A308" s="451">
        <v>5</v>
      </c>
      <c r="B308" s="447" t="s">
        <v>749</v>
      </c>
      <c r="C308" s="441">
        <v>20378593</v>
      </c>
      <c r="D308" s="441">
        <v>22981106</v>
      </c>
      <c r="E308" s="441">
        <f t="shared" si="32"/>
        <v>2602513</v>
      </c>
      <c r="F308" s="449">
        <f t="shared" si="33"/>
        <v>0.12770817887181907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5">
      <c r="A309" s="451">
        <v>6</v>
      </c>
      <c r="B309" s="445" t="s">
        <v>750</v>
      </c>
      <c r="C309" s="441">
        <f>C305+C307+C308+C306</f>
        <v>948189844</v>
      </c>
      <c r="D309" s="441">
        <f>LN_III2+LN_III3+LN_III4+LN_III5</f>
        <v>1006543720</v>
      </c>
      <c r="E309" s="441">
        <f t="shared" si="32"/>
        <v>58353876</v>
      </c>
      <c r="F309" s="449">
        <f t="shared" si="33"/>
        <v>6.1542397199521155E-2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5">
      <c r="A310" s="451">
        <v>7</v>
      </c>
      <c r="B310" s="445" t="s">
        <v>751</v>
      </c>
      <c r="C310" s="441">
        <f>C304-C309</f>
        <v>596137412</v>
      </c>
      <c r="D310" s="441">
        <f>LN_III1-LN_III6</f>
        <v>628271243</v>
      </c>
      <c r="E310" s="441">
        <f t="shared" si="32"/>
        <v>32133831</v>
      </c>
      <c r="F310" s="449">
        <f t="shared" si="33"/>
        <v>5.3903396017695331E-2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5">
      <c r="A311" s="451">
        <v>8</v>
      </c>
      <c r="B311" s="447" t="s">
        <v>752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5">
      <c r="A312" s="451">
        <v>9</v>
      </c>
      <c r="B312" s="452" t="s">
        <v>753</v>
      </c>
      <c r="C312" s="441">
        <f>C310+C311</f>
        <v>596137412</v>
      </c>
      <c r="D312" s="441">
        <f>LN_III7+LN_III8</f>
        <v>628271243</v>
      </c>
      <c r="E312" s="441">
        <f t="shared" si="32"/>
        <v>32133831</v>
      </c>
      <c r="F312" s="449">
        <f t="shared" si="33"/>
        <v>5.3903396017695331E-2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5">
      <c r="A313" s="451">
        <v>10</v>
      </c>
      <c r="B313" s="447" t="s">
        <v>754</v>
      </c>
      <c r="C313" s="532">
        <f>IF(C304=0,0,C312/C304)</f>
        <v>0.38601754238545927</v>
      </c>
      <c r="D313" s="532">
        <f>IF(LN_III1=0,0,LN_III9/LN_III1)</f>
        <v>0.38430725019000206</v>
      </c>
      <c r="E313" s="532">
        <f t="shared" si="32"/>
        <v>-1.7102921954572081E-3</v>
      </c>
      <c r="F313" s="449">
        <f t="shared" si="33"/>
        <v>-4.430607440501731E-3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5">
      <c r="A314" s="428">
        <v>11</v>
      </c>
      <c r="B314" s="447" t="s">
        <v>717</v>
      </c>
      <c r="C314" s="441">
        <f>C306*C313</f>
        <v>14448349.028418664</v>
      </c>
      <c r="D314" s="441">
        <f>D313*LN_III5</f>
        <v>14254272.194414083</v>
      </c>
      <c r="E314" s="441">
        <f t="shared" si="32"/>
        <v>-194076.83400458097</v>
      </c>
      <c r="F314" s="449">
        <f t="shared" si="33"/>
        <v>-1.343245748167133E-2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5">
      <c r="A315" s="428">
        <v>12</v>
      </c>
      <c r="B315" s="452" t="s">
        <v>720</v>
      </c>
      <c r="C315" s="441">
        <f>(C214*C313)-C215</f>
        <v>38808607.787171677</v>
      </c>
      <c r="D315" s="441">
        <f>D313*LN_IH8-LN_IH9</f>
        <v>39429836.973126993</v>
      </c>
      <c r="E315" s="441">
        <f t="shared" si="32"/>
        <v>621229.18595531583</v>
      </c>
      <c r="F315" s="449">
        <f t="shared" si="33"/>
        <v>1.6007510224591601E-2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5">
      <c r="A316" s="428">
        <v>13</v>
      </c>
      <c r="B316" s="447" t="s">
        <v>755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3">
      <c r="A317" s="428">
        <v>14</v>
      </c>
      <c r="B317" s="447" t="s">
        <v>756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5">
      <c r="A318" s="428"/>
      <c r="B318" s="447" t="s">
        <v>757</v>
      </c>
      <c r="C318" s="441">
        <f>C314+C315+C316</f>
        <v>53256956.815590337</v>
      </c>
      <c r="D318" s="441">
        <f>D314+D315+D316</f>
        <v>53684109.167541072</v>
      </c>
      <c r="E318" s="441">
        <f>D318-C318</f>
        <v>427152.35195073485</v>
      </c>
      <c r="F318" s="449">
        <f>IF(C318=0,0,E318/C318)</f>
        <v>8.0205925665225233E-3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5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3">
      <c r="A320" s="419" t="s">
        <v>143</v>
      </c>
      <c r="B320" s="537" t="s">
        <v>758</v>
      </c>
      <c r="C320" s="420"/>
      <c r="D320" s="420"/>
      <c r="E320" s="420"/>
      <c r="F320" s="420"/>
      <c r="Q320" s="421"/>
      <c r="U320" s="438"/>
    </row>
    <row r="321" spans="1:22" ht="15.75" customHeight="1" x14ac:dyDescent="0.3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5">
      <c r="A322" s="451">
        <v>1</v>
      </c>
      <c r="B322" s="445" t="s">
        <v>115</v>
      </c>
      <c r="C322" s="441">
        <f>C141</f>
        <v>32450307.360940602</v>
      </c>
      <c r="D322" s="441">
        <f>LN_ID22</f>
        <v>28830354.294755507</v>
      </c>
      <c r="E322" s="441">
        <f>LN_IV2-C322</f>
        <v>-3619953.0661850944</v>
      </c>
      <c r="F322" s="449">
        <f>IF(C322=0,0,E322/C322)</f>
        <v>-0.11155373740904273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5">
      <c r="A323" s="451">
        <v>2</v>
      </c>
      <c r="B323" s="445" t="s">
        <v>744</v>
      </c>
      <c r="C323" s="441">
        <f>C162+C176</f>
        <v>388391.0015775527</v>
      </c>
      <c r="D323" s="441">
        <f>LN_IE10+LN_IE22</f>
        <v>860452.72564725485</v>
      </c>
      <c r="E323" s="441">
        <f>LN_IV3-C323</f>
        <v>472061.72406970215</v>
      </c>
      <c r="F323" s="449">
        <f>IF(C323=0,0,E323/C323)</f>
        <v>1.2154290963289538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5">
      <c r="A324" s="428">
        <v>3</v>
      </c>
      <c r="B324" s="538" t="s">
        <v>759</v>
      </c>
      <c r="C324" s="441">
        <f>C92+C106</f>
        <v>4952253.5698666424</v>
      </c>
      <c r="D324" s="441">
        <f>LN_IC10+LN_IC22</f>
        <v>7360926.1571224695</v>
      </c>
      <c r="E324" s="441">
        <f>LN_IV1-C324</f>
        <v>2408672.5872558272</v>
      </c>
      <c r="F324" s="449">
        <f>IF(C324=0,0,E324/C324)</f>
        <v>0.48637909050377837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5">
      <c r="A325" s="451">
        <v>4</v>
      </c>
      <c r="B325" s="539" t="s">
        <v>760</v>
      </c>
      <c r="C325" s="516">
        <f>C324+C322+C323</f>
        <v>37790951.932384804</v>
      </c>
      <c r="D325" s="516">
        <f>LN_IV1+LN_IV2+LN_IV3</f>
        <v>37051733.17752523</v>
      </c>
      <c r="E325" s="441">
        <f>LN_IV4-C325</f>
        <v>-739218.75485957414</v>
      </c>
      <c r="F325" s="449">
        <f>IF(C325=0,0,E325/C325)</f>
        <v>-1.9560733907475446E-2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3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3">
      <c r="A327" s="419" t="s">
        <v>761</v>
      </c>
      <c r="B327" s="530" t="s">
        <v>762</v>
      </c>
      <c r="F327" s="427"/>
    </row>
    <row r="328" spans="1:22" s="420" customFormat="1" ht="15.75" customHeight="1" x14ac:dyDescent="0.3">
      <c r="A328" s="436"/>
      <c r="B328" s="470"/>
      <c r="F328" s="427"/>
    </row>
    <row r="329" spans="1:22" s="420" customFormat="1" ht="15.75" customHeight="1" x14ac:dyDescent="0.25">
      <c r="A329" s="451">
        <v>1</v>
      </c>
      <c r="B329" s="447" t="s">
        <v>763</v>
      </c>
      <c r="C329" s="518">
        <v>33602226</v>
      </c>
      <c r="D329" s="518">
        <v>37228342</v>
      </c>
      <c r="E329" s="518">
        <f t="shared" ref="E329:E335" si="34">D329-C329</f>
        <v>3626116</v>
      </c>
      <c r="F329" s="542">
        <f t="shared" ref="F329:F335" si="35">IF(C329=0,0,E329/C329)</f>
        <v>0.10791296981336891</v>
      </c>
    </row>
    <row r="330" spans="1:22" s="420" customFormat="1" ht="15.75" customHeight="1" x14ac:dyDescent="0.25">
      <c r="A330" s="451">
        <v>2</v>
      </c>
      <c r="B330" s="447" t="s">
        <v>764</v>
      </c>
      <c r="C330" s="516">
        <v>-3967700</v>
      </c>
      <c r="D330" s="516">
        <v>-413425</v>
      </c>
      <c r="E330" s="518">
        <f t="shared" si="34"/>
        <v>3554275</v>
      </c>
      <c r="F330" s="543">
        <f t="shared" si="35"/>
        <v>-0.89580235400861963</v>
      </c>
    </row>
    <row r="331" spans="1:22" s="420" customFormat="1" ht="15.75" customHeight="1" x14ac:dyDescent="0.25">
      <c r="A331" s="427">
        <v>3</v>
      </c>
      <c r="B331" s="447" t="s">
        <v>765</v>
      </c>
      <c r="C331" s="516">
        <v>592876000</v>
      </c>
      <c r="D331" s="516">
        <v>621214000</v>
      </c>
      <c r="E331" s="518">
        <f t="shared" si="34"/>
        <v>28338000</v>
      </c>
      <c r="F331" s="542">
        <f t="shared" si="35"/>
        <v>4.7797515838050454E-2</v>
      </c>
    </row>
    <row r="332" spans="1:22" s="420" customFormat="1" ht="27" customHeight="1" x14ac:dyDescent="0.25">
      <c r="A332" s="451">
        <v>4</v>
      </c>
      <c r="B332" s="447" t="s">
        <v>766</v>
      </c>
      <c r="C332" s="516">
        <v>0</v>
      </c>
      <c r="D332" s="516">
        <v>0</v>
      </c>
      <c r="E332" s="518">
        <f t="shared" si="34"/>
        <v>0</v>
      </c>
      <c r="F332" s="543">
        <f t="shared" si="35"/>
        <v>0</v>
      </c>
    </row>
    <row r="333" spans="1:22" s="420" customFormat="1" ht="15.75" customHeight="1" x14ac:dyDescent="0.25">
      <c r="A333" s="451">
        <v>5</v>
      </c>
      <c r="B333" s="447" t="s">
        <v>767</v>
      </c>
      <c r="C333" s="516">
        <v>1544327256</v>
      </c>
      <c r="D333" s="516">
        <v>1634815000</v>
      </c>
      <c r="E333" s="518">
        <f t="shared" si="34"/>
        <v>90487744</v>
      </c>
      <c r="F333" s="542">
        <f t="shared" si="35"/>
        <v>5.8593632695685585E-2</v>
      </c>
    </row>
    <row r="334" spans="1:22" s="420" customFormat="1" ht="15.75" customHeight="1" x14ac:dyDescent="0.25">
      <c r="A334" s="427">
        <v>6</v>
      </c>
      <c r="B334" s="447" t="s">
        <v>768</v>
      </c>
      <c r="C334" s="516">
        <v>0</v>
      </c>
      <c r="D334" s="516">
        <v>0</v>
      </c>
      <c r="E334" s="516">
        <f t="shared" si="34"/>
        <v>0</v>
      </c>
      <c r="F334" s="543">
        <f t="shared" si="35"/>
        <v>0</v>
      </c>
    </row>
    <row r="335" spans="1:22" s="420" customFormat="1" ht="15.75" customHeight="1" x14ac:dyDescent="0.25">
      <c r="A335" s="451">
        <v>7</v>
      </c>
      <c r="B335" s="447" t="s">
        <v>769</v>
      </c>
      <c r="C335" s="516">
        <v>37429255</v>
      </c>
      <c r="D335" s="516">
        <v>37090823</v>
      </c>
      <c r="E335" s="516">
        <f t="shared" si="34"/>
        <v>-338432</v>
      </c>
      <c r="F335" s="542">
        <f t="shared" si="35"/>
        <v>-9.0419112002095691E-3</v>
      </c>
    </row>
    <row r="336" spans="1:22" s="420" customFormat="1" ht="15.75" customHeight="1" x14ac:dyDescent="0.25">
      <c r="A336" s="544"/>
      <c r="B336" s="445"/>
      <c r="C336" s="438"/>
      <c r="F336" s="427"/>
    </row>
    <row r="337" spans="1:17" ht="15.75" customHeight="1" x14ac:dyDescent="0.25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5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5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5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5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5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5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5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5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5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5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5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5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5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5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5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5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5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5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5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5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5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5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3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5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5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5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5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5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5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5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3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5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5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5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5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3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5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5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5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5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5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5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5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5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3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5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3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5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5">
      <c r="B386" s="447"/>
      <c r="C386" s="538"/>
      <c r="D386" s="448"/>
      <c r="E386" s="448"/>
      <c r="F386" s="448"/>
    </row>
    <row r="387" spans="2:17" ht="15.75" customHeight="1" x14ac:dyDescent="0.25">
      <c r="B387" s="447"/>
      <c r="C387" s="541"/>
      <c r="D387" s="458"/>
      <c r="E387" s="458"/>
      <c r="F387" s="458"/>
    </row>
    <row r="388" spans="2:17" ht="15.75" customHeight="1" x14ac:dyDescent="0.25">
      <c r="B388" s="447"/>
      <c r="C388" s="553"/>
      <c r="D388" s="456"/>
      <c r="E388" s="456"/>
      <c r="F388" s="456"/>
    </row>
    <row r="389" spans="2:17" ht="15.75" customHeight="1" x14ac:dyDescent="0.25">
      <c r="B389" s="447"/>
      <c r="C389" s="550"/>
      <c r="D389" s="551"/>
      <c r="E389" s="551"/>
      <c r="F389" s="551"/>
    </row>
    <row r="390" spans="2:17" ht="15.75" customHeight="1" x14ac:dyDescent="0.25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5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5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5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5">
      <c r="B394" s="447"/>
      <c r="C394" s="553"/>
      <c r="D394" s="456"/>
      <c r="E394" s="456"/>
      <c r="F394" s="456"/>
    </row>
    <row r="395" spans="2:17" ht="15.75" customHeight="1" x14ac:dyDescent="0.25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5">
      <c r="B396" s="447"/>
      <c r="C396" s="565"/>
      <c r="D396" s="566"/>
      <c r="E396" s="566"/>
      <c r="F396" s="456"/>
      <c r="Q396" s="488"/>
    </row>
    <row r="397" spans="2:17" ht="15.75" customHeight="1" x14ac:dyDescent="0.25">
      <c r="B397" s="447"/>
      <c r="C397" s="538"/>
      <c r="D397" s="448"/>
      <c r="E397" s="448"/>
      <c r="F397" s="448"/>
    </row>
    <row r="398" spans="2:17" ht="15.75" customHeight="1" x14ac:dyDescent="0.3">
      <c r="B398" s="495"/>
      <c r="C398" s="557"/>
      <c r="D398" s="448"/>
      <c r="E398" s="448"/>
      <c r="F398" s="448"/>
    </row>
    <row r="399" spans="2:17" ht="15.75" customHeight="1" x14ac:dyDescent="0.25">
      <c r="B399" s="447"/>
      <c r="C399" s="538"/>
      <c r="D399" s="448"/>
      <c r="E399" s="448"/>
      <c r="F399" s="448"/>
    </row>
    <row r="400" spans="2:17" ht="15.75" customHeight="1" x14ac:dyDescent="0.25">
      <c r="B400" s="447"/>
      <c r="C400" s="538"/>
      <c r="D400" s="448"/>
      <c r="E400" s="448"/>
      <c r="F400" s="448"/>
    </row>
    <row r="401" spans="2:6" ht="15.75" customHeight="1" x14ac:dyDescent="0.25">
      <c r="B401" s="447"/>
      <c r="C401" s="567"/>
      <c r="D401" s="483"/>
      <c r="E401" s="483"/>
      <c r="F401" s="483"/>
    </row>
    <row r="402" spans="2:6" ht="15.75" customHeight="1" x14ac:dyDescent="0.25">
      <c r="B402" s="447"/>
      <c r="C402" s="541"/>
      <c r="D402" s="503"/>
      <c r="E402" s="503"/>
      <c r="F402" s="503"/>
    </row>
    <row r="403" spans="2:6" ht="15.75" customHeight="1" x14ac:dyDescent="0.25">
      <c r="B403" s="447"/>
      <c r="C403" s="565"/>
      <c r="D403" s="566"/>
      <c r="E403" s="566"/>
      <c r="F403" s="566"/>
    </row>
    <row r="404" spans="2:6" ht="15.75" customHeight="1" x14ac:dyDescent="0.25">
      <c r="B404" s="447"/>
      <c r="C404" s="538"/>
      <c r="D404" s="448"/>
      <c r="E404" s="448"/>
      <c r="F404" s="448"/>
    </row>
    <row r="405" spans="2:6" ht="15.75" customHeight="1" x14ac:dyDescent="0.25">
      <c r="B405" s="447"/>
      <c r="C405" s="538"/>
      <c r="D405" s="448"/>
      <c r="E405" s="448"/>
      <c r="F405" s="448"/>
    </row>
    <row r="406" spans="2:6" ht="15.75" customHeight="1" x14ac:dyDescent="0.25">
      <c r="B406" s="447"/>
      <c r="C406" s="538"/>
      <c r="D406" s="448"/>
      <c r="E406" s="448"/>
      <c r="F406" s="448"/>
    </row>
    <row r="407" spans="2:6" ht="15.75" customHeight="1" x14ac:dyDescent="0.25">
      <c r="B407" s="447"/>
      <c r="C407" s="538"/>
      <c r="D407" s="448"/>
      <c r="E407" s="448"/>
      <c r="F407" s="448"/>
    </row>
    <row r="408" spans="2:6" ht="15.75" customHeight="1" x14ac:dyDescent="0.3">
      <c r="B408" s="495"/>
      <c r="C408" s="538"/>
      <c r="D408" s="448"/>
      <c r="E408" s="448"/>
      <c r="F408" s="448"/>
    </row>
    <row r="409" spans="2:6" ht="15.75" customHeight="1" x14ac:dyDescent="0.25">
      <c r="B409" s="447"/>
      <c r="C409" s="538"/>
      <c r="D409" s="448"/>
      <c r="E409" s="448"/>
      <c r="F409" s="448"/>
    </row>
    <row r="410" spans="2:6" ht="15.75" customHeight="1" x14ac:dyDescent="0.25">
      <c r="B410" s="447"/>
      <c r="C410" s="538"/>
      <c r="D410" s="448"/>
      <c r="E410" s="448"/>
      <c r="F410" s="448"/>
    </row>
    <row r="411" spans="2:6" ht="15.75" customHeight="1" x14ac:dyDescent="0.25">
      <c r="B411" s="447"/>
      <c r="C411" s="538"/>
      <c r="D411" s="448"/>
      <c r="E411" s="448"/>
      <c r="F411" s="448"/>
    </row>
    <row r="412" spans="2:6" ht="15.75" customHeight="1" x14ac:dyDescent="0.25">
      <c r="B412" s="447"/>
      <c r="C412" s="538"/>
      <c r="D412" s="448"/>
      <c r="E412" s="448"/>
      <c r="F412" s="448"/>
    </row>
    <row r="413" spans="2:6" ht="15.75" customHeight="1" x14ac:dyDescent="0.3">
      <c r="B413" s="495"/>
      <c r="C413" s="445"/>
      <c r="D413" s="420"/>
      <c r="E413" s="420"/>
      <c r="F413" s="420"/>
    </row>
    <row r="414" spans="2:6" ht="15.75" customHeight="1" x14ac:dyDescent="0.25">
      <c r="B414" s="447"/>
      <c r="C414" s="561"/>
      <c r="D414" s="474"/>
      <c r="E414" s="474"/>
      <c r="F414" s="474"/>
    </row>
    <row r="415" spans="2:6" ht="15.75" customHeight="1" x14ac:dyDescent="0.25">
      <c r="B415" s="447"/>
      <c r="C415" s="561"/>
      <c r="D415" s="474"/>
      <c r="E415" s="474"/>
      <c r="F415" s="474"/>
    </row>
    <row r="416" spans="2:6" ht="15.75" customHeight="1" x14ac:dyDescent="0.25">
      <c r="B416" s="447"/>
      <c r="C416" s="561"/>
      <c r="D416" s="474"/>
      <c r="E416" s="474"/>
      <c r="F416" s="474"/>
    </row>
    <row r="417" spans="2:17" ht="15.75" customHeight="1" x14ac:dyDescent="0.25">
      <c r="B417" s="447"/>
      <c r="C417" s="561"/>
      <c r="D417" s="474"/>
      <c r="E417" s="474"/>
      <c r="F417" s="474"/>
    </row>
    <row r="418" spans="2:17" ht="15.75" customHeight="1" x14ac:dyDescent="0.25">
      <c r="B418" s="447"/>
      <c r="C418" s="561"/>
      <c r="D418" s="474"/>
      <c r="E418" s="474"/>
      <c r="F418" s="474"/>
    </row>
    <row r="419" spans="2:17" ht="15.75" customHeight="1" x14ac:dyDescent="0.25">
      <c r="B419" s="447"/>
      <c r="C419" s="561"/>
      <c r="D419" s="474"/>
      <c r="E419" s="474"/>
      <c r="F419" s="474"/>
    </row>
    <row r="420" spans="2:17" ht="15.75" customHeight="1" x14ac:dyDescent="0.25">
      <c r="B420" s="447"/>
      <c r="C420" s="561"/>
      <c r="D420" s="474"/>
      <c r="E420" s="474"/>
      <c r="F420" s="474"/>
    </row>
    <row r="421" spans="2:17" ht="15.75" customHeight="1" x14ac:dyDescent="0.25">
      <c r="B421" s="447"/>
      <c r="C421" s="538"/>
      <c r="D421" s="441"/>
      <c r="E421" s="441"/>
      <c r="F421" s="448"/>
    </row>
    <row r="422" spans="2:17" ht="15.75" customHeight="1" x14ac:dyDescent="0.25">
      <c r="B422" s="447"/>
      <c r="C422" s="538"/>
      <c r="D422" s="441"/>
      <c r="E422" s="441"/>
      <c r="F422" s="448"/>
    </row>
    <row r="423" spans="2:17" ht="15.75" customHeight="1" x14ac:dyDescent="0.3">
      <c r="B423" s="495"/>
      <c r="C423" s="561"/>
      <c r="D423" s="474"/>
      <c r="E423" s="474"/>
      <c r="F423" s="474"/>
    </row>
    <row r="424" spans="2:17" ht="15.75" customHeight="1" x14ac:dyDescent="0.3">
      <c r="B424" s="495"/>
      <c r="C424" s="561"/>
      <c r="D424" s="474"/>
      <c r="E424" s="474"/>
      <c r="F424" s="474"/>
    </row>
    <row r="425" spans="2:17" ht="15.75" customHeight="1" x14ac:dyDescent="0.3">
      <c r="B425" s="495"/>
      <c r="C425" s="447"/>
      <c r="D425" s="496"/>
      <c r="E425" s="496"/>
      <c r="F425" s="496"/>
    </row>
    <row r="426" spans="2:17" ht="15.75" customHeight="1" x14ac:dyDescent="0.25">
      <c r="B426" s="447"/>
      <c r="C426" s="538"/>
      <c r="D426" s="448"/>
      <c r="E426" s="448"/>
      <c r="F426" s="448"/>
    </row>
    <row r="427" spans="2:17" ht="15.75" customHeight="1" x14ac:dyDescent="0.25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5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5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5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5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5">
      <c r="B432" s="447"/>
      <c r="C432" s="538"/>
      <c r="D432" s="448"/>
      <c r="E432" s="448"/>
      <c r="F432" s="448"/>
    </row>
    <row r="433" spans="1:17" ht="15.75" customHeight="1" x14ac:dyDescent="0.25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5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5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5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5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5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5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5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5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5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5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5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5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5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5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5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5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5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5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5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5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5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5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5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5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5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5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5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5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5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5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5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5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5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5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5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5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5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5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5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5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5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5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5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5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5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5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5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5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5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5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5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5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5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5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5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5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5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5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5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5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5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5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5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5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5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5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5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5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5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5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5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5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5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5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5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5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5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5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5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5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5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5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5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5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5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5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5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5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5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5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5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5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5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5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5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5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5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5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5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5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5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5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5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5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5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5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5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5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5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5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5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5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5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5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5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5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5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5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5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5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5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5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5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5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5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5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5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5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5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5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5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5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5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5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5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5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5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5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5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5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5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5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5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5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5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5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5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5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5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5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5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5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5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5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5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5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5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5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5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5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5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5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5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5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5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5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5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5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5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5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5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5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5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5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5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5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5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5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5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5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5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5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5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5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5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5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5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5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5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5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5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5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5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5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5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5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5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5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5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5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5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5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5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5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5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5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5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5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5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5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5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5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5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5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5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5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5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5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5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5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5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5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5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5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5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5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5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5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5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5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5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5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5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5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5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5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5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5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5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5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5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5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5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5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5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5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5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5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5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5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5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5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5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5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5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5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5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5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5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5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5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5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5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5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5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5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5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5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5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5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5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5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5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5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5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5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5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5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5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5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5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5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5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5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5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5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5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5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5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5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5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5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5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5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5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5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5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5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5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5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5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5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5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5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5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5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5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5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5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5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5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5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5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5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5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5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5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5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5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5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5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5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5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5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5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5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5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5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5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5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5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5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5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5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5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5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5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5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5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5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5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5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5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5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5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5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5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5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5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5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5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5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5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5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5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5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5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5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5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5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5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5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5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5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5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5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5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5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5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5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5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5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5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5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5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5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5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5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5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5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5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5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5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5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5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5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5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5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5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5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5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5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5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5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5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5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5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5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5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5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5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5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5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5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5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5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5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5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5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5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5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5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5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5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5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5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5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5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5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5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5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5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5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5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5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5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5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5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5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5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5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5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5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5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5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5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5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5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5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5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5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5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5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5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5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5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5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5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5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5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5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5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5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5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5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5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5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5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5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5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5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5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5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5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5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5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5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5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5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5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5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5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5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5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5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5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5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5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5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5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5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5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5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5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5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5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5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5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5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5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5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5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5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5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5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5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5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5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5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5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5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5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5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5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5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5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5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5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5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5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5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5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5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5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5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5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5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5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5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5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5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5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5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5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5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5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5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5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5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5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5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5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5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5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5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5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5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5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5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5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5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5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5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5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5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5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5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5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5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5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5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5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5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5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5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5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5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5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5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5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5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5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5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5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5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5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5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5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5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5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5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5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5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5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5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5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5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5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5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5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5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5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5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5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5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5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5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5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5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5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5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5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5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5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5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5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5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5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5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5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5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5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5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5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5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5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5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5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5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5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5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5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5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5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5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5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5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5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5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5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5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5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5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5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5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5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5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5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5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5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5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5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5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5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5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5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5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5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5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scale="82" fitToHeight="0" orientation="portrait" horizontalDpi="1200" verticalDpi="1200" r:id="rId1"/>
  <headerFooter>
    <oddHeader>&amp;LOFFICE OF HEALTH CARE ACCESS&amp;CTWELVE MONTHS ACTUAL FILING&amp;RDANBURY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0"/>
  <sheetViews>
    <sheetView zoomScale="75" zoomScaleSheetLayoutView="68" workbookViewId="0">
      <selection activeCell="B329" sqref="B329"/>
    </sheetView>
  </sheetViews>
  <sheetFormatPr defaultColWidth="9.109375" defaultRowHeight="13.2" x14ac:dyDescent="0.25"/>
  <cols>
    <col min="1" max="1" width="5.33203125" style="569" bestFit="1" customWidth="1"/>
    <col min="2" max="2" width="82.5546875" style="660" customWidth="1"/>
    <col min="3" max="3" width="17" style="660" customWidth="1"/>
    <col min="4" max="4" width="16.109375" style="569" customWidth="1"/>
    <col min="5" max="5" width="16.6640625" style="420" customWidth="1"/>
    <col min="6" max="16384" width="9.109375" style="569"/>
  </cols>
  <sheetData>
    <row r="1" spans="1:5" ht="10.199999999999999" x14ac:dyDescent="0.2">
      <c r="A1" s="821"/>
      <c r="B1" s="821"/>
      <c r="C1" s="821"/>
      <c r="D1" s="821"/>
      <c r="E1" s="821"/>
    </row>
    <row r="2" spans="1:5" s="428" customFormat="1" ht="15.75" customHeight="1" x14ac:dyDescent="0.3">
      <c r="A2" s="822" t="s">
        <v>0</v>
      </c>
      <c r="B2" s="822"/>
      <c r="C2" s="822"/>
      <c r="D2" s="822"/>
      <c r="E2" s="822"/>
    </row>
    <row r="3" spans="1:5" s="428" customFormat="1" ht="15.75" customHeight="1" x14ac:dyDescent="0.3">
      <c r="A3" s="820" t="s">
        <v>630</v>
      </c>
      <c r="B3" s="820"/>
      <c r="C3" s="820"/>
      <c r="D3" s="820"/>
      <c r="E3" s="820"/>
    </row>
    <row r="4" spans="1:5" s="428" customFormat="1" ht="15.75" customHeight="1" x14ac:dyDescent="0.3">
      <c r="A4" s="820" t="s">
        <v>770</v>
      </c>
      <c r="B4" s="820"/>
      <c r="C4" s="820"/>
      <c r="D4" s="820"/>
      <c r="E4" s="820"/>
    </row>
    <row r="5" spans="1:5" s="428" customFormat="1" ht="15.75" customHeight="1" x14ac:dyDescent="0.3">
      <c r="A5" s="820" t="s">
        <v>771</v>
      </c>
      <c r="B5" s="820"/>
      <c r="C5" s="820"/>
      <c r="D5" s="820"/>
      <c r="E5" s="820"/>
    </row>
    <row r="6" spans="1:5" s="428" customFormat="1" ht="15.75" customHeight="1" x14ac:dyDescent="0.3">
      <c r="A6" s="820" t="s">
        <v>772</v>
      </c>
      <c r="B6" s="820"/>
      <c r="C6" s="820"/>
      <c r="D6" s="820"/>
      <c r="E6" s="820"/>
    </row>
    <row r="7" spans="1:5" s="428" customFormat="1" ht="15.75" customHeight="1" x14ac:dyDescent="0.3">
      <c r="A7" s="820"/>
      <c r="B7" s="820"/>
      <c r="C7" s="820"/>
      <c r="D7" s="820"/>
      <c r="E7" s="820"/>
    </row>
    <row r="8" spans="1:5" s="428" customFormat="1" x14ac:dyDescent="0.25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" customHeight="1" x14ac:dyDescent="0.3">
      <c r="A9" s="571" t="s">
        <v>8</v>
      </c>
      <c r="B9" s="572" t="s">
        <v>9</v>
      </c>
      <c r="C9" s="573" t="s">
        <v>773</v>
      </c>
      <c r="D9" s="573" t="s">
        <v>774</v>
      </c>
      <c r="E9" s="573" t="s">
        <v>775</v>
      </c>
    </row>
    <row r="10" spans="1:5" s="428" customFormat="1" x14ac:dyDescent="0.25">
      <c r="A10" s="574"/>
      <c r="B10" s="575"/>
      <c r="C10" s="576"/>
      <c r="D10" s="576"/>
      <c r="E10" s="577"/>
    </row>
    <row r="11" spans="1:5" s="428" customFormat="1" ht="15.75" customHeight="1" x14ac:dyDescent="0.3">
      <c r="A11" s="578" t="s">
        <v>12</v>
      </c>
      <c r="B11" s="579" t="s">
        <v>776</v>
      </c>
      <c r="C11" s="580"/>
      <c r="D11" s="570"/>
      <c r="E11" s="577"/>
    </row>
    <row r="12" spans="1:5" s="583" customFormat="1" x14ac:dyDescent="0.25">
      <c r="A12" s="581"/>
      <c r="B12" s="577"/>
      <c r="C12" s="582"/>
      <c r="D12" s="425"/>
      <c r="E12" s="577"/>
    </row>
    <row r="13" spans="1:5" s="421" customFormat="1" x14ac:dyDescent="0.25">
      <c r="A13" s="584" t="s">
        <v>14</v>
      </c>
      <c r="B13" s="585" t="s">
        <v>777</v>
      </c>
      <c r="C13" s="586"/>
      <c r="D13" s="425"/>
      <c r="E13" s="587"/>
    </row>
    <row r="14" spans="1:5" s="421" customFormat="1" x14ac:dyDescent="0.25">
      <c r="A14" s="588">
        <v>1</v>
      </c>
      <c r="B14" s="587" t="s">
        <v>657</v>
      </c>
      <c r="C14" s="589">
        <v>202120591</v>
      </c>
      <c r="D14" s="589">
        <v>216575902</v>
      </c>
      <c r="E14" s="590">
        <f t="shared" ref="E14:E22" si="0">D14-C14</f>
        <v>14455311</v>
      </c>
    </row>
    <row r="15" spans="1:5" s="421" customFormat="1" x14ac:dyDescent="0.25">
      <c r="A15" s="588">
        <v>2</v>
      </c>
      <c r="B15" s="587" t="s">
        <v>636</v>
      </c>
      <c r="C15" s="589">
        <v>394588741</v>
      </c>
      <c r="D15" s="591">
        <v>400549025</v>
      </c>
      <c r="E15" s="590">
        <f t="shared" si="0"/>
        <v>5960284</v>
      </c>
    </row>
    <row r="16" spans="1:5" s="421" customFormat="1" x14ac:dyDescent="0.25">
      <c r="A16" s="588">
        <v>3</v>
      </c>
      <c r="B16" s="587" t="s">
        <v>778</v>
      </c>
      <c r="C16" s="589">
        <v>92316705</v>
      </c>
      <c r="D16" s="591">
        <v>99196434</v>
      </c>
      <c r="E16" s="590">
        <f t="shared" si="0"/>
        <v>6879729</v>
      </c>
    </row>
    <row r="17" spans="1:5" s="421" customFormat="1" x14ac:dyDescent="0.25">
      <c r="A17" s="588">
        <v>4</v>
      </c>
      <c r="B17" s="587" t="s">
        <v>115</v>
      </c>
      <c r="C17" s="589">
        <v>89456723</v>
      </c>
      <c r="D17" s="591">
        <v>97089520</v>
      </c>
      <c r="E17" s="590">
        <f t="shared" si="0"/>
        <v>7632797</v>
      </c>
    </row>
    <row r="18" spans="1:5" s="421" customFormat="1" x14ac:dyDescent="0.25">
      <c r="A18" s="588">
        <v>5</v>
      </c>
      <c r="B18" s="587" t="s">
        <v>744</v>
      </c>
      <c r="C18" s="589">
        <v>2859982</v>
      </c>
      <c r="D18" s="591">
        <v>2106914</v>
      </c>
      <c r="E18" s="590">
        <f t="shared" si="0"/>
        <v>-753068</v>
      </c>
    </row>
    <row r="19" spans="1:5" s="421" customFormat="1" x14ac:dyDescent="0.25">
      <c r="A19" s="588">
        <v>6</v>
      </c>
      <c r="B19" s="587" t="s">
        <v>424</v>
      </c>
      <c r="C19" s="589">
        <v>365331</v>
      </c>
      <c r="D19" s="591">
        <v>587755</v>
      </c>
      <c r="E19" s="590">
        <f t="shared" si="0"/>
        <v>222424</v>
      </c>
    </row>
    <row r="20" spans="1:5" s="421" customFormat="1" x14ac:dyDescent="0.25">
      <c r="A20" s="588">
        <v>7</v>
      </c>
      <c r="B20" s="587" t="s">
        <v>759</v>
      </c>
      <c r="C20" s="589">
        <v>9910178</v>
      </c>
      <c r="D20" s="591">
        <v>8080469</v>
      </c>
      <c r="E20" s="590">
        <f t="shared" si="0"/>
        <v>-1829709</v>
      </c>
    </row>
    <row r="21" spans="1:5" s="421" customFormat="1" x14ac:dyDescent="0.25">
      <c r="A21" s="588"/>
      <c r="B21" s="592" t="s">
        <v>779</v>
      </c>
      <c r="C21" s="593">
        <f>SUM(C15+C16+C19)</f>
        <v>487270777</v>
      </c>
      <c r="D21" s="593">
        <f>SUM(D15+D16+D19)</f>
        <v>500333214</v>
      </c>
      <c r="E21" s="593">
        <f t="shared" si="0"/>
        <v>13062437</v>
      </c>
    </row>
    <row r="22" spans="1:5" s="421" customFormat="1" x14ac:dyDescent="0.25">
      <c r="A22" s="588"/>
      <c r="B22" s="592" t="s">
        <v>465</v>
      </c>
      <c r="C22" s="593">
        <f>SUM(C14+C21)</f>
        <v>689391368</v>
      </c>
      <c r="D22" s="593">
        <f>SUM(D14+D21)</f>
        <v>716909116</v>
      </c>
      <c r="E22" s="593">
        <f t="shared" si="0"/>
        <v>27517748</v>
      </c>
    </row>
    <row r="23" spans="1:5" s="421" customFormat="1" x14ac:dyDescent="0.25">
      <c r="A23" s="588"/>
      <c r="B23" s="587"/>
      <c r="C23" s="587"/>
      <c r="D23" s="587"/>
      <c r="E23" s="587"/>
    </row>
    <row r="24" spans="1:5" s="421" customFormat="1" x14ac:dyDescent="0.25">
      <c r="A24" s="584" t="s">
        <v>26</v>
      </c>
      <c r="B24" s="585" t="s">
        <v>780</v>
      </c>
      <c r="C24" s="587"/>
      <c r="D24" s="587"/>
      <c r="E24" s="587"/>
    </row>
    <row r="25" spans="1:5" s="421" customFormat="1" x14ac:dyDescent="0.25">
      <c r="A25" s="588">
        <v>1</v>
      </c>
      <c r="B25" s="587" t="s">
        <v>657</v>
      </c>
      <c r="C25" s="589">
        <v>409408961</v>
      </c>
      <c r="D25" s="589">
        <v>439310801</v>
      </c>
      <c r="E25" s="590">
        <f t="shared" ref="E25:E33" si="1">D25-C25</f>
        <v>29901840</v>
      </c>
    </row>
    <row r="26" spans="1:5" s="421" customFormat="1" x14ac:dyDescent="0.25">
      <c r="A26" s="588">
        <v>2</v>
      </c>
      <c r="B26" s="587" t="s">
        <v>636</v>
      </c>
      <c r="C26" s="589">
        <v>323857155</v>
      </c>
      <c r="D26" s="591">
        <v>347675633</v>
      </c>
      <c r="E26" s="590">
        <f t="shared" si="1"/>
        <v>23818478</v>
      </c>
    </row>
    <row r="27" spans="1:5" s="421" customFormat="1" x14ac:dyDescent="0.25">
      <c r="A27" s="588">
        <v>3</v>
      </c>
      <c r="B27" s="587" t="s">
        <v>778</v>
      </c>
      <c r="C27" s="589">
        <v>120362875</v>
      </c>
      <c r="D27" s="591">
        <v>129297085</v>
      </c>
      <c r="E27" s="590">
        <f t="shared" si="1"/>
        <v>8934210</v>
      </c>
    </row>
    <row r="28" spans="1:5" s="421" customFormat="1" x14ac:dyDescent="0.25">
      <c r="A28" s="588">
        <v>4</v>
      </c>
      <c r="B28" s="587" t="s">
        <v>115</v>
      </c>
      <c r="C28" s="589">
        <v>118372145</v>
      </c>
      <c r="D28" s="591">
        <v>126877541</v>
      </c>
      <c r="E28" s="590">
        <f t="shared" si="1"/>
        <v>8505396</v>
      </c>
    </row>
    <row r="29" spans="1:5" s="421" customFormat="1" x14ac:dyDescent="0.25">
      <c r="A29" s="588">
        <v>5</v>
      </c>
      <c r="B29" s="587" t="s">
        <v>744</v>
      </c>
      <c r="C29" s="589">
        <v>1990730</v>
      </c>
      <c r="D29" s="591">
        <v>2419544</v>
      </c>
      <c r="E29" s="590">
        <f t="shared" si="1"/>
        <v>428814</v>
      </c>
    </row>
    <row r="30" spans="1:5" s="421" customFormat="1" x14ac:dyDescent="0.25">
      <c r="A30" s="588">
        <v>6</v>
      </c>
      <c r="B30" s="587" t="s">
        <v>424</v>
      </c>
      <c r="C30" s="589">
        <v>1306897</v>
      </c>
      <c r="D30" s="591">
        <v>1622328</v>
      </c>
      <c r="E30" s="590">
        <f t="shared" si="1"/>
        <v>315431</v>
      </c>
    </row>
    <row r="31" spans="1:5" s="421" customFormat="1" x14ac:dyDescent="0.25">
      <c r="A31" s="588">
        <v>7</v>
      </c>
      <c r="B31" s="587" t="s">
        <v>759</v>
      </c>
      <c r="C31" s="590">
        <v>32278519</v>
      </c>
      <c r="D31" s="594">
        <v>32379492</v>
      </c>
      <c r="E31" s="590">
        <f t="shared" si="1"/>
        <v>100973</v>
      </c>
    </row>
    <row r="32" spans="1:5" s="421" customFormat="1" x14ac:dyDescent="0.25">
      <c r="A32" s="588"/>
      <c r="B32" s="592" t="s">
        <v>781</v>
      </c>
      <c r="C32" s="593">
        <f>SUM(C26+C27+C30)</f>
        <v>445526927</v>
      </c>
      <c r="D32" s="593">
        <f>SUM(D26+D27+D30)</f>
        <v>478595046</v>
      </c>
      <c r="E32" s="593">
        <f t="shared" si="1"/>
        <v>33068119</v>
      </c>
    </row>
    <row r="33" spans="1:5" s="421" customFormat="1" x14ac:dyDescent="0.25">
      <c r="A33" s="588"/>
      <c r="B33" s="592" t="s">
        <v>467</v>
      </c>
      <c r="C33" s="593">
        <f>SUM(C25+C32)</f>
        <v>854935888</v>
      </c>
      <c r="D33" s="593">
        <f>SUM(D25+D32)</f>
        <v>917905847</v>
      </c>
      <c r="E33" s="593">
        <f t="shared" si="1"/>
        <v>62969959</v>
      </c>
    </row>
    <row r="34" spans="1:5" s="421" customFormat="1" x14ac:dyDescent="0.25">
      <c r="A34" s="588"/>
      <c r="B34" s="587"/>
      <c r="C34" s="587"/>
      <c r="D34" s="587"/>
      <c r="E34" s="587"/>
    </row>
    <row r="35" spans="1:5" s="421" customFormat="1" x14ac:dyDescent="0.25">
      <c r="A35" s="584" t="s">
        <v>36</v>
      </c>
      <c r="B35" s="585" t="s">
        <v>654</v>
      </c>
      <c r="C35" s="590"/>
      <c r="D35" s="590"/>
      <c r="E35" s="587"/>
    </row>
    <row r="36" spans="1:5" s="421" customFormat="1" x14ac:dyDescent="0.25">
      <c r="A36" s="588">
        <v>1</v>
      </c>
      <c r="B36" s="587" t="s">
        <v>782</v>
      </c>
      <c r="C36" s="590">
        <f t="shared" ref="C36:D42" si="2">C14+C25</f>
        <v>611529552</v>
      </c>
      <c r="D36" s="590">
        <f t="shared" si="2"/>
        <v>655886703</v>
      </c>
      <c r="E36" s="590">
        <f t="shared" ref="E36:E44" si="3">D36-C36</f>
        <v>44357151</v>
      </c>
    </row>
    <row r="37" spans="1:5" s="421" customFormat="1" x14ac:dyDescent="0.25">
      <c r="A37" s="588">
        <v>2</v>
      </c>
      <c r="B37" s="587" t="s">
        <v>783</v>
      </c>
      <c r="C37" s="590">
        <f t="shared" si="2"/>
        <v>718445896</v>
      </c>
      <c r="D37" s="590">
        <f t="shared" si="2"/>
        <v>748224658</v>
      </c>
      <c r="E37" s="590">
        <f t="shared" si="3"/>
        <v>29778762</v>
      </c>
    </row>
    <row r="38" spans="1:5" s="421" customFormat="1" x14ac:dyDescent="0.25">
      <c r="A38" s="588">
        <v>3</v>
      </c>
      <c r="B38" s="587" t="s">
        <v>784</v>
      </c>
      <c r="C38" s="590">
        <f t="shared" si="2"/>
        <v>212679580</v>
      </c>
      <c r="D38" s="590">
        <f t="shared" si="2"/>
        <v>228493519</v>
      </c>
      <c r="E38" s="590">
        <f t="shared" si="3"/>
        <v>15813939</v>
      </c>
    </row>
    <row r="39" spans="1:5" s="421" customFormat="1" x14ac:dyDescent="0.25">
      <c r="A39" s="588">
        <v>4</v>
      </c>
      <c r="B39" s="587" t="s">
        <v>785</v>
      </c>
      <c r="C39" s="590">
        <f t="shared" si="2"/>
        <v>207828868</v>
      </c>
      <c r="D39" s="590">
        <f t="shared" si="2"/>
        <v>223967061</v>
      </c>
      <c r="E39" s="590">
        <f t="shared" si="3"/>
        <v>16138193</v>
      </c>
    </row>
    <row r="40" spans="1:5" s="421" customFormat="1" x14ac:dyDescent="0.25">
      <c r="A40" s="588">
        <v>5</v>
      </c>
      <c r="B40" s="587" t="s">
        <v>786</v>
      </c>
      <c r="C40" s="590">
        <f t="shared" si="2"/>
        <v>4850712</v>
      </c>
      <c r="D40" s="590">
        <f t="shared" si="2"/>
        <v>4526458</v>
      </c>
      <c r="E40" s="590">
        <f t="shared" si="3"/>
        <v>-324254</v>
      </c>
    </row>
    <row r="41" spans="1:5" s="421" customFormat="1" x14ac:dyDescent="0.25">
      <c r="A41" s="588">
        <v>6</v>
      </c>
      <c r="B41" s="587" t="s">
        <v>787</v>
      </c>
      <c r="C41" s="590">
        <f t="shared" si="2"/>
        <v>1672228</v>
      </c>
      <c r="D41" s="590">
        <f t="shared" si="2"/>
        <v>2210083</v>
      </c>
      <c r="E41" s="590">
        <f t="shared" si="3"/>
        <v>537855</v>
      </c>
    </row>
    <row r="42" spans="1:5" s="421" customFormat="1" x14ac:dyDescent="0.25">
      <c r="A42" s="588">
        <v>7</v>
      </c>
      <c r="B42" s="587" t="s">
        <v>788</v>
      </c>
      <c r="C42" s="590">
        <f t="shared" si="2"/>
        <v>42188697</v>
      </c>
      <c r="D42" s="590">
        <f t="shared" si="2"/>
        <v>40459961</v>
      </c>
      <c r="E42" s="590">
        <f t="shared" si="3"/>
        <v>-1728736</v>
      </c>
    </row>
    <row r="43" spans="1:5" s="421" customFormat="1" x14ac:dyDescent="0.25">
      <c r="A43" s="588"/>
      <c r="B43" s="592" t="s">
        <v>789</v>
      </c>
      <c r="C43" s="593">
        <f>SUM(C37+C38+C41)</f>
        <v>932797704</v>
      </c>
      <c r="D43" s="593">
        <f>SUM(D37+D38+D41)</f>
        <v>978928260</v>
      </c>
      <c r="E43" s="593">
        <f t="shared" si="3"/>
        <v>46130556</v>
      </c>
    </row>
    <row r="44" spans="1:5" s="421" customFormat="1" x14ac:dyDescent="0.25">
      <c r="A44" s="588"/>
      <c r="B44" s="592" t="s">
        <v>726</v>
      </c>
      <c r="C44" s="593">
        <f>SUM(C36+C43)</f>
        <v>1544327256</v>
      </c>
      <c r="D44" s="593">
        <f>SUM(D36+D43)</f>
        <v>1634814963</v>
      </c>
      <c r="E44" s="593">
        <f t="shared" si="3"/>
        <v>90487707</v>
      </c>
    </row>
    <row r="45" spans="1:5" s="421" customFormat="1" x14ac:dyDescent="0.25">
      <c r="A45" s="588"/>
      <c r="B45" s="587"/>
      <c r="C45" s="590"/>
      <c r="D45" s="591"/>
      <c r="E45" s="587"/>
    </row>
    <row r="46" spans="1:5" s="421" customFormat="1" x14ac:dyDescent="0.25">
      <c r="A46" s="584" t="s">
        <v>170</v>
      </c>
      <c r="B46" s="585" t="s">
        <v>790</v>
      </c>
      <c r="C46" s="577"/>
      <c r="D46" s="591"/>
      <c r="E46" s="587"/>
    </row>
    <row r="47" spans="1:5" s="421" customFormat="1" ht="12" customHeight="1" x14ac:dyDescent="0.25">
      <c r="A47" s="588">
        <v>1</v>
      </c>
      <c r="B47" s="587" t="s">
        <v>657</v>
      </c>
      <c r="C47" s="589">
        <v>111176594</v>
      </c>
      <c r="D47" s="589">
        <v>117220330</v>
      </c>
      <c r="E47" s="590">
        <f t="shared" ref="E47:E55" si="4">D47-C47</f>
        <v>6043736</v>
      </c>
    </row>
    <row r="48" spans="1:5" s="421" customFormat="1" x14ac:dyDescent="0.25">
      <c r="A48" s="588">
        <v>2</v>
      </c>
      <c r="B48" s="587" t="s">
        <v>636</v>
      </c>
      <c r="C48" s="589">
        <v>121787972</v>
      </c>
      <c r="D48" s="591">
        <v>119372952</v>
      </c>
      <c r="E48" s="590">
        <f t="shared" si="4"/>
        <v>-2415020</v>
      </c>
    </row>
    <row r="49" spans="1:5" s="421" customFormat="1" x14ac:dyDescent="0.25">
      <c r="A49" s="588">
        <v>3</v>
      </c>
      <c r="B49" s="587" t="s">
        <v>778</v>
      </c>
      <c r="C49" s="589">
        <v>18790420</v>
      </c>
      <c r="D49" s="591">
        <v>21004140</v>
      </c>
      <c r="E49" s="590">
        <f t="shared" si="4"/>
        <v>2213720</v>
      </c>
    </row>
    <row r="50" spans="1:5" s="421" customFormat="1" x14ac:dyDescent="0.25">
      <c r="A50" s="588">
        <v>4</v>
      </c>
      <c r="B50" s="587" t="s">
        <v>115</v>
      </c>
      <c r="C50" s="589">
        <v>18192797</v>
      </c>
      <c r="D50" s="591">
        <v>20705832</v>
      </c>
      <c r="E50" s="590">
        <f t="shared" si="4"/>
        <v>2513035</v>
      </c>
    </row>
    <row r="51" spans="1:5" s="421" customFormat="1" x14ac:dyDescent="0.25">
      <c r="A51" s="588">
        <v>5</v>
      </c>
      <c r="B51" s="587" t="s">
        <v>744</v>
      </c>
      <c r="C51" s="589">
        <v>597623</v>
      </c>
      <c r="D51" s="591">
        <v>298308</v>
      </c>
      <c r="E51" s="590">
        <f t="shared" si="4"/>
        <v>-299315</v>
      </c>
    </row>
    <row r="52" spans="1:5" s="421" customFormat="1" x14ac:dyDescent="0.25">
      <c r="A52" s="588">
        <v>6</v>
      </c>
      <c r="B52" s="587" t="s">
        <v>424</v>
      </c>
      <c r="C52" s="589">
        <v>100669</v>
      </c>
      <c r="D52" s="591">
        <v>192196</v>
      </c>
      <c r="E52" s="590">
        <f t="shared" si="4"/>
        <v>91527</v>
      </c>
    </row>
    <row r="53" spans="1:5" s="421" customFormat="1" x14ac:dyDescent="0.25">
      <c r="A53" s="588">
        <v>7</v>
      </c>
      <c r="B53" s="587" t="s">
        <v>759</v>
      </c>
      <c r="C53" s="589">
        <v>2378942</v>
      </c>
      <c r="D53" s="591">
        <v>2234024</v>
      </c>
      <c r="E53" s="590">
        <f t="shared" si="4"/>
        <v>-144918</v>
      </c>
    </row>
    <row r="54" spans="1:5" s="421" customFormat="1" x14ac:dyDescent="0.25">
      <c r="A54" s="588"/>
      <c r="B54" s="592" t="s">
        <v>791</v>
      </c>
      <c r="C54" s="593">
        <f>SUM(C48+C49+C52)</f>
        <v>140679061</v>
      </c>
      <c r="D54" s="593">
        <f>SUM(D48+D49+D52)</f>
        <v>140569288</v>
      </c>
      <c r="E54" s="593">
        <f t="shared" si="4"/>
        <v>-109773</v>
      </c>
    </row>
    <row r="55" spans="1:5" s="421" customFormat="1" x14ac:dyDescent="0.25">
      <c r="A55" s="588"/>
      <c r="B55" s="592" t="s">
        <v>466</v>
      </c>
      <c r="C55" s="593">
        <f>SUM(C47+C54)</f>
        <v>251855655</v>
      </c>
      <c r="D55" s="593">
        <f>SUM(D47+D54)</f>
        <v>257789618</v>
      </c>
      <c r="E55" s="593">
        <f t="shared" si="4"/>
        <v>5933963</v>
      </c>
    </row>
    <row r="56" spans="1:5" s="421" customFormat="1" x14ac:dyDescent="0.25">
      <c r="A56" s="588"/>
      <c r="B56" s="587"/>
      <c r="C56" s="587"/>
      <c r="D56" s="591"/>
      <c r="E56" s="587"/>
    </row>
    <row r="57" spans="1:5" s="421" customFormat="1" x14ac:dyDescent="0.25">
      <c r="A57" s="584" t="s">
        <v>175</v>
      </c>
      <c r="B57" s="585" t="s">
        <v>792</v>
      </c>
      <c r="C57" s="577"/>
      <c r="D57" s="591"/>
      <c r="E57" s="587"/>
    </row>
    <row r="58" spans="1:5" s="421" customFormat="1" x14ac:dyDescent="0.25">
      <c r="A58" s="588">
        <v>1</v>
      </c>
      <c r="B58" s="587" t="s">
        <v>657</v>
      </c>
      <c r="C58" s="589">
        <v>220262320</v>
      </c>
      <c r="D58" s="589">
        <v>232514369</v>
      </c>
      <c r="E58" s="590">
        <f t="shared" ref="E58:E66" si="5">D58-C58</f>
        <v>12252049</v>
      </c>
    </row>
    <row r="59" spans="1:5" s="421" customFormat="1" x14ac:dyDescent="0.25">
      <c r="A59" s="588">
        <v>2</v>
      </c>
      <c r="B59" s="587" t="s">
        <v>636</v>
      </c>
      <c r="C59" s="589">
        <v>99844401</v>
      </c>
      <c r="D59" s="591">
        <v>103415198</v>
      </c>
      <c r="E59" s="590">
        <f t="shared" si="5"/>
        <v>3570797</v>
      </c>
    </row>
    <row r="60" spans="1:5" s="421" customFormat="1" x14ac:dyDescent="0.25">
      <c r="A60" s="588">
        <v>3</v>
      </c>
      <c r="B60" s="587" t="s">
        <v>778</v>
      </c>
      <c r="C60" s="589">
        <f>C61+C62</f>
        <v>24499021</v>
      </c>
      <c r="D60" s="591">
        <f>D61+D62</f>
        <v>27377739</v>
      </c>
      <c r="E60" s="590">
        <f t="shared" si="5"/>
        <v>2878718</v>
      </c>
    </row>
    <row r="61" spans="1:5" s="421" customFormat="1" x14ac:dyDescent="0.25">
      <c r="A61" s="588">
        <v>4</v>
      </c>
      <c r="B61" s="587" t="s">
        <v>115</v>
      </c>
      <c r="C61" s="589">
        <v>24165250</v>
      </c>
      <c r="D61" s="591">
        <v>27142086</v>
      </c>
      <c r="E61" s="590">
        <f t="shared" si="5"/>
        <v>2976836</v>
      </c>
    </row>
    <row r="62" spans="1:5" s="421" customFormat="1" x14ac:dyDescent="0.25">
      <c r="A62" s="588">
        <v>5</v>
      </c>
      <c r="B62" s="587" t="s">
        <v>744</v>
      </c>
      <c r="C62" s="589">
        <v>333771</v>
      </c>
      <c r="D62" s="591">
        <v>235653</v>
      </c>
      <c r="E62" s="590">
        <f t="shared" si="5"/>
        <v>-98118</v>
      </c>
    </row>
    <row r="63" spans="1:5" s="421" customFormat="1" x14ac:dyDescent="0.25">
      <c r="A63" s="588">
        <v>6</v>
      </c>
      <c r="B63" s="587" t="s">
        <v>424</v>
      </c>
      <c r="C63" s="589">
        <v>382303</v>
      </c>
      <c r="D63" s="591">
        <v>530501</v>
      </c>
      <c r="E63" s="590">
        <f t="shared" si="5"/>
        <v>148198</v>
      </c>
    </row>
    <row r="64" spans="1:5" s="421" customFormat="1" x14ac:dyDescent="0.25">
      <c r="A64" s="588">
        <v>7</v>
      </c>
      <c r="B64" s="587" t="s">
        <v>759</v>
      </c>
      <c r="C64" s="589">
        <v>7748473</v>
      </c>
      <c r="D64" s="591">
        <v>8952024</v>
      </c>
      <c r="E64" s="590">
        <f t="shared" si="5"/>
        <v>1203551</v>
      </c>
    </row>
    <row r="65" spans="1:5" s="421" customFormat="1" x14ac:dyDescent="0.25">
      <c r="A65" s="588"/>
      <c r="B65" s="592" t="s">
        <v>793</v>
      </c>
      <c r="C65" s="593">
        <f>SUM(C59+C60+C63)</f>
        <v>124725725</v>
      </c>
      <c r="D65" s="593">
        <f>SUM(D59+D60+D63)</f>
        <v>131323438</v>
      </c>
      <c r="E65" s="593">
        <f t="shared" si="5"/>
        <v>6597713</v>
      </c>
    </row>
    <row r="66" spans="1:5" s="421" customFormat="1" x14ac:dyDescent="0.25">
      <c r="A66" s="588"/>
      <c r="B66" s="592" t="s">
        <v>468</v>
      </c>
      <c r="C66" s="593">
        <f>SUM(C58+C65)</f>
        <v>344988045</v>
      </c>
      <c r="D66" s="593">
        <f>SUM(D58+D65)</f>
        <v>363837807</v>
      </c>
      <c r="E66" s="593">
        <f t="shared" si="5"/>
        <v>18849762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5">
      <c r="A68" s="584" t="s">
        <v>181</v>
      </c>
      <c r="B68" s="597" t="s">
        <v>655</v>
      </c>
      <c r="C68" s="587"/>
      <c r="D68" s="587"/>
      <c r="E68" s="587"/>
    </row>
    <row r="69" spans="1:5" s="421" customFormat="1" x14ac:dyDescent="0.25">
      <c r="A69" s="588">
        <v>1</v>
      </c>
      <c r="B69" s="587" t="s">
        <v>782</v>
      </c>
      <c r="C69" s="590">
        <f t="shared" ref="C69:D75" si="6">C47+C58</f>
        <v>331438914</v>
      </c>
      <c r="D69" s="590">
        <f t="shared" si="6"/>
        <v>349734699</v>
      </c>
      <c r="E69" s="590">
        <f t="shared" ref="E69:E77" si="7">D69-C69</f>
        <v>18295785</v>
      </c>
    </row>
    <row r="70" spans="1:5" s="421" customFormat="1" x14ac:dyDescent="0.25">
      <c r="A70" s="588">
        <v>2</v>
      </c>
      <c r="B70" s="587" t="s">
        <v>783</v>
      </c>
      <c r="C70" s="590">
        <f t="shared" si="6"/>
        <v>221632373</v>
      </c>
      <c r="D70" s="590">
        <f t="shared" si="6"/>
        <v>222788150</v>
      </c>
      <c r="E70" s="590">
        <f t="shared" si="7"/>
        <v>1155777</v>
      </c>
    </row>
    <row r="71" spans="1:5" s="421" customFormat="1" x14ac:dyDescent="0.25">
      <c r="A71" s="588">
        <v>3</v>
      </c>
      <c r="B71" s="587" t="s">
        <v>784</v>
      </c>
      <c r="C71" s="590">
        <f t="shared" si="6"/>
        <v>43289441</v>
      </c>
      <c r="D71" s="590">
        <f t="shared" si="6"/>
        <v>48381879</v>
      </c>
      <c r="E71" s="590">
        <f t="shared" si="7"/>
        <v>5092438</v>
      </c>
    </row>
    <row r="72" spans="1:5" s="421" customFormat="1" x14ac:dyDescent="0.25">
      <c r="A72" s="588">
        <v>4</v>
      </c>
      <c r="B72" s="587" t="s">
        <v>785</v>
      </c>
      <c r="C72" s="590">
        <f t="shared" si="6"/>
        <v>42358047</v>
      </c>
      <c r="D72" s="590">
        <f t="shared" si="6"/>
        <v>47847918</v>
      </c>
      <c r="E72" s="590">
        <f t="shared" si="7"/>
        <v>5489871</v>
      </c>
    </row>
    <row r="73" spans="1:5" s="421" customFormat="1" x14ac:dyDescent="0.25">
      <c r="A73" s="588">
        <v>5</v>
      </c>
      <c r="B73" s="587" t="s">
        <v>786</v>
      </c>
      <c r="C73" s="590">
        <f t="shared" si="6"/>
        <v>931394</v>
      </c>
      <c r="D73" s="590">
        <f t="shared" si="6"/>
        <v>533961</v>
      </c>
      <c r="E73" s="590">
        <f t="shared" si="7"/>
        <v>-397433</v>
      </c>
    </row>
    <row r="74" spans="1:5" s="421" customFormat="1" x14ac:dyDescent="0.25">
      <c r="A74" s="588">
        <v>6</v>
      </c>
      <c r="B74" s="587" t="s">
        <v>787</v>
      </c>
      <c r="C74" s="590">
        <f t="shared" si="6"/>
        <v>482972</v>
      </c>
      <c r="D74" s="590">
        <f t="shared" si="6"/>
        <v>722697</v>
      </c>
      <c r="E74" s="590">
        <f t="shared" si="7"/>
        <v>239725</v>
      </c>
    </row>
    <row r="75" spans="1:5" s="421" customFormat="1" x14ac:dyDescent="0.25">
      <c r="A75" s="588">
        <v>7</v>
      </c>
      <c r="B75" s="587" t="s">
        <v>788</v>
      </c>
      <c r="C75" s="590">
        <f t="shared" si="6"/>
        <v>10127415</v>
      </c>
      <c r="D75" s="590">
        <f t="shared" si="6"/>
        <v>11186048</v>
      </c>
      <c r="E75" s="590">
        <f t="shared" si="7"/>
        <v>1058633</v>
      </c>
    </row>
    <row r="76" spans="1:5" s="421" customFormat="1" x14ac:dyDescent="0.25">
      <c r="A76" s="588"/>
      <c r="B76" s="592" t="s">
        <v>794</v>
      </c>
      <c r="C76" s="593">
        <f>SUM(C70+C71+C74)</f>
        <v>265404786</v>
      </c>
      <c r="D76" s="593">
        <f>SUM(D70+D71+D74)</f>
        <v>271892726</v>
      </c>
      <c r="E76" s="593">
        <f t="shared" si="7"/>
        <v>6487940</v>
      </c>
    </row>
    <row r="77" spans="1:5" s="421" customFormat="1" x14ac:dyDescent="0.25">
      <c r="A77" s="588"/>
      <c r="B77" s="592" t="s">
        <v>727</v>
      </c>
      <c r="C77" s="593">
        <f>SUM(C69+C76)</f>
        <v>596843700</v>
      </c>
      <c r="D77" s="593">
        <f>SUM(D69+D76)</f>
        <v>621627425</v>
      </c>
      <c r="E77" s="593">
        <f t="shared" si="7"/>
        <v>24783725</v>
      </c>
    </row>
    <row r="78" spans="1:5" s="421" customFormat="1" x14ac:dyDescent="0.25">
      <c r="A78" s="582"/>
      <c r="B78" s="586"/>
      <c r="C78" s="570"/>
      <c r="D78" s="570"/>
      <c r="E78" s="587"/>
    </row>
    <row r="79" spans="1:5" s="421" customFormat="1" ht="15.75" customHeight="1" x14ac:dyDescent="0.3">
      <c r="A79" s="578" t="s">
        <v>44</v>
      </c>
      <c r="B79" s="579" t="s">
        <v>795</v>
      </c>
      <c r="C79" s="425"/>
      <c r="D79" s="425"/>
      <c r="E79" s="587"/>
    </row>
    <row r="80" spans="1:5" s="421" customFormat="1" x14ac:dyDescent="0.25">
      <c r="A80" s="582"/>
      <c r="B80" s="586"/>
      <c r="C80" s="425"/>
      <c r="D80" s="425"/>
      <c r="E80" s="587"/>
    </row>
    <row r="81" spans="1:5" s="421" customFormat="1" x14ac:dyDescent="0.25">
      <c r="A81" s="584" t="s">
        <v>14</v>
      </c>
      <c r="B81" s="598" t="s">
        <v>796</v>
      </c>
      <c r="C81" s="586"/>
      <c r="D81" s="586"/>
      <c r="E81" s="587"/>
    </row>
    <row r="82" spans="1:5" s="421" customFormat="1" x14ac:dyDescent="0.25">
      <c r="A82" s="588"/>
      <c r="B82" s="587"/>
      <c r="C82" s="590"/>
      <c r="D82" s="590"/>
      <c r="E82" s="587"/>
    </row>
    <row r="83" spans="1:5" s="421" customFormat="1" x14ac:dyDescent="0.25">
      <c r="A83" s="588">
        <v>1</v>
      </c>
      <c r="B83" s="587" t="s">
        <v>657</v>
      </c>
      <c r="C83" s="599">
        <f t="shared" ref="C83:D89" si="8">IF(C$44=0,0,C14/C$44)</f>
        <v>0.13087937819832146</v>
      </c>
      <c r="D83" s="599">
        <f t="shared" si="8"/>
        <v>0.13247731816851496</v>
      </c>
      <c r="E83" s="599">
        <f t="shared" ref="E83:E91" si="9">D83-C83</f>
        <v>1.5979399701935015E-3</v>
      </c>
    </row>
    <row r="84" spans="1:5" s="421" customFormat="1" x14ac:dyDescent="0.25">
      <c r="A84" s="588">
        <v>2</v>
      </c>
      <c r="B84" s="587" t="s">
        <v>636</v>
      </c>
      <c r="C84" s="599">
        <f t="shared" si="8"/>
        <v>0.25550850020094446</v>
      </c>
      <c r="D84" s="599">
        <f t="shared" si="8"/>
        <v>0.24501184174688764</v>
      </c>
      <c r="E84" s="599">
        <f t="shared" si="9"/>
        <v>-1.0496658454056812E-2</v>
      </c>
    </row>
    <row r="85" spans="1:5" s="421" customFormat="1" x14ac:dyDescent="0.25">
      <c r="A85" s="588">
        <v>3</v>
      </c>
      <c r="B85" s="587" t="s">
        <v>778</v>
      </c>
      <c r="C85" s="599">
        <f t="shared" si="8"/>
        <v>5.9777941910519515E-2</v>
      </c>
      <c r="D85" s="599">
        <f t="shared" si="8"/>
        <v>6.0677468854314617E-2</v>
      </c>
      <c r="E85" s="599">
        <f t="shared" si="9"/>
        <v>8.9952694379510229E-4</v>
      </c>
    </row>
    <row r="86" spans="1:5" s="421" customFormat="1" x14ac:dyDescent="0.25">
      <c r="A86" s="588">
        <v>4</v>
      </c>
      <c r="B86" s="587" t="s">
        <v>115</v>
      </c>
      <c r="C86" s="599">
        <f t="shared" si="8"/>
        <v>5.7926014484587972E-2</v>
      </c>
      <c r="D86" s="599">
        <f t="shared" si="8"/>
        <v>5.9388690584183258E-2</v>
      </c>
      <c r="E86" s="599">
        <f t="shared" si="9"/>
        <v>1.4626760995952864E-3</v>
      </c>
    </row>
    <row r="87" spans="1:5" s="421" customFormat="1" x14ac:dyDescent="0.25">
      <c r="A87" s="588">
        <v>5</v>
      </c>
      <c r="B87" s="587" t="s">
        <v>744</v>
      </c>
      <c r="C87" s="599">
        <f t="shared" si="8"/>
        <v>1.8519274259315411E-3</v>
      </c>
      <c r="D87" s="599">
        <f t="shared" si="8"/>
        <v>1.288778270131358E-3</v>
      </c>
      <c r="E87" s="599">
        <f t="shared" si="9"/>
        <v>-5.6314915580018307E-4</v>
      </c>
    </row>
    <row r="88" spans="1:5" s="421" customFormat="1" x14ac:dyDescent="0.25">
      <c r="A88" s="588">
        <v>6</v>
      </c>
      <c r="B88" s="587" t="s">
        <v>424</v>
      </c>
      <c r="C88" s="599">
        <f t="shared" si="8"/>
        <v>2.3656320160161701E-4</v>
      </c>
      <c r="D88" s="599">
        <f t="shared" si="8"/>
        <v>3.5952386863491166E-4</v>
      </c>
      <c r="E88" s="599">
        <f t="shared" si="9"/>
        <v>1.2296066703329465E-4</v>
      </c>
    </row>
    <row r="89" spans="1:5" s="421" customFormat="1" x14ac:dyDescent="0.25">
      <c r="A89" s="588">
        <v>7</v>
      </c>
      <c r="B89" s="587" t="s">
        <v>759</v>
      </c>
      <c r="C89" s="599">
        <f t="shared" si="8"/>
        <v>6.4171489310294221E-3</v>
      </c>
      <c r="D89" s="599">
        <f t="shared" si="8"/>
        <v>4.9427422570024523E-3</v>
      </c>
      <c r="E89" s="599">
        <f t="shared" si="9"/>
        <v>-1.4744066740269698E-3</v>
      </c>
    </row>
    <row r="90" spans="1:5" s="421" customFormat="1" x14ac:dyDescent="0.25">
      <c r="A90" s="588"/>
      <c r="B90" s="592" t="s">
        <v>797</v>
      </c>
      <c r="C90" s="600">
        <f>SUM(C84+C85+C88)</f>
        <v>0.31552300531306554</v>
      </c>
      <c r="D90" s="600">
        <f>SUM(D84+D85+D88)</f>
        <v>0.30604883446983716</v>
      </c>
      <c r="E90" s="601">
        <f t="shared" si="9"/>
        <v>-9.47417084322838E-3</v>
      </c>
    </row>
    <row r="91" spans="1:5" s="421" customFormat="1" x14ac:dyDescent="0.25">
      <c r="A91" s="588"/>
      <c r="B91" s="592" t="s">
        <v>798</v>
      </c>
      <c r="C91" s="600">
        <f>SUM(C83+C90)</f>
        <v>0.446402383511387</v>
      </c>
      <c r="D91" s="600">
        <f>SUM(D83+D90)</f>
        <v>0.43852615263835215</v>
      </c>
      <c r="E91" s="601">
        <f t="shared" si="9"/>
        <v>-7.8762308730348507E-3</v>
      </c>
    </row>
    <row r="92" spans="1:5" s="421" customFormat="1" x14ac:dyDescent="0.25">
      <c r="A92" s="588"/>
      <c r="B92" s="577"/>
      <c r="C92" s="602"/>
      <c r="D92" s="602"/>
      <c r="E92" s="592"/>
    </row>
    <row r="93" spans="1:5" s="421" customFormat="1" x14ac:dyDescent="0.25">
      <c r="A93" s="584" t="s">
        <v>26</v>
      </c>
      <c r="B93" s="598" t="s">
        <v>799</v>
      </c>
      <c r="C93" s="602"/>
      <c r="D93" s="602"/>
      <c r="E93" s="592"/>
    </row>
    <row r="94" spans="1:5" s="421" customFormat="1" x14ac:dyDescent="0.25">
      <c r="A94" s="588"/>
      <c r="B94" s="587"/>
      <c r="C94" s="602"/>
      <c r="D94" s="602"/>
      <c r="E94" s="592"/>
    </row>
    <row r="95" spans="1:5" s="421" customFormat="1" x14ac:dyDescent="0.25">
      <c r="A95" s="588">
        <v>1</v>
      </c>
      <c r="B95" s="587" t="s">
        <v>657</v>
      </c>
      <c r="C95" s="599">
        <f t="shared" ref="C95:D101" si="10">IF(C$44=0,0,C25/C$44)</f>
        <v>0.26510505426189279</v>
      </c>
      <c r="D95" s="599">
        <f t="shared" si="10"/>
        <v>0.2687220333448832</v>
      </c>
      <c r="E95" s="599">
        <f t="shared" ref="E95:E103" si="11">D95-C95</f>
        <v>3.6169790829904125E-3</v>
      </c>
    </row>
    <row r="96" spans="1:5" s="421" customFormat="1" x14ac:dyDescent="0.25">
      <c r="A96" s="588">
        <v>2</v>
      </c>
      <c r="B96" s="587" t="s">
        <v>636</v>
      </c>
      <c r="C96" s="599">
        <f t="shared" si="10"/>
        <v>0.20970759516271853</v>
      </c>
      <c r="D96" s="599">
        <f t="shared" si="10"/>
        <v>0.2126697154532956</v>
      </c>
      <c r="E96" s="599">
        <f t="shared" si="11"/>
        <v>2.9621202905770749E-3</v>
      </c>
    </row>
    <row r="97" spans="1:5" s="421" customFormat="1" x14ac:dyDescent="0.25">
      <c r="A97" s="588">
        <v>3</v>
      </c>
      <c r="B97" s="587" t="s">
        <v>778</v>
      </c>
      <c r="C97" s="599">
        <f t="shared" si="10"/>
        <v>7.7938710550090814E-2</v>
      </c>
      <c r="D97" s="599">
        <f t="shared" si="10"/>
        <v>7.9089736714136008E-2</v>
      </c>
      <c r="E97" s="599">
        <f t="shared" si="11"/>
        <v>1.1510261640451935E-3</v>
      </c>
    </row>
    <row r="98" spans="1:5" s="421" customFormat="1" x14ac:dyDescent="0.25">
      <c r="A98" s="588">
        <v>4</v>
      </c>
      <c r="B98" s="587" t="s">
        <v>115</v>
      </c>
      <c r="C98" s="599">
        <f t="shared" si="10"/>
        <v>7.6649650869077199E-2</v>
      </c>
      <c r="D98" s="599">
        <f t="shared" si="10"/>
        <v>7.7609725792557482E-2</v>
      </c>
      <c r="E98" s="599">
        <f t="shared" si="11"/>
        <v>9.6007492348028356E-4</v>
      </c>
    </row>
    <row r="99" spans="1:5" s="421" customFormat="1" x14ac:dyDescent="0.25">
      <c r="A99" s="588">
        <v>5</v>
      </c>
      <c r="B99" s="587" t="s">
        <v>744</v>
      </c>
      <c r="C99" s="599">
        <f t="shared" si="10"/>
        <v>1.2890596810136207E-3</v>
      </c>
      <c r="D99" s="599">
        <f t="shared" si="10"/>
        <v>1.4800109215785298E-3</v>
      </c>
      <c r="E99" s="599">
        <f t="shared" si="11"/>
        <v>1.9095124056490911E-4</v>
      </c>
    </row>
    <row r="100" spans="1:5" s="421" customFormat="1" x14ac:dyDescent="0.25">
      <c r="A100" s="588">
        <v>6</v>
      </c>
      <c r="B100" s="587" t="s">
        <v>424</v>
      </c>
      <c r="C100" s="599">
        <f t="shared" si="10"/>
        <v>8.462565139108055E-4</v>
      </c>
      <c r="D100" s="599">
        <f t="shared" si="10"/>
        <v>9.9236184933303682E-4</v>
      </c>
      <c r="E100" s="599">
        <f t="shared" si="11"/>
        <v>1.4610533542223133E-4</v>
      </c>
    </row>
    <row r="101" spans="1:5" s="421" customFormat="1" x14ac:dyDescent="0.25">
      <c r="A101" s="588">
        <v>7</v>
      </c>
      <c r="B101" s="587" t="s">
        <v>759</v>
      </c>
      <c r="C101" s="599">
        <f t="shared" si="10"/>
        <v>2.0901346443632281E-2</v>
      </c>
      <c r="D101" s="599">
        <f t="shared" si="10"/>
        <v>1.9806212160293275E-2</v>
      </c>
      <c r="E101" s="599">
        <f t="shared" si="11"/>
        <v>-1.0951342833390061E-3</v>
      </c>
    </row>
    <row r="102" spans="1:5" s="421" customFormat="1" x14ac:dyDescent="0.25">
      <c r="A102" s="588"/>
      <c r="B102" s="592" t="s">
        <v>800</v>
      </c>
      <c r="C102" s="600">
        <f>SUM(C96+C97+C100)</f>
        <v>0.28849256222672015</v>
      </c>
      <c r="D102" s="600">
        <f>SUM(D96+D97+D100)</f>
        <v>0.29275181401676464</v>
      </c>
      <c r="E102" s="601">
        <f t="shared" si="11"/>
        <v>4.2592517900444937E-3</v>
      </c>
    </row>
    <row r="103" spans="1:5" s="421" customFormat="1" x14ac:dyDescent="0.25">
      <c r="A103" s="588"/>
      <c r="B103" s="592" t="s">
        <v>801</v>
      </c>
      <c r="C103" s="600">
        <f>SUM(C95+C102)</f>
        <v>0.55359761648861294</v>
      </c>
      <c r="D103" s="600">
        <f>SUM(D95+D102)</f>
        <v>0.56147384736164785</v>
      </c>
      <c r="E103" s="601">
        <f t="shared" si="11"/>
        <v>7.8762308730349062E-3</v>
      </c>
    </row>
    <row r="104" spans="1:5" s="421" customFormat="1" x14ac:dyDescent="0.25">
      <c r="A104" s="582"/>
      <c r="B104" s="603"/>
      <c r="C104" s="601"/>
      <c r="D104" s="599"/>
      <c r="E104" s="600"/>
    </row>
    <row r="105" spans="1:5" s="421" customFormat="1" x14ac:dyDescent="0.25">
      <c r="A105" s="582"/>
      <c r="B105" s="603" t="s">
        <v>802</v>
      </c>
      <c r="C105" s="601">
        <f>C91+C103</f>
        <v>1</v>
      </c>
      <c r="D105" s="601">
        <f>D91+D103</f>
        <v>1</v>
      </c>
      <c r="E105" s="601">
        <f>D105-C105</f>
        <v>0</v>
      </c>
    </row>
    <row r="106" spans="1:5" s="421" customFormat="1" x14ac:dyDescent="0.25">
      <c r="A106" s="584"/>
      <c r="B106" s="586"/>
      <c r="C106" s="604"/>
      <c r="D106" s="604"/>
      <c r="E106" s="600"/>
    </row>
    <row r="107" spans="1:5" s="421" customFormat="1" x14ac:dyDescent="0.25">
      <c r="A107" s="584" t="s">
        <v>36</v>
      </c>
      <c r="B107" s="598" t="s">
        <v>803</v>
      </c>
      <c r="C107" s="604"/>
      <c r="D107" s="604"/>
      <c r="E107" s="600"/>
    </row>
    <row r="108" spans="1:5" s="421" customFormat="1" x14ac:dyDescent="0.25">
      <c r="A108" s="584"/>
      <c r="B108" s="586"/>
      <c r="C108" s="604"/>
      <c r="D108" s="604"/>
      <c r="E108" s="600"/>
    </row>
    <row r="109" spans="1:5" s="421" customFormat="1" x14ac:dyDescent="0.25">
      <c r="A109" s="588">
        <v>1</v>
      </c>
      <c r="B109" s="587" t="s">
        <v>657</v>
      </c>
      <c r="C109" s="599">
        <f t="shared" ref="C109:D115" si="12">IF(C$77=0,0,C47/C$77)</f>
        <v>0.18627421886165507</v>
      </c>
      <c r="D109" s="599">
        <f t="shared" si="12"/>
        <v>0.18857007475176951</v>
      </c>
      <c r="E109" s="599">
        <f t="shared" ref="E109:E117" si="13">D109-C109</f>
        <v>2.2958558901144399E-3</v>
      </c>
    </row>
    <row r="110" spans="1:5" s="421" customFormat="1" x14ac:dyDescent="0.25">
      <c r="A110" s="588">
        <v>2</v>
      </c>
      <c r="B110" s="587" t="s">
        <v>636</v>
      </c>
      <c r="C110" s="599">
        <f t="shared" si="12"/>
        <v>0.20405337611840421</v>
      </c>
      <c r="D110" s="599">
        <f t="shared" si="12"/>
        <v>0.19203295607493509</v>
      </c>
      <c r="E110" s="599">
        <f t="shared" si="13"/>
        <v>-1.2020420043469121E-2</v>
      </c>
    </row>
    <row r="111" spans="1:5" s="421" customFormat="1" x14ac:dyDescent="0.25">
      <c r="A111" s="588">
        <v>3</v>
      </c>
      <c r="B111" s="587" t="s">
        <v>778</v>
      </c>
      <c r="C111" s="599">
        <f t="shared" si="12"/>
        <v>3.1482982898202665E-2</v>
      </c>
      <c r="D111" s="599">
        <f t="shared" si="12"/>
        <v>3.3788953246391917E-2</v>
      </c>
      <c r="E111" s="599">
        <f t="shared" si="13"/>
        <v>2.3059703481892527E-3</v>
      </c>
    </row>
    <row r="112" spans="1:5" s="421" customFormat="1" x14ac:dyDescent="0.25">
      <c r="A112" s="588">
        <v>4</v>
      </c>
      <c r="B112" s="587" t="s">
        <v>115</v>
      </c>
      <c r="C112" s="599">
        <f t="shared" si="12"/>
        <v>3.048167719622407E-2</v>
      </c>
      <c r="D112" s="599">
        <f t="shared" si="12"/>
        <v>3.3309070943901807E-2</v>
      </c>
      <c r="E112" s="599">
        <f t="shared" si="13"/>
        <v>2.8273937476777367E-3</v>
      </c>
    </row>
    <row r="113" spans="1:5" s="421" customFormat="1" x14ac:dyDescent="0.25">
      <c r="A113" s="588">
        <v>5</v>
      </c>
      <c r="B113" s="587" t="s">
        <v>744</v>
      </c>
      <c r="C113" s="599">
        <f t="shared" si="12"/>
        <v>1.0013057019785917E-3</v>
      </c>
      <c r="D113" s="599">
        <f t="shared" si="12"/>
        <v>4.7988230249011292E-4</v>
      </c>
      <c r="E113" s="599">
        <f t="shared" si="13"/>
        <v>-5.2142339948847878E-4</v>
      </c>
    </row>
    <row r="114" spans="1:5" s="421" customFormat="1" x14ac:dyDescent="0.25">
      <c r="A114" s="588">
        <v>6</v>
      </c>
      <c r="B114" s="587" t="s">
        <v>424</v>
      </c>
      <c r="C114" s="599">
        <f t="shared" si="12"/>
        <v>1.6866894967643958E-4</v>
      </c>
      <c r="D114" s="599">
        <f t="shared" si="12"/>
        <v>3.0918198308255141E-4</v>
      </c>
      <c r="E114" s="599">
        <f t="shared" si="13"/>
        <v>1.4051303340611182E-4</v>
      </c>
    </row>
    <row r="115" spans="1:5" s="421" customFormat="1" x14ac:dyDescent="0.25">
      <c r="A115" s="588">
        <v>7</v>
      </c>
      <c r="B115" s="587" t="s">
        <v>759</v>
      </c>
      <c r="C115" s="599">
        <f t="shared" si="12"/>
        <v>3.9858710077697061E-3</v>
      </c>
      <c r="D115" s="599">
        <f t="shared" si="12"/>
        <v>3.5938311441133732E-3</v>
      </c>
      <c r="E115" s="599">
        <f t="shared" si="13"/>
        <v>-3.9203986365633292E-4</v>
      </c>
    </row>
    <row r="116" spans="1:5" s="421" customFormat="1" x14ac:dyDescent="0.25">
      <c r="A116" s="588"/>
      <c r="B116" s="592" t="s">
        <v>797</v>
      </c>
      <c r="C116" s="600">
        <f>SUM(C110+C111+C114)</f>
        <v>0.23570502796628331</v>
      </c>
      <c r="D116" s="600">
        <f>SUM(D110+D111+D114)</f>
        <v>0.22613109130440956</v>
      </c>
      <c r="E116" s="601">
        <f t="shared" si="13"/>
        <v>-9.5739366618737554E-3</v>
      </c>
    </row>
    <row r="117" spans="1:5" s="421" customFormat="1" x14ac:dyDescent="0.25">
      <c r="A117" s="588"/>
      <c r="B117" s="592" t="s">
        <v>798</v>
      </c>
      <c r="C117" s="600">
        <f>SUM(C109+C116)</f>
        <v>0.42197924682793841</v>
      </c>
      <c r="D117" s="600">
        <f>SUM(D109+D116)</f>
        <v>0.41470116605617907</v>
      </c>
      <c r="E117" s="601">
        <f t="shared" si="13"/>
        <v>-7.2780807717593432E-3</v>
      </c>
    </row>
    <row r="118" spans="1:5" s="421" customFormat="1" x14ac:dyDescent="0.25">
      <c r="A118" s="584"/>
      <c r="B118" s="586"/>
      <c r="C118" s="602"/>
      <c r="D118" s="602"/>
      <c r="E118" s="600"/>
    </row>
    <row r="119" spans="1:5" s="421" customFormat="1" x14ac:dyDescent="0.25">
      <c r="A119" s="584" t="s">
        <v>170</v>
      </c>
      <c r="B119" s="598" t="s">
        <v>804</v>
      </c>
      <c r="C119" s="602"/>
      <c r="D119" s="602"/>
      <c r="E119" s="600"/>
    </row>
    <row r="120" spans="1:5" s="421" customFormat="1" x14ac:dyDescent="0.25">
      <c r="A120" s="584"/>
      <c r="B120" s="586"/>
      <c r="C120" s="602"/>
      <c r="D120" s="602"/>
      <c r="E120" s="600"/>
    </row>
    <row r="121" spans="1:5" s="421" customFormat="1" x14ac:dyDescent="0.25">
      <c r="A121" s="588">
        <v>1</v>
      </c>
      <c r="B121" s="587" t="s">
        <v>657</v>
      </c>
      <c r="C121" s="599">
        <f t="shared" ref="C121:D127" si="14">IF(C$77=0,0,C58/C$77)</f>
        <v>0.36904522909431731</v>
      </c>
      <c r="D121" s="599">
        <f t="shared" si="14"/>
        <v>0.37404136247688879</v>
      </c>
      <c r="E121" s="599">
        <f t="shared" ref="E121:E129" si="15">D121-C121</f>
        <v>4.9961333825714882E-3</v>
      </c>
    </row>
    <row r="122" spans="1:5" s="421" customFormat="1" x14ac:dyDescent="0.25">
      <c r="A122" s="588">
        <v>2</v>
      </c>
      <c r="B122" s="587" t="s">
        <v>636</v>
      </c>
      <c r="C122" s="599">
        <f t="shared" si="14"/>
        <v>0.16728735010522855</v>
      </c>
      <c r="D122" s="599">
        <f t="shared" si="14"/>
        <v>0.16636202625712659</v>
      </c>
      <c r="E122" s="599">
        <f t="shared" si="15"/>
        <v>-9.2532384810195545E-4</v>
      </c>
    </row>
    <row r="123" spans="1:5" s="421" customFormat="1" x14ac:dyDescent="0.25">
      <c r="A123" s="588">
        <v>3</v>
      </c>
      <c r="B123" s="587" t="s">
        <v>778</v>
      </c>
      <c r="C123" s="599">
        <f t="shared" si="14"/>
        <v>4.1047632738688535E-2</v>
      </c>
      <c r="D123" s="599">
        <f t="shared" si="14"/>
        <v>4.4042038524925116E-2</v>
      </c>
      <c r="E123" s="599">
        <f t="shared" si="15"/>
        <v>2.9944057862365814E-3</v>
      </c>
    </row>
    <row r="124" spans="1:5" s="421" customFormat="1" x14ac:dyDescent="0.25">
      <c r="A124" s="588">
        <v>4</v>
      </c>
      <c r="B124" s="587" t="s">
        <v>115</v>
      </c>
      <c r="C124" s="599">
        <f t="shared" si="14"/>
        <v>4.0488405926040603E-2</v>
      </c>
      <c r="D124" s="599">
        <f t="shared" si="14"/>
        <v>4.3662948107542073E-2</v>
      </c>
      <c r="E124" s="599">
        <f t="shared" si="15"/>
        <v>3.1745421815014691E-3</v>
      </c>
    </row>
    <row r="125" spans="1:5" s="421" customFormat="1" x14ac:dyDescent="0.25">
      <c r="A125" s="588">
        <v>5</v>
      </c>
      <c r="B125" s="587" t="s">
        <v>744</v>
      </c>
      <c r="C125" s="599">
        <f t="shared" si="14"/>
        <v>5.5922681264793442E-4</v>
      </c>
      <c r="D125" s="599">
        <f t="shared" si="14"/>
        <v>3.7909041738304903E-4</v>
      </c>
      <c r="E125" s="599">
        <f t="shared" si="15"/>
        <v>-1.801363952648854E-4</v>
      </c>
    </row>
    <row r="126" spans="1:5" s="421" customFormat="1" x14ac:dyDescent="0.25">
      <c r="A126" s="588">
        <v>6</v>
      </c>
      <c r="B126" s="587" t="s">
        <v>424</v>
      </c>
      <c r="C126" s="599">
        <f t="shared" si="14"/>
        <v>6.4054123382721476E-4</v>
      </c>
      <c r="D126" s="599">
        <f t="shared" si="14"/>
        <v>8.5340668488041694E-4</v>
      </c>
      <c r="E126" s="599">
        <f t="shared" si="15"/>
        <v>2.1286545105320218E-4</v>
      </c>
    </row>
    <row r="127" spans="1:5" s="421" customFormat="1" x14ac:dyDescent="0.25">
      <c r="A127" s="588">
        <v>7</v>
      </c>
      <c r="B127" s="587" t="s">
        <v>759</v>
      </c>
      <c r="C127" s="599">
        <f t="shared" si="14"/>
        <v>1.2982415664268552E-2</v>
      </c>
      <c r="D127" s="599">
        <f t="shared" si="14"/>
        <v>1.4400947641587725E-2</v>
      </c>
      <c r="E127" s="599">
        <f t="shared" si="15"/>
        <v>1.4185319773191724E-3</v>
      </c>
    </row>
    <row r="128" spans="1:5" s="421" customFormat="1" x14ac:dyDescent="0.25">
      <c r="A128" s="588"/>
      <c r="B128" s="592" t="s">
        <v>800</v>
      </c>
      <c r="C128" s="600">
        <f>SUM(C122+C123+C126)</f>
        <v>0.20897552407774428</v>
      </c>
      <c r="D128" s="600">
        <f>SUM(D122+D123+D126)</f>
        <v>0.21125747146693211</v>
      </c>
      <c r="E128" s="601">
        <f t="shared" si="15"/>
        <v>2.2819473891878272E-3</v>
      </c>
    </row>
    <row r="129" spans="1:5" s="421" customFormat="1" x14ac:dyDescent="0.25">
      <c r="A129" s="588"/>
      <c r="B129" s="592" t="s">
        <v>801</v>
      </c>
      <c r="C129" s="600">
        <f>SUM(C121+C128)</f>
        <v>0.57802075317206159</v>
      </c>
      <c r="D129" s="600">
        <f>SUM(D121+D128)</f>
        <v>0.58529883394382087</v>
      </c>
      <c r="E129" s="601">
        <f t="shared" si="15"/>
        <v>7.2780807717592877E-3</v>
      </c>
    </row>
    <row r="130" spans="1:5" s="421" customFormat="1" x14ac:dyDescent="0.25">
      <c r="A130" s="588"/>
      <c r="B130" s="592"/>
      <c r="C130" s="601"/>
      <c r="D130" s="599"/>
      <c r="E130" s="600"/>
    </row>
    <row r="131" spans="1:5" s="421" customFormat="1" x14ac:dyDescent="0.25">
      <c r="A131" s="588"/>
      <c r="B131" s="603" t="s">
        <v>805</v>
      </c>
      <c r="C131" s="601">
        <f>C117+C129</f>
        <v>1</v>
      </c>
      <c r="D131" s="601">
        <f>D117+D129</f>
        <v>1</v>
      </c>
      <c r="E131" s="601">
        <f>D131-C131</f>
        <v>0</v>
      </c>
    </row>
    <row r="132" spans="1:5" s="421" customFormat="1" x14ac:dyDescent="0.25">
      <c r="A132" s="588"/>
      <c r="B132" s="587"/>
      <c r="C132" s="590"/>
      <c r="D132" s="590"/>
      <c r="E132" s="587"/>
    </row>
    <row r="133" spans="1:5" s="421" customFormat="1" ht="15.75" customHeight="1" x14ac:dyDescent="0.3">
      <c r="A133" s="605" t="s">
        <v>135</v>
      </c>
      <c r="B133" s="579" t="s">
        <v>806</v>
      </c>
      <c r="C133" s="570"/>
      <c r="D133" s="570"/>
      <c r="E133" s="592"/>
    </row>
    <row r="134" spans="1:5" s="421" customFormat="1" x14ac:dyDescent="0.25">
      <c r="A134" s="588"/>
      <c r="B134" s="587"/>
      <c r="C134" s="425"/>
      <c r="D134" s="425"/>
      <c r="E134" s="587"/>
    </row>
    <row r="135" spans="1:5" s="421" customFormat="1" x14ac:dyDescent="0.25">
      <c r="A135" s="584" t="s">
        <v>14</v>
      </c>
      <c r="B135" s="585" t="s">
        <v>807</v>
      </c>
      <c r="C135" s="425"/>
      <c r="D135" s="425"/>
      <c r="E135" s="587"/>
    </row>
    <row r="136" spans="1:5" s="421" customFormat="1" x14ac:dyDescent="0.25">
      <c r="A136" s="588"/>
      <c r="B136" s="587"/>
      <c r="C136" s="587"/>
      <c r="D136" s="587"/>
      <c r="E136" s="587"/>
    </row>
    <row r="137" spans="1:5" s="421" customFormat="1" x14ac:dyDescent="0.25">
      <c r="A137" s="588">
        <v>1</v>
      </c>
      <c r="B137" s="587" t="s">
        <v>657</v>
      </c>
      <c r="C137" s="606">
        <v>6907</v>
      </c>
      <c r="D137" s="606">
        <v>7063</v>
      </c>
      <c r="E137" s="607">
        <f t="shared" ref="E137:E145" si="16">D137-C137</f>
        <v>156</v>
      </c>
    </row>
    <row r="138" spans="1:5" s="421" customFormat="1" x14ac:dyDescent="0.25">
      <c r="A138" s="588">
        <v>2</v>
      </c>
      <c r="B138" s="587" t="s">
        <v>636</v>
      </c>
      <c r="C138" s="606">
        <v>10031</v>
      </c>
      <c r="D138" s="606">
        <v>10192</v>
      </c>
      <c r="E138" s="607">
        <f t="shared" si="16"/>
        <v>161</v>
      </c>
    </row>
    <row r="139" spans="1:5" s="421" customFormat="1" x14ac:dyDescent="0.25">
      <c r="A139" s="588">
        <v>3</v>
      </c>
      <c r="B139" s="587" t="s">
        <v>778</v>
      </c>
      <c r="C139" s="606">
        <f>C140+C141</f>
        <v>3594</v>
      </c>
      <c r="D139" s="606">
        <f>D140+D141</f>
        <v>3725</v>
      </c>
      <c r="E139" s="607">
        <f t="shared" si="16"/>
        <v>131</v>
      </c>
    </row>
    <row r="140" spans="1:5" s="421" customFormat="1" x14ac:dyDescent="0.25">
      <c r="A140" s="588">
        <v>4</v>
      </c>
      <c r="B140" s="587" t="s">
        <v>115</v>
      </c>
      <c r="C140" s="606">
        <v>3528</v>
      </c>
      <c r="D140" s="606">
        <v>3664</v>
      </c>
      <c r="E140" s="607">
        <f t="shared" si="16"/>
        <v>136</v>
      </c>
    </row>
    <row r="141" spans="1:5" s="421" customFormat="1" x14ac:dyDescent="0.25">
      <c r="A141" s="588">
        <v>5</v>
      </c>
      <c r="B141" s="587" t="s">
        <v>744</v>
      </c>
      <c r="C141" s="606">
        <v>66</v>
      </c>
      <c r="D141" s="606">
        <v>61</v>
      </c>
      <c r="E141" s="607">
        <f t="shared" si="16"/>
        <v>-5</v>
      </c>
    </row>
    <row r="142" spans="1:5" s="421" customFormat="1" x14ac:dyDescent="0.25">
      <c r="A142" s="588">
        <v>6</v>
      </c>
      <c r="B142" s="587" t="s">
        <v>424</v>
      </c>
      <c r="C142" s="606">
        <v>26</v>
      </c>
      <c r="D142" s="606">
        <v>31</v>
      </c>
      <c r="E142" s="607">
        <f t="shared" si="16"/>
        <v>5</v>
      </c>
    </row>
    <row r="143" spans="1:5" s="421" customFormat="1" x14ac:dyDescent="0.25">
      <c r="A143" s="588">
        <v>7</v>
      </c>
      <c r="B143" s="587" t="s">
        <v>759</v>
      </c>
      <c r="C143" s="606">
        <v>306</v>
      </c>
      <c r="D143" s="606">
        <v>327</v>
      </c>
      <c r="E143" s="607">
        <f t="shared" si="16"/>
        <v>21</v>
      </c>
    </row>
    <row r="144" spans="1:5" s="421" customFormat="1" x14ac:dyDescent="0.25">
      <c r="A144" s="588"/>
      <c r="B144" s="592" t="s">
        <v>808</v>
      </c>
      <c r="C144" s="608">
        <f>SUM(C138+C139+C142)</f>
        <v>13651</v>
      </c>
      <c r="D144" s="608">
        <f>SUM(D138+D139+D142)</f>
        <v>13948</v>
      </c>
      <c r="E144" s="609">
        <f t="shared" si="16"/>
        <v>297</v>
      </c>
    </row>
    <row r="145" spans="1:5" s="421" customFormat="1" x14ac:dyDescent="0.25">
      <c r="A145" s="588"/>
      <c r="B145" s="592" t="s">
        <v>138</v>
      </c>
      <c r="C145" s="608">
        <f>SUM(C137+C144)</f>
        <v>20558</v>
      </c>
      <c r="D145" s="608">
        <f>SUM(D137+D144)</f>
        <v>21011</v>
      </c>
      <c r="E145" s="609">
        <f t="shared" si="16"/>
        <v>453</v>
      </c>
    </row>
    <row r="146" spans="1:5" s="421" customFormat="1" x14ac:dyDescent="0.25">
      <c r="A146" s="588"/>
      <c r="B146" s="587"/>
      <c r="C146" s="610"/>
      <c r="D146" s="610"/>
      <c r="E146" s="587"/>
    </row>
    <row r="147" spans="1:5" s="421" customFormat="1" x14ac:dyDescent="0.25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5">
      <c r="A148" s="588"/>
      <c r="B148" s="587"/>
      <c r="C148" s="610"/>
      <c r="D148" s="610"/>
      <c r="E148" s="587"/>
    </row>
    <row r="149" spans="1:5" s="421" customFormat="1" x14ac:dyDescent="0.25">
      <c r="A149" s="588">
        <v>1</v>
      </c>
      <c r="B149" s="587" t="s">
        <v>657</v>
      </c>
      <c r="C149" s="610">
        <v>27386</v>
      </c>
      <c r="D149" s="610">
        <v>27454</v>
      </c>
      <c r="E149" s="607">
        <f t="shared" ref="E149:E157" si="17">D149-C149</f>
        <v>68</v>
      </c>
    </row>
    <row r="150" spans="1:5" s="421" customFormat="1" x14ac:dyDescent="0.25">
      <c r="A150" s="588">
        <v>2</v>
      </c>
      <c r="B150" s="587" t="s">
        <v>636</v>
      </c>
      <c r="C150" s="610">
        <v>59642</v>
      </c>
      <c r="D150" s="610">
        <v>52360</v>
      </c>
      <c r="E150" s="607">
        <f t="shared" si="17"/>
        <v>-7282</v>
      </c>
    </row>
    <row r="151" spans="1:5" s="421" customFormat="1" x14ac:dyDescent="0.25">
      <c r="A151" s="588">
        <v>3</v>
      </c>
      <c r="B151" s="587" t="s">
        <v>778</v>
      </c>
      <c r="C151" s="610">
        <f>C152+C153</f>
        <v>16361</v>
      </c>
      <c r="D151" s="610">
        <f>D152+D153</f>
        <v>16730</v>
      </c>
      <c r="E151" s="607">
        <f t="shared" si="17"/>
        <v>369</v>
      </c>
    </row>
    <row r="152" spans="1:5" s="421" customFormat="1" x14ac:dyDescent="0.25">
      <c r="A152" s="588">
        <v>4</v>
      </c>
      <c r="B152" s="587" t="s">
        <v>115</v>
      </c>
      <c r="C152" s="610">
        <v>15997</v>
      </c>
      <c r="D152" s="610">
        <v>16489</v>
      </c>
      <c r="E152" s="607">
        <f t="shared" si="17"/>
        <v>492</v>
      </c>
    </row>
    <row r="153" spans="1:5" s="421" customFormat="1" x14ac:dyDescent="0.25">
      <c r="A153" s="588">
        <v>5</v>
      </c>
      <c r="B153" s="587" t="s">
        <v>744</v>
      </c>
      <c r="C153" s="611">
        <v>364</v>
      </c>
      <c r="D153" s="610">
        <v>241</v>
      </c>
      <c r="E153" s="607">
        <f t="shared" si="17"/>
        <v>-123</v>
      </c>
    </row>
    <row r="154" spans="1:5" s="421" customFormat="1" x14ac:dyDescent="0.25">
      <c r="A154" s="588">
        <v>6</v>
      </c>
      <c r="B154" s="587" t="s">
        <v>424</v>
      </c>
      <c r="C154" s="610">
        <v>72</v>
      </c>
      <c r="D154" s="610">
        <v>80</v>
      </c>
      <c r="E154" s="607">
        <f t="shared" si="17"/>
        <v>8</v>
      </c>
    </row>
    <row r="155" spans="1:5" s="421" customFormat="1" x14ac:dyDescent="0.25">
      <c r="A155" s="588">
        <v>7</v>
      </c>
      <c r="B155" s="587" t="s">
        <v>759</v>
      </c>
      <c r="C155" s="610">
        <v>1267</v>
      </c>
      <c r="D155" s="610">
        <v>1254</v>
      </c>
      <c r="E155" s="607">
        <f t="shared" si="17"/>
        <v>-13</v>
      </c>
    </row>
    <row r="156" spans="1:5" s="421" customFormat="1" x14ac:dyDescent="0.25">
      <c r="A156" s="588"/>
      <c r="B156" s="592" t="s">
        <v>809</v>
      </c>
      <c r="C156" s="608">
        <f>SUM(C150+C151+C154)</f>
        <v>76075</v>
      </c>
      <c r="D156" s="608">
        <f>SUM(D150+D151+D154)</f>
        <v>69170</v>
      </c>
      <c r="E156" s="609">
        <f t="shared" si="17"/>
        <v>-6905</v>
      </c>
    </row>
    <row r="157" spans="1:5" s="421" customFormat="1" x14ac:dyDescent="0.25">
      <c r="A157" s="588"/>
      <c r="B157" s="592" t="s">
        <v>140</v>
      </c>
      <c r="C157" s="608">
        <f>SUM(C149+C156)</f>
        <v>103461</v>
      </c>
      <c r="D157" s="608">
        <f>SUM(D149+D156)</f>
        <v>96624</v>
      </c>
      <c r="E157" s="609">
        <f t="shared" si="17"/>
        <v>-6837</v>
      </c>
    </row>
    <row r="158" spans="1:5" s="421" customFormat="1" x14ac:dyDescent="0.25">
      <c r="A158" s="588"/>
      <c r="B158" s="587"/>
      <c r="C158" s="610"/>
      <c r="D158" s="610"/>
      <c r="E158" s="587"/>
    </row>
    <row r="159" spans="1:5" s="421" customFormat="1" x14ac:dyDescent="0.25">
      <c r="A159" s="584" t="s">
        <v>36</v>
      </c>
      <c r="B159" s="585" t="s">
        <v>810</v>
      </c>
      <c r="C159" s="610"/>
      <c r="D159" s="610"/>
      <c r="E159" s="587"/>
    </row>
    <row r="160" spans="1:5" s="421" customFormat="1" x14ac:dyDescent="0.25">
      <c r="A160" s="588"/>
      <c r="B160" s="587"/>
      <c r="C160" s="610"/>
      <c r="D160" s="610"/>
      <c r="E160" s="587"/>
    </row>
    <row r="161" spans="1:5" s="421" customFormat="1" x14ac:dyDescent="0.25">
      <c r="A161" s="588">
        <v>1</v>
      </c>
      <c r="B161" s="587" t="s">
        <v>657</v>
      </c>
      <c r="C161" s="612">
        <f t="shared" ref="C161:D169" si="18">IF(C137=0,0,C149/C137)</f>
        <v>3.9649630809323875</v>
      </c>
      <c r="D161" s="612">
        <f t="shared" si="18"/>
        <v>3.8870168483647176</v>
      </c>
      <c r="E161" s="613">
        <f t="shared" ref="E161:E169" si="19">D161-C161</f>
        <v>-7.794623256766986E-2</v>
      </c>
    </row>
    <row r="162" spans="1:5" s="421" customFormat="1" x14ac:dyDescent="0.25">
      <c r="A162" s="588">
        <v>2</v>
      </c>
      <c r="B162" s="587" t="s">
        <v>636</v>
      </c>
      <c r="C162" s="612">
        <f t="shared" si="18"/>
        <v>5.945768118831622</v>
      </c>
      <c r="D162" s="612">
        <f t="shared" si="18"/>
        <v>5.1373626373626378</v>
      </c>
      <c r="E162" s="613">
        <f t="shared" si="19"/>
        <v>-0.80840548146898428</v>
      </c>
    </row>
    <row r="163" spans="1:5" s="421" customFormat="1" x14ac:dyDescent="0.25">
      <c r="A163" s="588">
        <v>3</v>
      </c>
      <c r="B163" s="587" t="s">
        <v>778</v>
      </c>
      <c r="C163" s="612">
        <f t="shared" si="18"/>
        <v>4.5523094045631609</v>
      </c>
      <c r="D163" s="612">
        <f t="shared" si="18"/>
        <v>4.4912751677852345</v>
      </c>
      <c r="E163" s="613">
        <f t="shared" si="19"/>
        <v>-6.1034236777926409E-2</v>
      </c>
    </row>
    <row r="164" spans="1:5" s="421" customFormat="1" x14ac:dyDescent="0.25">
      <c r="A164" s="588">
        <v>4</v>
      </c>
      <c r="B164" s="587" t="s">
        <v>115</v>
      </c>
      <c r="C164" s="612">
        <f t="shared" si="18"/>
        <v>4.5342970521541952</v>
      </c>
      <c r="D164" s="612">
        <f t="shared" si="18"/>
        <v>4.5002729257641922</v>
      </c>
      <c r="E164" s="613">
        <f t="shared" si="19"/>
        <v>-3.4024126390002962E-2</v>
      </c>
    </row>
    <row r="165" spans="1:5" s="421" customFormat="1" x14ac:dyDescent="0.25">
      <c r="A165" s="588">
        <v>5</v>
      </c>
      <c r="B165" s="587" t="s">
        <v>744</v>
      </c>
      <c r="C165" s="612">
        <f t="shared" si="18"/>
        <v>5.5151515151515156</v>
      </c>
      <c r="D165" s="612">
        <f t="shared" si="18"/>
        <v>3.9508196721311477</v>
      </c>
      <c r="E165" s="613">
        <f t="shared" si="19"/>
        <v>-1.5643318430203679</v>
      </c>
    </row>
    <row r="166" spans="1:5" s="421" customFormat="1" x14ac:dyDescent="0.25">
      <c r="A166" s="588">
        <v>6</v>
      </c>
      <c r="B166" s="587" t="s">
        <v>424</v>
      </c>
      <c r="C166" s="612">
        <f t="shared" si="18"/>
        <v>2.7692307692307692</v>
      </c>
      <c r="D166" s="612">
        <f t="shared" si="18"/>
        <v>2.5806451612903225</v>
      </c>
      <c r="E166" s="613">
        <f t="shared" si="19"/>
        <v>-0.18858560794044665</v>
      </c>
    </row>
    <row r="167" spans="1:5" s="421" customFormat="1" x14ac:dyDescent="0.25">
      <c r="A167" s="588">
        <v>7</v>
      </c>
      <c r="B167" s="587" t="s">
        <v>759</v>
      </c>
      <c r="C167" s="612">
        <f t="shared" si="18"/>
        <v>4.1405228758169939</v>
      </c>
      <c r="D167" s="612">
        <f t="shared" si="18"/>
        <v>3.834862385321101</v>
      </c>
      <c r="E167" s="613">
        <f t="shared" si="19"/>
        <v>-0.30566049049589283</v>
      </c>
    </row>
    <row r="168" spans="1:5" s="421" customFormat="1" x14ac:dyDescent="0.25">
      <c r="A168" s="588"/>
      <c r="B168" s="592" t="s">
        <v>811</v>
      </c>
      <c r="C168" s="614">
        <f t="shared" si="18"/>
        <v>5.5728518057285177</v>
      </c>
      <c r="D168" s="614">
        <f t="shared" si="18"/>
        <v>4.9591339260108978</v>
      </c>
      <c r="E168" s="615">
        <f t="shared" si="19"/>
        <v>-0.61371787971761993</v>
      </c>
    </row>
    <row r="169" spans="1:5" s="421" customFormat="1" x14ac:dyDescent="0.25">
      <c r="A169" s="588"/>
      <c r="B169" s="592" t="s">
        <v>745</v>
      </c>
      <c r="C169" s="614">
        <f t="shared" si="18"/>
        <v>5.0326393618056233</v>
      </c>
      <c r="D169" s="614">
        <f t="shared" si="18"/>
        <v>4.5987339964780354</v>
      </c>
      <c r="E169" s="615">
        <f t="shared" si="19"/>
        <v>-0.43390536532758794</v>
      </c>
    </row>
    <row r="170" spans="1:5" s="421" customFormat="1" x14ac:dyDescent="0.25">
      <c r="A170" s="588"/>
      <c r="B170" s="587"/>
      <c r="C170" s="610"/>
      <c r="D170" s="610"/>
      <c r="E170" s="616"/>
    </row>
    <row r="171" spans="1:5" s="421" customFormat="1" x14ac:dyDescent="0.25">
      <c r="A171" s="584" t="s">
        <v>170</v>
      </c>
      <c r="B171" s="585" t="s">
        <v>812</v>
      </c>
      <c r="C171" s="587"/>
      <c r="D171" s="587"/>
      <c r="E171" s="616"/>
    </row>
    <row r="172" spans="1:5" s="421" customFormat="1" x14ac:dyDescent="0.25">
      <c r="A172" s="588"/>
      <c r="B172" s="587"/>
      <c r="C172" s="587"/>
      <c r="D172" s="587"/>
      <c r="E172" s="616"/>
    </row>
    <row r="173" spans="1:5" s="421" customFormat="1" x14ac:dyDescent="0.25">
      <c r="A173" s="588">
        <v>1</v>
      </c>
      <c r="B173" s="587" t="s">
        <v>657</v>
      </c>
      <c r="C173" s="617">
        <f t="shared" ref="C173:D181" si="20">IF(C137=0,0,C203/C137)</f>
        <v>1.2779</v>
      </c>
      <c r="D173" s="617">
        <f t="shared" si="20"/>
        <v>1.2866999999999997</v>
      </c>
      <c r="E173" s="618">
        <f t="shared" ref="E173:E181" si="21">D173-C173</f>
        <v>8.799999999999697E-3</v>
      </c>
    </row>
    <row r="174" spans="1:5" s="421" customFormat="1" x14ac:dyDescent="0.25">
      <c r="A174" s="588">
        <v>2</v>
      </c>
      <c r="B174" s="587" t="s">
        <v>636</v>
      </c>
      <c r="C174" s="617">
        <f t="shared" si="20"/>
        <v>1.5479000000000001</v>
      </c>
      <c r="D174" s="617">
        <f t="shared" si="20"/>
        <v>1.5397000000000001</v>
      </c>
      <c r="E174" s="618">
        <f t="shared" si="21"/>
        <v>-8.1999999999999851E-3</v>
      </c>
    </row>
    <row r="175" spans="1:5" s="421" customFormat="1" x14ac:dyDescent="0.25">
      <c r="A175" s="588">
        <v>3</v>
      </c>
      <c r="B175" s="587" t="s">
        <v>778</v>
      </c>
      <c r="C175" s="617">
        <f t="shared" si="20"/>
        <v>1.0828033388981635</v>
      </c>
      <c r="D175" s="617">
        <f t="shared" si="20"/>
        <v>1.1267897718120805</v>
      </c>
      <c r="E175" s="618">
        <f t="shared" si="21"/>
        <v>4.3986432913917017E-2</v>
      </c>
    </row>
    <row r="176" spans="1:5" s="421" customFormat="1" x14ac:dyDescent="0.25">
      <c r="A176" s="588">
        <v>4</v>
      </c>
      <c r="B176" s="587" t="s">
        <v>115</v>
      </c>
      <c r="C176" s="617">
        <f t="shared" si="20"/>
        <v>1.0754999999999999</v>
      </c>
      <c r="D176" s="617">
        <f t="shared" si="20"/>
        <v>1.1249</v>
      </c>
      <c r="E176" s="618">
        <f t="shared" si="21"/>
        <v>4.940000000000011E-2</v>
      </c>
    </row>
    <row r="177" spans="1:5" s="421" customFormat="1" x14ac:dyDescent="0.25">
      <c r="A177" s="588">
        <v>5</v>
      </c>
      <c r="B177" s="587" t="s">
        <v>744</v>
      </c>
      <c r="C177" s="617">
        <f t="shared" si="20"/>
        <v>1.4732000000000001</v>
      </c>
      <c r="D177" s="617">
        <f t="shared" si="20"/>
        <v>1.2403</v>
      </c>
      <c r="E177" s="618">
        <f t="shared" si="21"/>
        <v>-0.23290000000000011</v>
      </c>
    </row>
    <row r="178" spans="1:5" s="421" customFormat="1" x14ac:dyDescent="0.25">
      <c r="A178" s="588">
        <v>6</v>
      </c>
      <c r="B178" s="587" t="s">
        <v>424</v>
      </c>
      <c r="C178" s="617">
        <f t="shared" si="20"/>
        <v>0.64140000000000008</v>
      </c>
      <c r="D178" s="617">
        <f t="shared" si="20"/>
        <v>0.99070000000000003</v>
      </c>
      <c r="E178" s="618">
        <f t="shared" si="21"/>
        <v>0.34929999999999994</v>
      </c>
    </row>
    <row r="179" spans="1:5" s="421" customFormat="1" x14ac:dyDescent="0.25">
      <c r="A179" s="588">
        <v>7</v>
      </c>
      <c r="B179" s="587" t="s">
        <v>759</v>
      </c>
      <c r="C179" s="617">
        <f t="shared" si="20"/>
        <v>1.2467999999999999</v>
      </c>
      <c r="D179" s="617">
        <f t="shared" si="20"/>
        <v>1.2983</v>
      </c>
      <c r="E179" s="618">
        <f t="shared" si="21"/>
        <v>5.1500000000000101E-2</v>
      </c>
    </row>
    <row r="180" spans="1:5" s="421" customFormat="1" x14ac:dyDescent="0.25">
      <c r="A180" s="588"/>
      <c r="B180" s="592" t="s">
        <v>813</v>
      </c>
      <c r="C180" s="619">
        <f t="shared" si="20"/>
        <v>1.4237240128928284</v>
      </c>
      <c r="D180" s="619">
        <f t="shared" si="20"/>
        <v>1.4282066246056782</v>
      </c>
      <c r="E180" s="620">
        <f t="shared" si="21"/>
        <v>4.4826117128498044E-3</v>
      </c>
    </row>
    <row r="181" spans="1:5" s="421" customFormat="1" x14ac:dyDescent="0.25">
      <c r="A181" s="588"/>
      <c r="B181" s="592" t="s">
        <v>724</v>
      </c>
      <c r="C181" s="619">
        <f t="shared" si="20"/>
        <v>1.3747306060900863</v>
      </c>
      <c r="D181" s="619">
        <f t="shared" si="20"/>
        <v>1.3806381466850697</v>
      </c>
      <c r="E181" s="620">
        <f t="shared" si="21"/>
        <v>5.9075405949833293E-3</v>
      </c>
    </row>
    <row r="182" spans="1:5" s="421" customFormat="1" x14ac:dyDescent="0.25">
      <c r="A182" s="584"/>
      <c r="B182" s="587"/>
      <c r="C182" s="621"/>
      <c r="D182" s="621"/>
      <c r="E182" s="587"/>
    </row>
    <row r="183" spans="1:5" s="421" customFormat="1" x14ac:dyDescent="0.25">
      <c r="A183" s="584" t="s">
        <v>175</v>
      </c>
      <c r="B183" s="585" t="s">
        <v>814</v>
      </c>
      <c r="C183" s="425"/>
      <c r="D183" s="425"/>
      <c r="E183" s="587"/>
    </row>
    <row r="184" spans="1:5" s="421" customFormat="1" x14ac:dyDescent="0.25">
      <c r="A184" s="582"/>
      <c r="B184" s="587"/>
      <c r="C184" s="621"/>
      <c r="D184" s="621"/>
      <c r="E184" s="587"/>
    </row>
    <row r="185" spans="1:5" s="421" customFormat="1" x14ac:dyDescent="0.25">
      <c r="A185" s="588">
        <v>1</v>
      </c>
      <c r="B185" s="587" t="s">
        <v>815</v>
      </c>
      <c r="C185" s="589">
        <v>535124832</v>
      </c>
      <c r="D185" s="589">
        <v>577536176</v>
      </c>
      <c r="E185" s="590">
        <f>D185-C185</f>
        <v>42411344</v>
      </c>
    </row>
    <row r="186" spans="1:5" s="421" customFormat="1" ht="26.4" x14ac:dyDescent="0.25">
      <c r="A186" s="588">
        <v>2</v>
      </c>
      <c r="B186" s="587" t="s">
        <v>816</v>
      </c>
      <c r="C186" s="589">
        <v>312135754</v>
      </c>
      <c r="D186" s="589">
        <v>338099919</v>
      </c>
      <c r="E186" s="590">
        <f>D186-C186</f>
        <v>25964165</v>
      </c>
    </row>
    <row r="187" spans="1:5" s="421" customFormat="1" x14ac:dyDescent="0.25">
      <c r="A187" s="588"/>
      <c r="B187" s="587" t="s">
        <v>669</v>
      </c>
      <c r="C187" s="586"/>
      <c r="D187" s="586"/>
      <c r="E187" s="587"/>
    </row>
    <row r="188" spans="1:5" s="421" customFormat="1" x14ac:dyDescent="0.25">
      <c r="A188" s="588">
        <v>3</v>
      </c>
      <c r="B188" s="587" t="s">
        <v>748</v>
      </c>
      <c r="C188" s="622">
        <f>+C185-C186</f>
        <v>222989078</v>
      </c>
      <c r="D188" s="622">
        <f>+D185-D186</f>
        <v>239436257</v>
      </c>
      <c r="E188" s="590">
        <f t="shared" ref="E188:E197" si="22">D188-C188</f>
        <v>16447179</v>
      </c>
    </row>
    <row r="189" spans="1:5" s="421" customFormat="1" x14ac:dyDescent="0.25">
      <c r="A189" s="588">
        <v>4</v>
      </c>
      <c r="B189" s="587" t="s">
        <v>671</v>
      </c>
      <c r="C189" s="623">
        <f>IF(C185=0,0,+C188/C185)</f>
        <v>0.4167047848753167</v>
      </c>
      <c r="D189" s="623">
        <f>IF(D185=0,0,+D188/D185)</f>
        <v>0.41458226679119753</v>
      </c>
      <c r="E189" s="599">
        <f t="shared" si="22"/>
        <v>-2.1225180841191738E-3</v>
      </c>
    </row>
    <row r="190" spans="1:5" s="421" customFormat="1" x14ac:dyDescent="0.25">
      <c r="A190" s="588">
        <v>5</v>
      </c>
      <c r="B190" s="587" t="s">
        <v>763</v>
      </c>
      <c r="C190" s="589">
        <v>33602226</v>
      </c>
      <c r="D190" s="589">
        <v>37228342</v>
      </c>
      <c r="E190" s="622">
        <f t="shared" si="22"/>
        <v>3626116</v>
      </c>
    </row>
    <row r="191" spans="1:5" s="421" customFormat="1" x14ac:dyDescent="0.25">
      <c r="A191" s="588">
        <v>6</v>
      </c>
      <c r="B191" s="587" t="s">
        <v>749</v>
      </c>
      <c r="C191" s="589">
        <v>20378593</v>
      </c>
      <c r="D191" s="589">
        <v>22981106</v>
      </c>
      <c r="E191" s="622">
        <f t="shared" si="22"/>
        <v>2602513</v>
      </c>
    </row>
    <row r="192" spans="1:5" ht="27.6" x14ac:dyDescent="0.25">
      <c r="A192" s="588">
        <v>7</v>
      </c>
      <c r="B192" s="624" t="s">
        <v>817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5">
      <c r="A193" s="588">
        <v>8</v>
      </c>
      <c r="B193" s="587" t="s">
        <v>818</v>
      </c>
      <c r="C193" s="589">
        <v>16274798</v>
      </c>
      <c r="D193" s="589">
        <v>18294245</v>
      </c>
      <c r="E193" s="622">
        <f t="shared" si="22"/>
        <v>2019447</v>
      </c>
    </row>
    <row r="194" spans="1:5" s="421" customFormat="1" x14ac:dyDescent="0.25">
      <c r="A194" s="588">
        <v>9</v>
      </c>
      <c r="B194" s="587" t="s">
        <v>819</v>
      </c>
      <c r="C194" s="589">
        <v>21154457</v>
      </c>
      <c r="D194" s="589">
        <v>18796578</v>
      </c>
      <c r="E194" s="622">
        <f t="shared" si="22"/>
        <v>-2357879</v>
      </c>
    </row>
    <row r="195" spans="1:5" s="421" customFormat="1" x14ac:dyDescent="0.25">
      <c r="A195" s="588">
        <v>10</v>
      </c>
      <c r="B195" s="587" t="s">
        <v>820</v>
      </c>
      <c r="C195" s="589">
        <f>+C193+C194</f>
        <v>37429255</v>
      </c>
      <c r="D195" s="589">
        <f>+D193+D194</f>
        <v>37090823</v>
      </c>
      <c r="E195" s="625">
        <f t="shared" si="22"/>
        <v>-338432</v>
      </c>
    </row>
    <row r="196" spans="1:5" s="421" customFormat="1" x14ac:dyDescent="0.25">
      <c r="A196" s="588">
        <v>11</v>
      </c>
      <c r="B196" s="587" t="s">
        <v>821</v>
      </c>
      <c r="C196" s="589">
        <v>16591387</v>
      </c>
      <c r="D196" s="589">
        <v>19327727</v>
      </c>
      <c r="E196" s="622">
        <f t="shared" si="22"/>
        <v>2736340</v>
      </c>
    </row>
    <row r="197" spans="1:5" s="421" customFormat="1" x14ac:dyDescent="0.25">
      <c r="A197" s="588">
        <v>12</v>
      </c>
      <c r="B197" s="587" t="s">
        <v>711</v>
      </c>
      <c r="C197" s="589">
        <v>624338000</v>
      </c>
      <c r="D197" s="589">
        <v>644970000</v>
      </c>
      <c r="E197" s="622">
        <f t="shared" si="22"/>
        <v>20632000</v>
      </c>
    </row>
    <row r="198" spans="1:5" s="421" customFormat="1" x14ac:dyDescent="0.25">
      <c r="A198" s="588"/>
      <c r="B198" s="587"/>
      <c r="C198" s="589"/>
      <c r="D198" s="589"/>
      <c r="E198" s="586"/>
    </row>
    <row r="199" spans="1:5" s="421" customFormat="1" ht="15.75" customHeight="1" x14ac:dyDescent="0.3">
      <c r="A199" s="605" t="s">
        <v>143</v>
      </c>
      <c r="B199" s="626" t="s">
        <v>822</v>
      </c>
      <c r="C199" s="586"/>
      <c r="D199" s="586"/>
      <c r="E199" s="586"/>
    </row>
    <row r="200" spans="1:5" s="421" customFormat="1" x14ac:dyDescent="0.25">
      <c r="A200" s="584"/>
      <c r="B200" s="627"/>
      <c r="C200" s="586"/>
      <c r="D200" s="586"/>
      <c r="E200" s="586"/>
    </row>
    <row r="201" spans="1:5" s="421" customFormat="1" x14ac:dyDescent="0.25">
      <c r="A201" s="584" t="s">
        <v>14</v>
      </c>
      <c r="B201" s="585" t="s">
        <v>823</v>
      </c>
      <c r="C201" s="586"/>
      <c r="D201" s="586"/>
      <c r="E201" s="586"/>
    </row>
    <row r="202" spans="1:5" s="421" customFormat="1" x14ac:dyDescent="0.25">
      <c r="B202" s="628"/>
      <c r="C202" s="586"/>
      <c r="D202" s="586"/>
      <c r="E202" s="586"/>
    </row>
    <row r="203" spans="1:5" s="421" customFormat="1" x14ac:dyDescent="0.25">
      <c r="A203" s="588">
        <v>1</v>
      </c>
      <c r="B203" s="587" t="s">
        <v>657</v>
      </c>
      <c r="C203" s="629">
        <v>8826.4552999999996</v>
      </c>
      <c r="D203" s="629">
        <v>9087.9620999999988</v>
      </c>
      <c r="E203" s="630">
        <f t="shared" ref="E203:E211" si="23">D203-C203</f>
        <v>261.5067999999992</v>
      </c>
    </row>
    <row r="204" spans="1:5" s="421" customFormat="1" x14ac:dyDescent="0.25">
      <c r="A204" s="588">
        <v>2</v>
      </c>
      <c r="B204" s="587" t="s">
        <v>636</v>
      </c>
      <c r="C204" s="629">
        <v>15526.984900000001</v>
      </c>
      <c r="D204" s="629">
        <v>15692.6224</v>
      </c>
      <c r="E204" s="630">
        <f t="shared" si="23"/>
        <v>165.63749999999891</v>
      </c>
    </row>
    <row r="205" spans="1:5" s="421" customFormat="1" x14ac:dyDescent="0.25">
      <c r="A205" s="588">
        <v>3</v>
      </c>
      <c r="B205" s="587" t="s">
        <v>778</v>
      </c>
      <c r="C205" s="629">
        <f>C206+C207</f>
        <v>3891.5951999999997</v>
      </c>
      <c r="D205" s="629">
        <f>D206+D207</f>
        <v>4197.2919000000002</v>
      </c>
      <c r="E205" s="630">
        <f t="shared" si="23"/>
        <v>305.69670000000042</v>
      </c>
    </row>
    <row r="206" spans="1:5" s="421" customFormat="1" x14ac:dyDescent="0.25">
      <c r="A206" s="588">
        <v>4</v>
      </c>
      <c r="B206" s="587" t="s">
        <v>115</v>
      </c>
      <c r="C206" s="629">
        <v>3794.3639999999996</v>
      </c>
      <c r="D206" s="629">
        <v>4121.6336000000001</v>
      </c>
      <c r="E206" s="630">
        <f t="shared" si="23"/>
        <v>327.26960000000054</v>
      </c>
    </row>
    <row r="207" spans="1:5" s="421" customFormat="1" x14ac:dyDescent="0.25">
      <c r="A207" s="588">
        <v>5</v>
      </c>
      <c r="B207" s="587" t="s">
        <v>744</v>
      </c>
      <c r="C207" s="629">
        <v>97.231200000000001</v>
      </c>
      <c r="D207" s="629">
        <v>75.658299999999997</v>
      </c>
      <c r="E207" s="630">
        <f t="shared" si="23"/>
        <v>-21.572900000000004</v>
      </c>
    </row>
    <row r="208" spans="1:5" s="421" customFormat="1" x14ac:dyDescent="0.25">
      <c r="A208" s="588">
        <v>6</v>
      </c>
      <c r="B208" s="587" t="s">
        <v>424</v>
      </c>
      <c r="C208" s="629">
        <v>16.676400000000001</v>
      </c>
      <c r="D208" s="629">
        <v>30.7117</v>
      </c>
      <c r="E208" s="630">
        <f t="shared" si="23"/>
        <v>14.035299999999999</v>
      </c>
    </row>
    <row r="209" spans="1:5" s="421" customFormat="1" x14ac:dyDescent="0.25">
      <c r="A209" s="588">
        <v>7</v>
      </c>
      <c r="B209" s="587" t="s">
        <v>759</v>
      </c>
      <c r="C209" s="629">
        <v>381.52079999999995</v>
      </c>
      <c r="D209" s="629">
        <v>424.54410000000001</v>
      </c>
      <c r="E209" s="630">
        <f t="shared" si="23"/>
        <v>43.023300000000063</v>
      </c>
    </row>
    <row r="210" spans="1:5" s="421" customFormat="1" x14ac:dyDescent="0.25">
      <c r="A210" s="588"/>
      <c r="B210" s="592" t="s">
        <v>824</v>
      </c>
      <c r="C210" s="631">
        <f>C204+C205+C208</f>
        <v>19435.2565</v>
      </c>
      <c r="D210" s="631">
        <f>D204+D205+D208</f>
        <v>19920.626</v>
      </c>
      <c r="E210" s="632">
        <f t="shared" si="23"/>
        <v>485.3695000000007</v>
      </c>
    </row>
    <row r="211" spans="1:5" s="421" customFormat="1" x14ac:dyDescent="0.25">
      <c r="A211" s="588"/>
      <c r="B211" s="592" t="s">
        <v>725</v>
      </c>
      <c r="C211" s="631">
        <f>C210+C203</f>
        <v>28261.711799999997</v>
      </c>
      <c r="D211" s="631">
        <f>D210+D203</f>
        <v>29008.588100000001</v>
      </c>
      <c r="E211" s="632">
        <f t="shared" si="23"/>
        <v>746.87630000000354</v>
      </c>
    </row>
    <row r="212" spans="1:5" s="421" customFormat="1" x14ac:dyDescent="0.25">
      <c r="A212" s="588"/>
      <c r="B212" s="627"/>
      <c r="C212" s="586"/>
      <c r="D212" s="586"/>
      <c r="E212" s="631"/>
    </row>
    <row r="213" spans="1:5" s="421" customFormat="1" x14ac:dyDescent="0.25">
      <c r="A213" s="584" t="s">
        <v>26</v>
      </c>
      <c r="B213" s="585" t="s">
        <v>825</v>
      </c>
      <c r="C213" s="586"/>
      <c r="D213" s="586"/>
      <c r="E213" s="631"/>
    </row>
    <row r="214" spans="1:5" s="421" customFormat="1" x14ac:dyDescent="0.25">
      <c r="A214" s="582"/>
      <c r="B214" s="627"/>
      <c r="C214" s="586"/>
      <c r="D214" s="586"/>
      <c r="E214" s="586"/>
    </row>
    <row r="215" spans="1:5" s="421" customFormat="1" x14ac:dyDescent="0.25">
      <c r="A215" s="588">
        <v>1</v>
      </c>
      <c r="B215" s="587" t="s">
        <v>657</v>
      </c>
      <c r="C215" s="633">
        <f>IF(C14*C137=0,0,C25/C14*C137)</f>
        <v>13990.596799843119</v>
      </c>
      <c r="D215" s="633">
        <f>IF(D14*D137=0,0,D25/D14*D137)</f>
        <v>14326.857969004326</v>
      </c>
      <c r="E215" s="633">
        <f t="shared" ref="E215:E223" si="24">D215-C215</f>
        <v>336.26116916120736</v>
      </c>
    </row>
    <row r="216" spans="1:5" s="421" customFormat="1" x14ac:dyDescent="0.25">
      <c r="A216" s="588">
        <v>2</v>
      </c>
      <c r="B216" s="587" t="s">
        <v>636</v>
      </c>
      <c r="C216" s="633">
        <f>IF(C15*C138=0,0,C26/C15*C138)</f>
        <v>8232.9037406695807</v>
      </c>
      <c r="D216" s="633">
        <f>IF(D15*D138=0,0,D26/D15*D138)</f>
        <v>8846.6325727194071</v>
      </c>
      <c r="E216" s="633">
        <f t="shared" si="24"/>
        <v>613.72883204982645</v>
      </c>
    </row>
    <row r="217" spans="1:5" s="421" customFormat="1" x14ac:dyDescent="0.25">
      <c r="A217" s="588">
        <v>3</v>
      </c>
      <c r="B217" s="587" t="s">
        <v>778</v>
      </c>
      <c r="C217" s="633">
        <f>C218+C219</f>
        <v>4714.3084863317863</v>
      </c>
      <c r="D217" s="633">
        <f>D218+D219</f>
        <v>4858.2026444710955</v>
      </c>
      <c r="E217" s="633">
        <f t="shared" si="24"/>
        <v>143.89415813930918</v>
      </c>
    </row>
    <row r="218" spans="1:5" s="421" customFormat="1" x14ac:dyDescent="0.25">
      <c r="A218" s="588">
        <v>4</v>
      </c>
      <c r="B218" s="587" t="s">
        <v>115</v>
      </c>
      <c r="C218" s="633">
        <f t="shared" ref="C218:D221" si="25">IF(C17*C140=0,0,C28/C17*C140)</f>
        <v>4668.3682741206603</v>
      </c>
      <c r="D218" s="633">
        <f t="shared" si="25"/>
        <v>4788.1512878423955</v>
      </c>
      <c r="E218" s="633">
        <f t="shared" si="24"/>
        <v>119.78301372173519</v>
      </c>
    </row>
    <row r="219" spans="1:5" s="421" customFormat="1" x14ac:dyDescent="0.25">
      <c r="A219" s="588">
        <v>5</v>
      </c>
      <c r="B219" s="587" t="s">
        <v>744</v>
      </c>
      <c r="C219" s="633">
        <f t="shared" si="25"/>
        <v>45.940212211125804</v>
      </c>
      <c r="D219" s="633">
        <f t="shared" si="25"/>
        <v>70.051356628699608</v>
      </c>
      <c r="E219" s="633">
        <f t="shared" si="24"/>
        <v>24.111144417573804</v>
      </c>
    </row>
    <row r="220" spans="1:5" s="421" customFormat="1" x14ac:dyDescent="0.25">
      <c r="A220" s="588">
        <v>6</v>
      </c>
      <c r="B220" s="587" t="s">
        <v>424</v>
      </c>
      <c r="C220" s="633">
        <f t="shared" si="25"/>
        <v>93.009687105665819</v>
      </c>
      <c r="D220" s="633">
        <f t="shared" si="25"/>
        <v>85.566550688637278</v>
      </c>
      <c r="E220" s="633">
        <f t="shared" si="24"/>
        <v>-7.4431364170285406</v>
      </c>
    </row>
    <row r="221" spans="1:5" s="421" customFormat="1" x14ac:dyDescent="0.25">
      <c r="A221" s="588">
        <v>7</v>
      </c>
      <c r="B221" s="587" t="s">
        <v>759</v>
      </c>
      <c r="C221" s="633">
        <f t="shared" si="25"/>
        <v>996.67501572625633</v>
      </c>
      <c r="D221" s="633">
        <f t="shared" si="25"/>
        <v>1310.3316012969049</v>
      </c>
      <c r="E221" s="633">
        <f t="shared" si="24"/>
        <v>313.65658557064853</v>
      </c>
    </row>
    <row r="222" spans="1:5" s="421" customFormat="1" x14ac:dyDescent="0.25">
      <c r="A222" s="588"/>
      <c r="B222" s="592" t="s">
        <v>826</v>
      </c>
      <c r="C222" s="634">
        <f>C216+C218+C219+C220</f>
        <v>13040.221914107033</v>
      </c>
      <c r="D222" s="634">
        <f>D216+D218+D219+D220</f>
        <v>13790.401767879139</v>
      </c>
      <c r="E222" s="634">
        <f t="shared" si="24"/>
        <v>750.17985377210607</v>
      </c>
    </row>
    <row r="223" spans="1:5" s="421" customFormat="1" x14ac:dyDescent="0.25">
      <c r="A223" s="588"/>
      <c r="B223" s="592" t="s">
        <v>827</v>
      </c>
      <c r="C223" s="634">
        <f>C215+C222</f>
        <v>27030.818713950153</v>
      </c>
      <c r="D223" s="634">
        <f>D215+D222</f>
        <v>28117.259736883465</v>
      </c>
      <c r="E223" s="634">
        <f t="shared" si="24"/>
        <v>1086.4410229333116</v>
      </c>
    </row>
    <row r="224" spans="1:5" s="421" customFormat="1" x14ac:dyDescent="0.25">
      <c r="A224" s="582"/>
      <c r="B224" s="627"/>
      <c r="C224" s="586"/>
      <c r="D224" s="586"/>
      <c r="E224" s="635"/>
    </row>
    <row r="225" spans="1:5" s="421" customFormat="1" x14ac:dyDescent="0.25">
      <c r="A225" s="584" t="s">
        <v>36</v>
      </c>
      <c r="B225" s="585" t="s">
        <v>828</v>
      </c>
      <c r="C225" s="586"/>
      <c r="D225" s="586"/>
      <c r="E225" s="635"/>
    </row>
    <row r="226" spans="1:5" s="421" customFormat="1" x14ac:dyDescent="0.25">
      <c r="A226" s="582"/>
      <c r="B226" s="627"/>
      <c r="C226" s="586"/>
      <c r="D226" s="586"/>
      <c r="E226" s="635"/>
    </row>
    <row r="227" spans="1:5" s="421" customFormat="1" x14ac:dyDescent="0.25">
      <c r="A227" s="588">
        <v>1</v>
      </c>
      <c r="B227" s="587" t="s">
        <v>657</v>
      </c>
      <c r="C227" s="636">
        <f t="shared" ref="C227:D235" si="26">IF(C203=0,0,C47/C203)</f>
        <v>12595.837198654368</v>
      </c>
      <c r="D227" s="636">
        <f t="shared" si="26"/>
        <v>12898.417567124319</v>
      </c>
      <c r="E227" s="636">
        <f t="shared" ref="E227:E235" si="27">D227-C227</f>
        <v>302.58036846995128</v>
      </c>
    </row>
    <row r="228" spans="1:5" s="421" customFormat="1" x14ac:dyDescent="0.25">
      <c r="A228" s="588">
        <v>2</v>
      </c>
      <c r="B228" s="587" t="s">
        <v>636</v>
      </c>
      <c r="C228" s="636">
        <f t="shared" si="26"/>
        <v>7843.6330546054687</v>
      </c>
      <c r="D228" s="636">
        <f t="shared" si="26"/>
        <v>7606.947325770102</v>
      </c>
      <c r="E228" s="636">
        <f t="shared" si="27"/>
        <v>-236.68572883536672</v>
      </c>
    </row>
    <row r="229" spans="1:5" s="421" customFormat="1" x14ac:dyDescent="0.25">
      <c r="A229" s="588">
        <v>3</v>
      </c>
      <c r="B229" s="587" t="s">
        <v>778</v>
      </c>
      <c r="C229" s="636">
        <f t="shared" si="26"/>
        <v>4828.4621175398715</v>
      </c>
      <c r="D229" s="636">
        <f t="shared" si="26"/>
        <v>5004.2123589260018</v>
      </c>
      <c r="E229" s="636">
        <f t="shared" si="27"/>
        <v>175.75024138613026</v>
      </c>
    </row>
    <row r="230" spans="1:5" s="421" customFormat="1" x14ac:dyDescent="0.25">
      <c r="A230" s="588">
        <v>4</v>
      </c>
      <c r="B230" s="587" t="s">
        <v>115</v>
      </c>
      <c r="C230" s="636">
        <f t="shared" si="26"/>
        <v>4794.6894393895791</v>
      </c>
      <c r="D230" s="636">
        <f t="shared" si="26"/>
        <v>5023.6954590044097</v>
      </c>
      <c r="E230" s="636">
        <f t="shared" si="27"/>
        <v>229.00601961483062</v>
      </c>
    </row>
    <row r="231" spans="1:5" s="421" customFormat="1" x14ac:dyDescent="0.25">
      <c r="A231" s="588">
        <v>5</v>
      </c>
      <c r="B231" s="587" t="s">
        <v>744</v>
      </c>
      <c r="C231" s="636">
        <f t="shared" si="26"/>
        <v>6146.4118513398989</v>
      </c>
      <c r="D231" s="636">
        <f t="shared" si="26"/>
        <v>3942.8324453496843</v>
      </c>
      <c r="E231" s="636">
        <f t="shared" si="27"/>
        <v>-2203.5794059902146</v>
      </c>
    </row>
    <row r="232" spans="1:5" s="421" customFormat="1" x14ac:dyDescent="0.25">
      <c r="A232" s="588">
        <v>6</v>
      </c>
      <c r="B232" s="587" t="s">
        <v>424</v>
      </c>
      <c r="C232" s="636">
        <f t="shared" si="26"/>
        <v>6036.6146170636348</v>
      </c>
      <c r="D232" s="636">
        <f t="shared" si="26"/>
        <v>6258.0710283051731</v>
      </c>
      <c r="E232" s="636">
        <f t="shared" si="27"/>
        <v>221.45641124153826</v>
      </c>
    </row>
    <row r="233" spans="1:5" s="421" customFormat="1" x14ac:dyDescent="0.25">
      <c r="A233" s="588">
        <v>7</v>
      </c>
      <c r="B233" s="587" t="s">
        <v>759</v>
      </c>
      <c r="C233" s="636">
        <f t="shared" si="26"/>
        <v>6235.418881486934</v>
      </c>
      <c r="D233" s="636">
        <f t="shared" si="26"/>
        <v>5262.171821490394</v>
      </c>
      <c r="E233" s="636">
        <f t="shared" si="27"/>
        <v>-973.24705999653997</v>
      </c>
    </row>
    <row r="234" spans="1:5" x14ac:dyDescent="0.25">
      <c r="A234" s="588"/>
      <c r="B234" s="592" t="s">
        <v>829</v>
      </c>
      <c r="C234" s="637">
        <f t="shared" si="26"/>
        <v>7238.3434198565892</v>
      </c>
      <c r="D234" s="637">
        <f t="shared" si="26"/>
        <v>7056.4694101480545</v>
      </c>
      <c r="E234" s="637">
        <f t="shared" si="27"/>
        <v>-181.87400970853469</v>
      </c>
    </row>
    <row r="235" spans="1:5" s="421" customFormat="1" x14ac:dyDescent="0.25">
      <c r="A235" s="588"/>
      <c r="B235" s="592" t="s">
        <v>830</v>
      </c>
      <c r="C235" s="637">
        <f t="shared" si="26"/>
        <v>8911.5499012342207</v>
      </c>
      <c r="D235" s="637">
        <f t="shared" si="26"/>
        <v>8886.6654630460962</v>
      </c>
      <c r="E235" s="637">
        <f t="shared" si="27"/>
        <v>-24.884438188124477</v>
      </c>
    </row>
    <row r="236" spans="1:5" s="421" customFormat="1" x14ac:dyDescent="0.25">
      <c r="A236" s="582"/>
      <c r="B236" s="627"/>
      <c r="C236" s="586"/>
      <c r="D236" s="586"/>
      <c r="E236" s="637"/>
    </row>
    <row r="237" spans="1:5" s="421" customFormat="1" x14ac:dyDescent="0.25">
      <c r="A237" s="584" t="s">
        <v>170</v>
      </c>
      <c r="B237" s="585" t="s">
        <v>831</v>
      </c>
      <c r="C237" s="425"/>
      <c r="D237" s="425"/>
      <c r="E237" s="637"/>
    </row>
    <row r="238" spans="1:5" s="421" customFormat="1" x14ac:dyDescent="0.25">
      <c r="A238" s="582"/>
      <c r="B238" s="595"/>
      <c r="C238" s="596"/>
      <c r="D238" s="596"/>
      <c r="E238" s="596"/>
    </row>
    <row r="239" spans="1:5" s="421" customFormat="1" x14ac:dyDescent="0.25">
      <c r="A239" s="588">
        <v>1</v>
      </c>
      <c r="B239" s="587" t="s">
        <v>657</v>
      </c>
      <c r="C239" s="636">
        <f t="shared" ref="C239:D247" si="28">IF(C215=0,0,C58/C215)</f>
        <v>15743.597156803909</v>
      </c>
      <c r="D239" s="636">
        <f t="shared" si="28"/>
        <v>16229.264609381693</v>
      </c>
      <c r="E239" s="638">
        <f t="shared" ref="E239:E247" si="29">D239-C239</f>
        <v>485.66745257778348</v>
      </c>
    </row>
    <row r="240" spans="1:5" s="421" customFormat="1" x14ac:dyDescent="0.25">
      <c r="A240" s="588">
        <v>2</v>
      </c>
      <c r="B240" s="587" t="s">
        <v>636</v>
      </c>
      <c r="C240" s="636">
        <f t="shared" si="28"/>
        <v>12127.483102563236</v>
      </c>
      <c r="D240" s="636">
        <f t="shared" si="28"/>
        <v>11689.781072054937</v>
      </c>
      <c r="E240" s="638">
        <f t="shared" si="29"/>
        <v>-437.70203050829878</v>
      </c>
    </row>
    <row r="241" spans="1:5" x14ac:dyDescent="0.25">
      <c r="A241" s="588">
        <v>3</v>
      </c>
      <c r="B241" s="587" t="s">
        <v>778</v>
      </c>
      <c r="C241" s="636">
        <f t="shared" si="28"/>
        <v>5196.736927808206</v>
      </c>
      <c r="D241" s="636">
        <f t="shared" si="28"/>
        <v>5635.363735013686</v>
      </c>
      <c r="E241" s="638">
        <f t="shared" si="29"/>
        <v>438.62680720547996</v>
      </c>
    </row>
    <row r="242" spans="1:5" x14ac:dyDescent="0.25">
      <c r="A242" s="588">
        <v>4</v>
      </c>
      <c r="B242" s="587" t="s">
        <v>115</v>
      </c>
      <c r="C242" s="636">
        <f t="shared" si="28"/>
        <v>5176.3803926869496</v>
      </c>
      <c r="D242" s="636">
        <f t="shared" si="28"/>
        <v>5668.5940707254849</v>
      </c>
      <c r="E242" s="638">
        <f t="shared" si="29"/>
        <v>492.21367803853536</v>
      </c>
    </row>
    <row r="243" spans="1:5" x14ac:dyDescent="0.25">
      <c r="A243" s="588">
        <v>5</v>
      </c>
      <c r="B243" s="587" t="s">
        <v>744</v>
      </c>
      <c r="C243" s="636">
        <f t="shared" si="28"/>
        <v>7265.334310300972</v>
      </c>
      <c r="D243" s="636">
        <f t="shared" si="28"/>
        <v>3364.0033732545076</v>
      </c>
      <c r="E243" s="638">
        <f t="shared" si="29"/>
        <v>-3901.3309370464644</v>
      </c>
    </row>
    <row r="244" spans="1:5" x14ac:dyDescent="0.25">
      <c r="A244" s="588">
        <v>6</v>
      </c>
      <c r="B244" s="587" t="s">
        <v>424</v>
      </c>
      <c r="C244" s="636">
        <f t="shared" si="28"/>
        <v>4110.3568014982757</v>
      </c>
      <c r="D244" s="636">
        <f t="shared" si="28"/>
        <v>6199.8642662412167</v>
      </c>
      <c r="E244" s="638">
        <f t="shared" si="29"/>
        <v>2089.507464742941</v>
      </c>
    </row>
    <row r="245" spans="1:5" x14ac:dyDescent="0.25">
      <c r="A245" s="588">
        <v>7</v>
      </c>
      <c r="B245" s="587" t="s">
        <v>759</v>
      </c>
      <c r="C245" s="636">
        <f t="shared" si="28"/>
        <v>7774.3225000516832</v>
      </c>
      <c r="D245" s="636">
        <f t="shared" si="28"/>
        <v>6831.8767487097966</v>
      </c>
      <c r="E245" s="638">
        <f t="shared" si="29"/>
        <v>-942.44575134188653</v>
      </c>
    </row>
    <row r="246" spans="1:5" ht="26.4" x14ac:dyDescent="0.25">
      <c r="A246" s="588"/>
      <c r="B246" s="592" t="s">
        <v>832</v>
      </c>
      <c r="C246" s="637">
        <f t="shared" si="28"/>
        <v>9564.6934401530816</v>
      </c>
      <c r="D246" s="637">
        <f t="shared" si="28"/>
        <v>9522.8145060922743</v>
      </c>
      <c r="E246" s="639">
        <f t="shared" si="29"/>
        <v>-41.878934060807296</v>
      </c>
    </row>
    <row r="247" spans="1:5" x14ac:dyDescent="0.25">
      <c r="A247" s="588"/>
      <c r="B247" s="592" t="s">
        <v>833</v>
      </c>
      <c r="C247" s="637">
        <f t="shared" si="28"/>
        <v>12762.767145560318</v>
      </c>
      <c r="D247" s="637">
        <f t="shared" si="28"/>
        <v>12940.01657361821</v>
      </c>
      <c r="E247" s="639">
        <f t="shared" si="29"/>
        <v>177.24942805789215</v>
      </c>
    </row>
    <row r="248" spans="1:5" x14ac:dyDescent="0.25">
      <c r="A248" s="582"/>
      <c r="B248" s="595"/>
      <c r="C248" s="636"/>
      <c r="D248" s="636"/>
      <c r="E248" s="639"/>
    </row>
    <row r="249" spans="1:5" s="421" customFormat="1" ht="15.75" customHeight="1" x14ac:dyDescent="0.3">
      <c r="A249" s="605" t="s">
        <v>761</v>
      </c>
      <c r="B249" s="626" t="s">
        <v>758</v>
      </c>
      <c r="C249" s="596"/>
      <c r="D249" s="596"/>
      <c r="E249" s="637"/>
    </row>
    <row r="250" spans="1:5" x14ac:dyDescent="0.25">
      <c r="A250" s="582"/>
      <c r="B250" s="595"/>
      <c r="C250" s="636"/>
      <c r="D250" s="636"/>
      <c r="E250" s="637"/>
    </row>
    <row r="251" spans="1:5" x14ac:dyDescent="0.25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32450307.360940602</v>
      </c>
      <c r="D251" s="622">
        <f>((IF((IF(D15=0,0,D26/D15)*D138)=0,0,D59/(IF(D15=0,0,D26/D15)*D138)))-(IF((IF(D17=0,0,D28/D17)*D140)=0,0,D61/(IF(D17=0,0,D28/D17)*D140))))*(IF(D17=0,0,D28/D17)*D140)</f>
        <v>28830354.294755507</v>
      </c>
      <c r="E251" s="622">
        <f>D251-C251</f>
        <v>-3619953.0661850944</v>
      </c>
    </row>
    <row r="252" spans="1:5" x14ac:dyDescent="0.25">
      <c r="A252" s="588">
        <v>2</v>
      </c>
      <c r="B252" s="587" t="s">
        <v>744</v>
      </c>
      <c r="C252" s="622">
        <f>IF(C231=0,0,(C228-C231)*C207)+IF(C243=0,0,(C240-C243)*C219)</f>
        <v>388391.0015775527</v>
      </c>
      <c r="D252" s="622">
        <f>IF(D231=0,0,(D228-D231)*D207)+IF(D243=0,0,(D240-D243)*D219)</f>
        <v>860452.72564725485</v>
      </c>
      <c r="E252" s="622">
        <f>D252-C252</f>
        <v>472061.72406970215</v>
      </c>
    </row>
    <row r="253" spans="1:5" x14ac:dyDescent="0.25">
      <c r="A253" s="588">
        <v>3</v>
      </c>
      <c r="B253" s="587" t="s">
        <v>759</v>
      </c>
      <c r="C253" s="622">
        <f>IF(C233=0,0,(C228-C233)*C209+IF(C221=0,0,(C240-C245)*C221))</f>
        <v>4952253.5698666424</v>
      </c>
      <c r="D253" s="622">
        <f>IF(D233=0,0,(D228-D233)*D209+IF(D221=0,0,(D240-D245)*D221))</f>
        <v>7360926.1571224695</v>
      </c>
      <c r="E253" s="622">
        <f>D253-C253</f>
        <v>2408672.5872558272</v>
      </c>
    </row>
    <row r="254" spans="1:5" ht="15" customHeight="1" x14ac:dyDescent="0.25">
      <c r="A254" s="588"/>
      <c r="B254" s="592" t="s">
        <v>760</v>
      </c>
      <c r="C254" s="640">
        <f>+C251+C252+C253</f>
        <v>37790951.932384796</v>
      </c>
      <c r="D254" s="640">
        <f>+D251+D252+D253</f>
        <v>37051733.17752523</v>
      </c>
      <c r="E254" s="640">
        <f>D254-C254</f>
        <v>-739218.75485956669</v>
      </c>
    </row>
    <row r="255" spans="1:5" x14ac:dyDescent="0.25">
      <c r="A255" s="580"/>
      <c r="B255" s="595"/>
      <c r="C255" s="596"/>
      <c r="D255" s="596"/>
      <c r="E255" s="640"/>
    </row>
    <row r="256" spans="1:5" ht="15.75" customHeight="1" x14ac:dyDescent="0.3">
      <c r="A256" s="605" t="s">
        <v>834</v>
      </c>
      <c r="B256" s="626" t="s">
        <v>835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5">
      <c r="A258" s="588">
        <v>1</v>
      </c>
      <c r="B258" s="587" t="s">
        <v>726</v>
      </c>
      <c r="C258" s="622">
        <f>+C44</f>
        <v>1544327256</v>
      </c>
      <c r="D258" s="625">
        <f>+D44</f>
        <v>1634814963</v>
      </c>
      <c r="E258" s="622">
        <f t="shared" ref="E258:E271" si="30">D258-C258</f>
        <v>90487707</v>
      </c>
    </row>
    <row r="259" spans="1:5" x14ac:dyDescent="0.25">
      <c r="A259" s="588">
        <v>2</v>
      </c>
      <c r="B259" s="587" t="s">
        <v>743</v>
      </c>
      <c r="C259" s="622">
        <f>+(C43-C76)</f>
        <v>667392918</v>
      </c>
      <c r="D259" s="625">
        <f>+(D43-D76)</f>
        <v>707035534</v>
      </c>
      <c r="E259" s="622">
        <f t="shared" si="30"/>
        <v>39642616</v>
      </c>
    </row>
    <row r="260" spans="1:5" x14ac:dyDescent="0.25">
      <c r="A260" s="588">
        <v>3</v>
      </c>
      <c r="B260" s="587" t="s">
        <v>747</v>
      </c>
      <c r="C260" s="622">
        <f>C195</f>
        <v>37429255</v>
      </c>
      <c r="D260" s="622">
        <f>D195</f>
        <v>37090823</v>
      </c>
      <c r="E260" s="622">
        <f t="shared" si="30"/>
        <v>-338432</v>
      </c>
    </row>
    <row r="261" spans="1:5" x14ac:dyDescent="0.25">
      <c r="A261" s="588">
        <v>4</v>
      </c>
      <c r="B261" s="587" t="s">
        <v>748</v>
      </c>
      <c r="C261" s="622">
        <f>C188</f>
        <v>222989078</v>
      </c>
      <c r="D261" s="622">
        <f>D188</f>
        <v>239436257</v>
      </c>
      <c r="E261" s="622">
        <f t="shared" si="30"/>
        <v>16447179</v>
      </c>
    </row>
    <row r="262" spans="1:5" x14ac:dyDescent="0.25">
      <c r="A262" s="588">
        <v>5</v>
      </c>
      <c r="B262" s="587" t="s">
        <v>749</v>
      </c>
      <c r="C262" s="622">
        <f>C191</f>
        <v>20378593</v>
      </c>
      <c r="D262" s="622">
        <f>D191</f>
        <v>22981106</v>
      </c>
      <c r="E262" s="622">
        <f t="shared" si="30"/>
        <v>2602513</v>
      </c>
    </row>
    <row r="263" spans="1:5" x14ac:dyDescent="0.25">
      <c r="A263" s="588">
        <v>6</v>
      </c>
      <c r="B263" s="587" t="s">
        <v>750</v>
      </c>
      <c r="C263" s="622">
        <f>+C259+C260+C261+C262</f>
        <v>948189844</v>
      </c>
      <c r="D263" s="622">
        <f>+D259+D260+D261+D262</f>
        <v>1006543720</v>
      </c>
      <c r="E263" s="622">
        <f t="shared" si="30"/>
        <v>58353876</v>
      </c>
    </row>
    <row r="264" spans="1:5" x14ac:dyDescent="0.25">
      <c r="A264" s="588">
        <v>7</v>
      </c>
      <c r="B264" s="587" t="s">
        <v>655</v>
      </c>
      <c r="C264" s="622">
        <f>+C258-C263</f>
        <v>596137412</v>
      </c>
      <c r="D264" s="622">
        <f>+D258-D263</f>
        <v>628271243</v>
      </c>
      <c r="E264" s="622">
        <f t="shared" si="30"/>
        <v>32133831</v>
      </c>
    </row>
    <row r="265" spans="1:5" x14ac:dyDescent="0.25">
      <c r="A265" s="588">
        <v>8</v>
      </c>
      <c r="B265" s="587" t="s">
        <v>836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5">
      <c r="A266" s="588">
        <v>9</v>
      </c>
      <c r="B266" s="587" t="s">
        <v>837</v>
      </c>
      <c r="C266" s="622">
        <f>+C264+C265</f>
        <v>596137412</v>
      </c>
      <c r="D266" s="622">
        <f>+D264+D265</f>
        <v>628271243</v>
      </c>
      <c r="E266" s="641">
        <f t="shared" si="30"/>
        <v>32133831</v>
      </c>
    </row>
    <row r="267" spans="1:5" x14ac:dyDescent="0.25">
      <c r="A267" s="588">
        <v>10</v>
      </c>
      <c r="B267" s="587" t="s">
        <v>838</v>
      </c>
      <c r="C267" s="642">
        <f>IF(C258=0,0,C266/C258)</f>
        <v>0.38601754238545927</v>
      </c>
      <c r="D267" s="642">
        <f>IF(D258=0,0,D266/D258)</f>
        <v>0.38430725019000206</v>
      </c>
      <c r="E267" s="643">
        <f t="shared" si="30"/>
        <v>-1.7102921954572081E-3</v>
      </c>
    </row>
    <row r="268" spans="1:5" x14ac:dyDescent="0.25">
      <c r="A268" s="588">
        <v>11</v>
      </c>
      <c r="B268" s="587" t="s">
        <v>717</v>
      </c>
      <c r="C268" s="622">
        <f>+C260*C267</f>
        <v>14448349.028418664</v>
      </c>
      <c r="D268" s="644">
        <f>+D260*D267</f>
        <v>14254272.194414083</v>
      </c>
      <c r="E268" s="622">
        <f t="shared" si="30"/>
        <v>-194076.83400458097</v>
      </c>
    </row>
    <row r="269" spans="1:5" x14ac:dyDescent="0.25">
      <c r="A269" s="588">
        <v>12</v>
      </c>
      <c r="B269" s="587" t="s">
        <v>839</v>
      </c>
      <c r="C269" s="622">
        <f>((C17+C18+C28+C29)*C267)-(C50+C51+C61+C62)</f>
        <v>38808607.787171677</v>
      </c>
      <c r="D269" s="644">
        <f>((D17+D18+D28+D29)*D267)-(D50+D51+D61+D62)</f>
        <v>39429836.973126993</v>
      </c>
      <c r="E269" s="622">
        <f t="shared" si="30"/>
        <v>621229.18595531583</v>
      </c>
    </row>
    <row r="270" spans="1:5" s="648" customFormat="1" x14ac:dyDescent="0.25">
      <c r="A270" s="645">
        <v>13</v>
      </c>
      <c r="B270" s="646" t="s">
        <v>840</v>
      </c>
      <c r="C270" s="647">
        <v>0</v>
      </c>
      <c r="D270" s="647">
        <v>0</v>
      </c>
      <c r="E270" s="622">
        <f t="shared" si="30"/>
        <v>0</v>
      </c>
    </row>
    <row r="271" spans="1:5" x14ac:dyDescent="0.25">
      <c r="A271" s="588">
        <v>14</v>
      </c>
      <c r="B271" s="587" t="s">
        <v>841</v>
      </c>
      <c r="C271" s="622">
        <f>+C268+C269+C270</f>
        <v>53256956.815590337</v>
      </c>
      <c r="D271" s="622">
        <f>+D268+D269+D270</f>
        <v>53684109.167541072</v>
      </c>
      <c r="E271" s="625">
        <f t="shared" si="30"/>
        <v>427152.35195073485</v>
      </c>
    </row>
    <row r="272" spans="1:5" x14ac:dyDescent="0.25">
      <c r="A272" s="588"/>
      <c r="B272" s="587"/>
      <c r="C272" s="622"/>
      <c r="D272" s="622"/>
      <c r="E272" s="640"/>
    </row>
    <row r="273" spans="1:5" ht="15.75" customHeight="1" x14ac:dyDescent="0.25">
      <c r="A273" s="578" t="s">
        <v>842</v>
      </c>
      <c r="B273" s="626" t="s">
        <v>843</v>
      </c>
      <c r="C273" s="622"/>
      <c r="D273" s="622"/>
      <c r="E273" s="640"/>
    </row>
    <row r="274" spans="1:5" ht="15.75" customHeight="1" x14ac:dyDescent="0.25">
      <c r="A274" s="584"/>
      <c r="B274" s="649"/>
      <c r="C274" s="622"/>
      <c r="D274" s="622"/>
      <c r="E274" s="640"/>
    </row>
    <row r="275" spans="1:5" x14ac:dyDescent="0.25">
      <c r="A275" s="425" t="s">
        <v>14</v>
      </c>
      <c r="B275" s="585" t="s">
        <v>844</v>
      </c>
      <c r="C275" s="425"/>
      <c r="D275" s="425"/>
      <c r="E275" s="596"/>
    </row>
    <row r="276" spans="1:5" x14ac:dyDescent="0.25">
      <c r="A276" s="588">
        <v>1</v>
      </c>
      <c r="B276" s="587" t="s">
        <v>657</v>
      </c>
      <c r="C276" s="623">
        <f t="shared" ref="C276:D284" si="31">IF(C14=0,0,+C47/C14)</f>
        <v>0.55005080605567791</v>
      </c>
      <c r="D276" s="623">
        <f t="shared" si="31"/>
        <v>0.54124364214814624</v>
      </c>
      <c r="E276" s="650">
        <f t="shared" ref="E276:E284" si="32">D276-C276</f>
        <v>-8.8071639075316677E-3</v>
      </c>
    </row>
    <row r="277" spans="1:5" x14ac:dyDescent="0.25">
      <c r="A277" s="588">
        <v>2</v>
      </c>
      <c r="B277" s="587" t="s">
        <v>636</v>
      </c>
      <c r="C277" s="623">
        <f t="shared" si="31"/>
        <v>0.30864532954324714</v>
      </c>
      <c r="D277" s="623">
        <f t="shared" si="31"/>
        <v>0.29802332436085693</v>
      </c>
      <c r="E277" s="650">
        <f t="shared" si="32"/>
        <v>-1.0622005182390204E-2</v>
      </c>
    </row>
    <row r="278" spans="1:5" x14ac:dyDescent="0.25">
      <c r="A278" s="588">
        <v>3</v>
      </c>
      <c r="B278" s="587" t="s">
        <v>778</v>
      </c>
      <c r="C278" s="623">
        <f t="shared" si="31"/>
        <v>0.20354300990270396</v>
      </c>
      <c r="D278" s="623">
        <f t="shared" si="31"/>
        <v>0.21174289390281914</v>
      </c>
      <c r="E278" s="650">
        <f t="shared" si="32"/>
        <v>8.1998840001151763E-3</v>
      </c>
    </row>
    <row r="279" spans="1:5" x14ac:dyDescent="0.25">
      <c r="A279" s="588">
        <v>4</v>
      </c>
      <c r="B279" s="587" t="s">
        <v>115</v>
      </c>
      <c r="C279" s="623">
        <f t="shared" si="31"/>
        <v>0.20336981268585033</v>
      </c>
      <c r="D279" s="623">
        <f t="shared" si="31"/>
        <v>0.2132653658190915</v>
      </c>
      <c r="E279" s="650">
        <f t="shared" si="32"/>
        <v>9.8955531332411695E-3</v>
      </c>
    </row>
    <row r="280" spans="1:5" x14ac:dyDescent="0.25">
      <c r="A280" s="588">
        <v>5</v>
      </c>
      <c r="B280" s="587" t="s">
        <v>744</v>
      </c>
      <c r="C280" s="623">
        <f t="shared" si="31"/>
        <v>0.20896040604451357</v>
      </c>
      <c r="D280" s="623">
        <f t="shared" si="31"/>
        <v>0.14158527590589839</v>
      </c>
      <c r="E280" s="650">
        <f t="shared" si="32"/>
        <v>-6.737513013861518E-2</v>
      </c>
    </row>
    <row r="281" spans="1:5" x14ac:dyDescent="0.25">
      <c r="A281" s="588">
        <v>6</v>
      </c>
      <c r="B281" s="587" t="s">
        <v>424</v>
      </c>
      <c r="C281" s="623">
        <f t="shared" si="31"/>
        <v>0.27555559205213903</v>
      </c>
      <c r="D281" s="623">
        <f t="shared" si="31"/>
        <v>0.32700019565975619</v>
      </c>
      <c r="E281" s="650">
        <f t="shared" si="32"/>
        <v>5.1444603607617156E-2</v>
      </c>
    </row>
    <row r="282" spans="1:5" x14ac:dyDescent="0.25">
      <c r="A282" s="588">
        <v>7</v>
      </c>
      <c r="B282" s="587" t="s">
        <v>759</v>
      </c>
      <c r="C282" s="623">
        <f t="shared" si="31"/>
        <v>0.24005038052797842</v>
      </c>
      <c r="D282" s="623">
        <f t="shared" si="31"/>
        <v>0.27647207111369404</v>
      </c>
      <c r="E282" s="650">
        <f t="shared" si="32"/>
        <v>3.6421690585715621E-2</v>
      </c>
    </row>
    <row r="283" spans="1:5" ht="29.25" customHeight="1" x14ac:dyDescent="0.25">
      <c r="A283" s="588"/>
      <c r="B283" s="592" t="s">
        <v>845</v>
      </c>
      <c r="C283" s="651">
        <f t="shared" si="31"/>
        <v>0.28870818370460166</v>
      </c>
      <c r="D283" s="651">
        <f t="shared" si="31"/>
        <v>0.28095134215894768</v>
      </c>
      <c r="E283" s="652">
        <f t="shared" si="32"/>
        <v>-7.7568415456539808E-3</v>
      </c>
    </row>
    <row r="284" spans="1:5" x14ac:dyDescent="0.25">
      <c r="A284" s="588"/>
      <c r="B284" s="592" t="s">
        <v>846</v>
      </c>
      <c r="C284" s="651">
        <f t="shared" si="31"/>
        <v>0.36533044463649272</v>
      </c>
      <c r="D284" s="651">
        <f t="shared" si="31"/>
        <v>0.35958479568280449</v>
      </c>
      <c r="E284" s="652">
        <f t="shared" si="32"/>
        <v>-5.7456489536882316E-3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5">
      <c r="A286" s="425" t="s">
        <v>26</v>
      </c>
      <c r="B286" s="585" t="s">
        <v>847</v>
      </c>
      <c r="C286" s="596"/>
      <c r="D286" s="596"/>
      <c r="E286" s="596"/>
    </row>
    <row r="287" spans="1:5" x14ac:dyDescent="0.25">
      <c r="A287" s="588">
        <v>1</v>
      </c>
      <c r="B287" s="587" t="s">
        <v>657</v>
      </c>
      <c r="C287" s="623">
        <f t="shared" ref="C287:D295" si="33">IF(C25=0,0,+C58/C25)</f>
        <v>0.53800073027712747</v>
      </c>
      <c r="D287" s="623">
        <f t="shared" si="33"/>
        <v>0.52927077702330383</v>
      </c>
      <c r="E287" s="650">
        <f t="shared" ref="E287:E295" si="34">D287-C287</f>
        <v>-8.7299532538236413E-3</v>
      </c>
    </row>
    <row r="288" spans="1:5" x14ac:dyDescent="0.25">
      <c r="A288" s="588">
        <v>2</v>
      </c>
      <c r="B288" s="587" t="s">
        <v>636</v>
      </c>
      <c r="C288" s="623">
        <f t="shared" si="33"/>
        <v>0.30829765363683259</v>
      </c>
      <c r="D288" s="623">
        <f t="shared" si="33"/>
        <v>0.29744735662852739</v>
      </c>
      <c r="E288" s="650">
        <f t="shared" si="34"/>
        <v>-1.0850297008305199E-2</v>
      </c>
    </row>
    <row r="289" spans="1:5" x14ac:dyDescent="0.25">
      <c r="A289" s="588">
        <v>3</v>
      </c>
      <c r="B289" s="587" t="s">
        <v>778</v>
      </c>
      <c r="C289" s="623">
        <f t="shared" si="33"/>
        <v>0.2035430027739035</v>
      </c>
      <c r="D289" s="623">
        <f t="shared" si="33"/>
        <v>0.2117428942810273</v>
      </c>
      <c r="E289" s="650">
        <f t="shared" si="34"/>
        <v>8.1998915071238021E-3</v>
      </c>
    </row>
    <row r="290" spans="1:5" x14ac:dyDescent="0.25">
      <c r="A290" s="588">
        <v>4</v>
      </c>
      <c r="B290" s="587" t="s">
        <v>115</v>
      </c>
      <c r="C290" s="623">
        <f t="shared" si="33"/>
        <v>0.20414642313020517</v>
      </c>
      <c r="D290" s="623">
        <f t="shared" si="33"/>
        <v>0.2139234870574927</v>
      </c>
      <c r="E290" s="650">
        <f t="shared" si="34"/>
        <v>9.777063927287527E-3</v>
      </c>
    </row>
    <row r="291" spans="1:5" x14ac:dyDescent="0.25">
      <c r="A291" s="588">
        <v>5</v>
      </c>
      <c r="B291" s="587" t="s">
        <v>744</v>
      </c>
      <c r="C291" s="623">
        <f t="shared" si="33"/>
        <v>0.16766261622620848</v>
      </c>
      <c r="D291" s="623">
        <f t="shared" si="33"/>
        <v>9.7395624960736407E-2</v>
      </c>
      <c r="E291" s="650">
        <f t="shared" si="34"/>
        <v>-7.0266991265472076E-2</v>
      </c>
    </row>
    <row r="292" spans="1:5" x14ac:dyDescent="0.25">
      <c r="A292" s="588">
        <v>6</v>
      </c>
      <c r="B292" s="587" t="s">
        <v>424</v>
      </c>
      <c r="C292" s="623">
        <f t="shared" si="33"/>
        <v>0.29252726113840649</v>
      </c>
      <c r="D292" s="623">
        <f t="shared" si="33"/>
        <v>0.32699984220207012</v>
      </c>
      <c r="E292" s="650">
        <f t="shared" si="34"/>
        <v>3.4472581063663632E-2</v>
      </c>
    </row>
    <row r="293" spans="1:5" x14ac:dyDescent="0.25">
      <c r="A293" s="588">
        <v>7</v>
      </c>
      <c r="B293" s="587" t="s">
        <v>759</v>
      </c>
      <c r="C293" s="623">
        <f t="shared" si="33"/>
        <v>0.2400504496504316</v>
      </c>
      <c r="D293" s="623">
        <f t="shared" si="33"/>
        <v>0.27647203359459749</v>
      </c>
      <c r="E293" s="650">
        <f t="shared" si="34"/>
        <v>3.6421583944165892E-2</v>
      </c>
    </row>
    <row r="294" spans="1:5" ht="29.25" customHeight="1" x14ac:dyDescent="0.25">
      <c r="A294" s="588"/>
      <c r="B294" s="592" t="s">
        <v>848</v>
      </c>
      <c r="C294" s="651">
        <f t="shared" si="33"/>
        <v>0.27995103649481551</v>
      </c>
      <c r="D294" s="651">
        <f t="shared" si="33"/>
        <v>0.2743936425952892</v>
      </c>
      <c r="E294" s="652">
        <f t="shared" si="34"/>
        <v>-5.5573938995263084E-3</v>
      </c>
    </row>
    <row r="295" spans="1:5" x14ac:dyDescent="0.25">
      <c r="A295" s="588"/>
      <c r="B295" s="592" t="s">
        <v>849</v>
      </c>
      <c r="C295" s="651">
        <f t="shared" si="33"/>
        <v>0.40352504771679443</v>
      </c>
      <c r="D295" s="651">
        <f t="shared" si="33"/>
        <v>0.39637813419441048</v>
      </c>
      <c r="E295" s="652">
        <f t="shared" si="34"/>
        <v>-7.1469135223839464E-3</v>
      </c>
    </row>
    <row r="296" spans="1:5" x14ac:dyDescent="0.25">
      <c r="A296" s="580"/>
      <c r="B296" s="595"/>
      <c r="C296" s="595"/>
      <c r="D296" s="596"/>
      <c r="E296" s="652"/>
    </row>
    <row r="297" spans="1:5" ht="15.75" customHeight="1" x14ac:dyDescent="0.3">
      <c r="A297" s="578" t="s">
        <v>850</v>
      </c>
      <c r="B297" s="579" t="s">
        <v>851</v>
      </c>
      <c r="C297" s="425"/>
      <c r="E297" s="652"/>
    </row>
    <row r="298" spans="1:5" ht="15.75" customHeight="1" x14ac:dyDescent="0.3">
      <c r="A298" s="425"/>
      <c r="B298" s="653"/>
      <c r="C298" s="577"/>
      <c r="E298" s="652"/>
    </row>
    <row r="299" spans="1:5" x14ac:dyDescent="0.25">
      <c r="A299" s="584" t="s">
        <v>14</v>
      </c>
      <c r="B299" s="585" t="s">
        <v>852</v>
      </c>
      <c r="C299" s="586"/>
      <c r="D299" s="586"/>
      <c r="E299" s="652"/>
    </row>
    <row r="300" spans="1:5" x14ac:dyDescent="0.25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655</v>
      </c>
      <c r="C301" s="590">
        <f>+C48+C47+C50+C51+C52+C59+C58+C61+C62+C63</f>
        <v>596843700</v>
      </c>
      <c r="D301" s="590">
        <f>+D48+D47+D50+D51+D52+D59+D58+D61+D62+D63</f>
        <v>621627425</v>
      </c>
      <c r="E301" s="590">
        <f>D301-C301</f>
        <v>24783725</v>
      </c>
    </row>
    <row r="302" spans="1:5" ht="26.4" x14ac:dyDescent="0.25">
      <c r="A302" s="588">
        <v>2</v>
      </c>
      <c r="B302" s="587" t="s">
        <v>853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854</v>
      </c>
      <c r="C303" s="593">
        <f>+C301+C302</f>
        <v>596843700</v>
      </c>
      <c r="D303" s="593">
        <f>+D301+D302</f>
        <v>621627425</v>
      </c>
      <c r="E303" s="593">
        <f>D303-C303</f>
        <v>24783725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855</v>
      </c>
      <c r="C305" s="589">
        <v>-3967700</v>
      </c>
      <c r="D305" s="654">
        <v>-413425</v>
      </c>
      <c r="E305" s="655">
        <f>D305-C305</f>
        <v>3554275</v>
      </c>
    </row>
    <row r="306" spans="1:5" x14ac:dyDescent="0.2">
      <c r="A306" s="588">
        <v>4</v>
      </c>
      <c r="B306" s="592" t="s">
        <v>856</v>
      </c>
      <c r="C306" s="593">
        <f>+C303+C305+C194+C190-C191</f>
        <v>627254090</v>
      </c>
      <c r="D306" s="593">
        <f>+D303+D305</f>
        <v>621214000</v>
      </c>
      <c r="E306" s="656">
        <f>D306-C306</f>
        <v>-6040090</v>
      </c>
    </row>
    <row r="307" spans="1:5" x14ac:dyDescent="0.25">
      <c r="A307" s="588"/>
      <c r="B307" s="586"/>
      <c r="C307" s="586"/>
      <c r="D307" s="586"/>
      <c r="E307" s="590"/>
    </row>
    <row r="308" spans="1:5" ht="26.4" x14ac:dyDescent="0.2">
      <c r="A308" s="588">
        <v>5</v>
      </c>
      <c r="B308" s="587" t="s">
        <v>857</v>
      </c>
      <c r="C308" s="589">
        <v>592876000</v>
      </c>
      <c r="D308" s="589">
        <v>621214000</v>
      </c>
      <c r="E308" s="590">
        <f>D308-C308</f>
        <v>28338000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858</v>
      </c>
      <c r="C310" s="657">
        <f>C306-C308</f>
        <v>34378090</v>
      </c>
      <c r="D310" s="658">
        <f>D306-D308</f>
        <v>0</v>
      </c>
      <c r="E310" s="656">
        <f>D310-C310</f>
        <v>-34378090</v>
      </c>
    </row>
    <row r="311" spans="1:5" x14ac:dyDescent="0.2">
      <c r="A311" s="588"/>
      <c r="B311" s="587"/>
      <c r="C311" s="587"/>
      <c r="D311" s="587"/>
      <c r="E311" s="590"/>
    </row>
    <row r="312" spans="1:5" x14ac:dyDescent="0.25">
      <c r="A312" s="425" t="s">
        <v>26</v>
      </c>
      <c r="B312" s="585" t="s">
        <v>859</v>
      </c>
      <c r="C312" s="586"/>
      <c r="D312" s="586"/>
      <c r="E312" s="590"/>
    </row>
    <row r="313" spans="1:5" x14ac:dyDescent="0.25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860</v>
      </c>
      <c r="C314" s="590">
        <f>+C14+C15+C16+C19+C25+C26+C27+C30</f>
        <v>1544327256</v>
      </c>
      <c r="D314" s="590">
        <f>+D14+D15+D16+D19+D25+D26+D27+D30</f>
        <v>1634814963</v>
      </c>
      <c r="E314" s="590">
        <f>D314-C314</f>
        <v>90487707</v>
      </c>
    </row>
    <row r="315" spans="1:5" x14ac:dyDescent="0.25">
      <c r="A315" s="588">
        <v>2</v>
      </c>
      <c r="B315" s="659" t="s">
        <v>861</v>
      </c>
      <c r="C315" s="589">
        <v>0</v>
      </c>
      <c r="D315" s="589">
        <v>0</v>
      </c>
      <c r="E315" s="590">
        <f>D315-C315</f>
        <v>0</v>
      </c>
    </row>
    <row r="316" spans="1:5" x14ac:dyDescent="0.2">
      <c r="A316" s="588"/>
      <c r="B316" s="592" t="s">
        <v>862</v>
      </c>
      <c r="C316" s="657">
        <f>C314+C315</f>
        <v>1544327256</v>
      </c>
      <c r="D316" s="657">
        <f>D314+D315</f>
        <v>1634814963</v>
      </c>
      <c r="E316" s="593">
        <f>D316-C316</f>
        <v>90487707</v>
      </c>
    </row>
    <row r="317" spans="1:5" x14ac:dyDescent="0.25">
      <c r="A317" s="588"/>
      <c r="B317" s="586"/>
      <c r="C317" s="589"/>
      <c r="D317" s="589"/>
      <c r="E317" s="590"/>
    </row>
    <row r="318" spans="1:5" ht="26.4" x14ac:dyDescent="0.2">
      <c r="A318" s="588">
        <v>3</v>
      </c>
      <c r="B318" s="587" t="s">
        <v>863</v>
      </c>
      <c r="C318" s="589">
        <v>1544327256</v>
      </c>
      <c r="D318" s="589">
        <v>1634815000</v>
      </c>
      <c r="E318" s="590">
        <f>D318-C318</f>
        <v>90487744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858</v>
      </c>
      <c r="C320" s="657">
        <f>C316-C318</f>
        <v>0</v>
      </c>
      <c r="D320" s="657">
        <f>D316-D318</f>
        <v>-37</v>
      </c>
      <c r="E320" s="593">
        <f>D320-C320</f>
        <v>-37</v>
      </c>
    </row>
    <row r="321" spans="1:5" x14ac:dyDescent="0.25">
      <c r="A321" s="587"/>
      <c r="B321" s="586"/>
      <c r="C321" s="586"/>
      <c r="D321" s="586"/>
      <c r="E321" s="590"/>
    </row>
    <row r="322" spans="1:5" x14ac:dyDescent="0.25">
      <c r="A322" s="584" t="s">
        <v>36</v>
      </c>
      <c r="B322" s="585" t="s">
        <v>864</v>
      </c>
      <c r="C322" s="586"/>
      <c r="D322" s="586"/>
      <c r="E322" s="590"/>
    </row>
    <row r="323" spans="1:5" x14ac:dyDescent="0.25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865</v>
      </c>
      <c r="C324" s="589">
        <f>+C193+C194</f>
        <v>37429255</v>
      </c>
      <c r="D324" s="589">
        <f>+D193+D194</f>
        <v>37090823</v>
      </c>
      <c r="E324" s="590">
        <f>D324-C324</f>
        <v>-338432</v>
      </c>
    </row>
    <row r="325" spans="1:5" x14ac:dyDescent="0.2">
      <c r="A325" s="588">
        <v>2</v>
      </c>
      <c r="B325" s="587" t="s">
        <v>866</v>
      </c>
      <c r="C325" s="589">
        <v>0</v>
      </c>
      <c r="D325" s="589">
        <v>0</v>
      </c>
      <c r="E325" s="590">
        <f>D325-C325</f>
        <v>0</v>
      </c>
    </row>
    <row r="326" spans="1:5" x14ac:dyDescent="0.2">
      <c r="A326" s="588"/>
      <c r="B326" s="592" t="s">
        <v>867</v>
      </c>
      <c r="C326" s="657">
        <f>C324+C325</f>
        <v>37429255</v>
      </c>
      <c r="D326" s="657">
        <f>D324+D325</f>
        <v>37090823</v>
      </c>
      <c r="E326" s="593">
        <f>D326-C326</f>
        <v>-338432</v>
      </c>
    </row>
    <row r="327" spans="1:5" x14ac:dyDescent="0.25">
      <c r="A327" s="588"/>
      <c r="B327" s="586"/>
      <c r="C327" s="589"/>
      <c r="D327" s="589"/>
      <c r="E327" s="590"/>
    </row>
    <row r="328" spans="1:5" ht="26.4" x14ac:dyDescent="0.2">
      <c r="A328" s="588">
        <v>3</v>
      </c>
      <c r="B328" s="587" t="s">
        <v>868</v>
      </c>
      <c r="C328" s="589">
        <v>37429255</v>
      </c>
      <c r="D328" s="589">
        <v>37090823</v>
      </c>
      <c r="E328" s="590">
        <f>D328-C328</f>
        <v>-338432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869</v>
      </c>
      <c r="C330" s="657">
        <f>C326-C328</f>
        <v>0</v>
      </c>
      <c r="D330" s="657">
        <f>D326-D328</f>
        <v>0</v>
      </c>
      <c r="E330" s="593">
        <f>D330-C330</f>
        <v>0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FILING&amp;RDANBURY HOSPITAL</oddHeader>
    <oddFooter>&amp;L&amp;"Arial,Regular"REPORT 500&amp;C&amp;"Arial,Regular"&amp;P of &amp;N&amp;R&amp;"Arial,Regular"&amp;D,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143"/>
  <sheetViews>
    <sheetView zoomScaleSheetLayoutView="75" workbookViewId="0"/>
  </sheetViews>
  <sheetFormatPr defaultColWidth="9.109375" defaultRowHeight="15" x14ac:dyDescent="0.25"/>
  <cols>
    <col min="1" max="1" width="6.6640625" style="675" customWidth="1"/>
    <col min="2" max="2" width="104.6640625" style="676" customWidth="1"/>
    <col min="3" max="3" width="16.6640625" style="675" customWidth="1"/>
    <col min="4" max="4" width="12.6640625" style="674" bestFit="1" customWidth="1"/>
    <col min="5" max="43" width="9.109375" style="675"/>
    <col min="44" max="44" width="9.109375" style="676"/>
    <col min="45" max="16384" width="9.109375" style="675"/>
  </cols>
  <sheetData>
    <row r="2" spans="1:58" s="662" customFormat="1" ht="15.75" customHeight="1" x14ac:dyDescent="0.3">
      <c r="A2" s="823" t="s">
        <v>0</v>
      </c>
      <c r="B2" s="824"/>
      <c r="C2" s="825"/>
      <c r="D2" s="661"/>
    </row>
    <row r="3" spans="1:58" s="662" customFormat="1" ht="15.75" customHeight="1" x14ac:dyDescent="0.3">
      <c r="A3" s="823" t="s">
        <v>630</v>
      </c>
      <c r="B3" s="824"/>
      <c r="C3" s="825"/>
      <c r="D3" s="661"/>
    </row>
    <row r="4" spans="1:58" s="662" customFormat="1" ht="15.75" customHeight="1" x14ac:dyDescent="0.3">
      <c r="A4" s="823" t="s">
        <v>2</v>
      </c>
      <c r="B4" s="824"/>
      <c r="C4" s="825"/>
      <c r="D4" s="661"/>
    </row>
    <row r="5" spans="1:58" s="662" customFormat="1" ht="15.75" customHeight="1" x14ac:dyDescent="0.3">
      <c r="A5" s="823" t="s">
        <v>870</v>
      </c>
      <c r="B5" s="824"/>
      <c r="C5" s="825"/>
      <c r="D5" s="661"/>
    </row>
    <row r="6" spans="1:58" s="662" customFormat="1" ht="15.75" customHeight="1" x14ac:dyDescent="0.3">
      <c r="A6" s="823" t="s">
        <v>871</v>
      </c>
      <c r="B6" s="824"/>
      <c r="C6" s="825"/>
      <c r="D6" s="661"/>
    </row>
    <row r="7" spans="1:58" s="662" customFormat="1" ht="15.75" customHeight="1" x14ac:dyDescent="0.3">
      <c r="A7" s="823"/>
      <c r="B7" s="824"/>
      <c r="C7" s="825"/>
      <c r="D7" s="661"/>
    </row>
    <row r="8" spans="1:58" s="662" customFormat="1" ht="15.75" customHeight="1" x14ac:dyDescent="0.3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3">
      <c r="A9" s="665" t="s">
        <v>8</v>
      </c>
      <c r="B9" s="572" t="s">
        <v>9</v>
      </c>
      <c r="C9" s="573" t="s">
        <v>872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3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3">
      <c r="A11" s="578" t="s">
        <v>12</v>
      </c>
      <c r="B11" s="579" t="s">
        <v>873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3.2" x14ac:dyDescent="0.25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3.2" x14ac:dyDescent="0.25">
      <c r="A13" s="584" t="s">
        <v>14</v>
      </c>
      <c r="B13" s="585" t="s">
        <v>777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3.2" x14ac:dyDescent="0.25">
      <c r="A14" s="588">
        <v>1</v>
      </c>
      <c r="B14" s="669" t="s">
        <v>657</v>
      </c>
      <c r="C14" s="589">
        <v>216575902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3.2" x14ac:dyDescent="0.25">
      <c r="A15" s="588">
        <v>2</v>
      </c>
      <c r="B15" s="669" t="s">
        <v>636</v>
      </c>
      <c r="C15" s="591">
        <v>400549025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3.2" x14ac:dyDescent="0.25">
      <c r="A16" s="588">
        <v>3</v>
      </c>
      <c r="B16" s="669" t="s">
        <v>778</v>
      </c>
      <c r="C16" s="591">
        <v>99196434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3.2" x14ac:dyDescent="0.25">
      <c r="A17" s="588">
        <v>4</v>
      </c>
      <c r="B17" s="669" t="s">
        <v>115</v>
      </c>
      <c r="C17" s="591">
        <v>97089520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3.2" x14ac:dyDescent="0.25">
      <c r="A18" s="588">
        <v>5</v>
      </c>
      <c r="B18" s="669" t="s">
        <v>744</v>
      </c>
      <c r="C18" s="591">
        <v>2106914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3.2" x14ac:dyDescent="0.25">
      <c r="A19" s="588">
        <v>6</v>
      </c>
      <c r="B19" s="669" t="s">
        <v>424</v>
      </c>
      <c r="C19" s="591">
        <v>587755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3.2" x14ac:dyDescent="0.25">
      <c r="A20" s="588">
        <v>7</v>
      </c>
      <c r="B20" s="669" t="s">
        <v>759</v>
      </c>
      <c r="C20" s="591">
        <v>8080469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3.2" x14ac:dyDescent="0.25">
      <c r="A21" s="588"/>
      <c r="B21" s="671" t="s">
        <v>779</v>
      </c>
      <c r="C21" s="593">
        <f>SUM(C15+C16+C19)</f>
        <v>500333214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3.2" x14ac:dyDescent="0.25">
      <c r="A22" s="588"/>
      <c r="B22" s="671" t="s">
        <v>465</v>
      </c>
      <c r="C22" s="593">
        <f>SUM(C14+C21)</f>
        <v>716909116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3.2" x14ac:dyDescent="0.25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3.2" x14ac:dyDescent="0.25">
      <c r="A24" s="584" t="s">
        <v>26</v>
      </c>
      <c r="B24" s="585" t="s">
        <v>780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3.2" x14ac:dyDescent="0.25">
      <c r="A25" s="588">
        <v>1</v>
      </c>
      <c r="B25" s="669" t="s">
        <v>657</v>
      </c>
      <c r="C25" s="589">
        <v>439310801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3.2" x14ac:dyDescent="0.25">
      <c r="A26" s="588">
        <v>2</v>
      </c>
      <c r="B26" s="669" t="s">
        <v>636</v>
      </c>
      <c r="C26" s="591">
        <v>347675633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3.2" x14ac:dyDescent="0.25">
      <c r="A27" s="588">
        <v>3</v>
      </c>
      <c r="B27" s="669" t="s">
        <v>778</v>
      </c>
      <c r="C27" s="591">
        <v>129297085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3.2" x14ac:dyDescent="0.25">
      <c r="A28" s="588">
        <v>4</v>
      </c>
      <c r="B28" s="669" t="s">
        <v>115</v>
      </c>
      <c r="C28" s="591">
        <v>126877541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3.2" x14ac:dyDescent="0.25">
      <c r="A29" s="588">
        <v>5</v>
      </c>
      <c r="B29" s="669" t="s">
        <v>744</v>
      </c>
      <c r="C29" s="591">
        <v>2419544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3.2" x14ac:dyDescent="0.25">
      <c r="A30" s="588">
        <v>6</v>
      </c>
      <c r="B30" s="669" t="s">
        <v>424</v>
      </c>
      <c r="C30" s="591">
        <v>1622328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3.2" x14ac:dyDescent="0.25">
      <c r="A31" s="588">
        <v>7</v>
      </c>
      <c r="B31" s="669" t="s">
        <v>759</v>
      </c>
      <c r="C31" s="594">
        <v>32379492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3.2" x14ac:dyDescent="0.25">
      <c r="A32" s="588"/>
      <c r="B32" s="671" t="s">
        <v>781</v>
      </c>
      <c r="C32" s="593">
        <f>SUM(C26+C27+C30)</f>
        <v>478595046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3.2" x14ac:dyDescent="0.25">
      <c r="A33" s="588"/>
      <c r="B33" s="671" t="s">
        <v>467</v>
      </c>
      <c r="C33" s="593">
        <f>SUM(C25+C32)</f>
        <v>917905847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3.2" x14ac:dyDescent="0.25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3.2" x14ac:dyDescent="0.25">
      <c r="A35" s="584" t="s">
        <v>36</v>
      </c>
      <c r="B35" s="585" t="s">
        <v>654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3.2" x14ac:dyDescent="0.25">
      <c r="A36" s="588">
        <v>1</v>
      </c>
      <c r="B36" s="669" t="s">
        <v>874</v>
      </c>
      <c r="C36" s="590">
        <f>SUM(C14+C25)</f>
        <v>655886703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3.2" x14ac:dyDescent="0.25">
      <c r="A37" s="588">
        <v>2</v>
      </c>
      <c r="B37" s="669" t="s">
        <v>875</v>
      </c>
      <c r="C37" s="594">
        <f>SUM(C21+C32)</f>
        <v>978928260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3.2" x14ac:dyDescent="0.25">
      <c r="A38" s="588"/>
      <c r="B38" s="671" t="s">
        <v>654</v>
      </c>
      <c r="C38" s="593">
        <f>SUM(+C36+C37)</f>
        <v>1634814963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3.2" x14ac:dyDescent="0.25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3.2" x14ac:dyDescent="0.25">
      <c r="A40" s="584" t="s">
        <v>170</v>
      </c>
      <c r="B40" s="585" t="s">
        <v>790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5">
      <c r="A41" s="588">
        <v>1</v>
      </c>
      <c r="B41" s="669" t="s">
        <v>657</v>
      </c>
      <c r="C41" s="589">
        <v>117220330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3.2" x14ac:dyDescent="0.25">
      <c r="A42" s="588">
        <v>2</v>
      </c>
      <c r="B42" s="669" t="s">
        <v>636</v>
      </c>
      <c r="C42" s="591">
        <v>119372952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3.2" x14ac:dyDescent="0.25">
      <c r="A43" s="588">
        <v>3</v>
      </c>
      <c r="B43" s="669" t="s">
        <v>778</v>
      </c>
      <c r="C43" s="591">
        <v>21004140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3.2" x14ac:dyDescent="0.25">
      <c r="A44" s="588">
        <v>4</v>
      </c>
      <c r="B44" s="669" t="s">
        <v>115</v>
      </c>
      <c r="C44" s="591">
        <v>20705832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3.2" x14ac:dyDescent="0.25">
      <c r="A45" s="588">
        <v>5</v>
      </c>
      <c r="B45" s="669" t="s">
        <v>744</v>
      </c>
      <c r="C45" s="591">
        <v>298308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3.2" x14ac:dyDescent="0.25">
      <c r="A46" s="588">
        <v>6</v>
      </c>
      <c r="B46" s="669" t="s">
        <v>424</v>
      </c>
      <c r="C46" s="591">
        <v>192196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3.2" x14ac:dyDescent="0.25">
      <c r="A47" s="588">
        <v>7</v>
      </c>
      <c r="B47" s="669" t="s">
        <v>759</v>
      </c>
      <c r="C47" s="591">
        <v>2234024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3.2" x14ac:dyDescent="0.25">
      <c r="A48" s="588"/>
      <c r="B48" s="671" t="s">
        <v>791</v>
      </c>
      <c r="C48" s="593">
        <f>SUM(C42+C43+C46)</f>
        <v>140569288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3.2" x14ac:dyDescent="0.25">
      <c r="A49" s="588"/>
      <c r="B49" s="671" t="s">
        <v>466</v>
      </c>
      <c r="C49" s="593">
        <f>SUM(C41+C48)</f>
        <v>257789618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3.2" x14ac:dyDescent="0.25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3.2" x14ac:dyDescent="0.25">
      <c r="A51" s="584" t="s">
        <v>175</v>
      </c>
      <c r="B51" s="585" t="s">
        <v>792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3.2" x14ac:dyDescent="0.25">
      <c r="A52" s="588">
        <v>1</v>
      </c>
      <c r="B52" s="669" t="s">
        <v>657</v>
      </c>
      <c r="C52" s="589">
        <v>232514369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3.2" x14ac:dyDescent="0.25">
      <c r="A53" s="588">
        <v>2</v>
      </c>
      <c r="B53" s="669" t="s">
        <v>636</v>
      </c>
      <c r="C53" s="591">
        <v>103415198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3.2" x14ac:dyDescent="0.25">
      <c r="A54" s="588">
        <v>3</v>
      </c>
      <c r="B54" s="669" t="s">
        <v>778</v>
      </c>
      <c r="C54" s="591">
        <v>27377739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3.2" x14ac:dyDescent="0.25">
      <c r="A55" s="588">
        <v>4</v>
      </c>
      <c r="B55" s="669" t="s">
        <v>115</v>
      </c>
      <c r="C55" s="591">
        <v>27142086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3.2" x14ac:dyDescent="0.25">
      <c r="A56" s="588">
        <v>5</v>
      </c>
      <c r="B56" s="669" t="s">
        <v>744</v>
      </c>
      <c r="C56" s="591">
        <v>235653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3.2" x14ac:dyDescent="0.25">
      <c r="A57" s="588">
        <v>6</v>
      </c>
      <c r="B57" s="669" t="s">
        <v>424</v>
      </c>
      <c r="C57" s="591">
        <v>530501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3.2" x14ac:dyDescent="0.25">
      <c r="A58" s="588">
        <v>7</v>
      </c>
      <c r="B58" s="669" t="s">
        <v>759</v>
      </c>
      <c r="C58" s="591">
        <v>8952024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3.2" x14ac:dyDescent="0.25">
      <c r="A59" s="588"/>
      <c r="B59" s="671" t="s">
        <v>793</v>
      </c>
      <c r="C59" s="593">
        <f>SUM(C53+C54+C57)</f>
        <v>131323438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3.2" x14ac:dyDescent="0.25">
      <c r="A60" s="588"/>
      <c r="B60" s="671" t="s">
        <v>468</v>
      </c>
      <c r="C60" s="593">
        <f>SUM(C52+C59)</f>
        <v>363837807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5">
      <c r="A61" s="672"/>
      <c r="B61" s="673"/>
      <c r="C61" s="672"/>
    </row>
    <row r="62" spans="1:58" s="421" customFormat="1" ht="13.2" x14ac:dyDescent="0.25">
      <c r="A62" s="584" t="s">
        <v>181</v>
      </c>
      <c r="B62" s="597" t="s">
        <v>655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3.2" x14ac:dyDescent="0.25">
      <c r="A63" s="588">
        <v>1</v>
      </c>
      <c r="B63" s="669" t="s">
        <v>876</v>
      </c>
      <c r="C63" s="590">
        <f>SUM(C41+C52)</f>
        <v>349734699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3.2" x14ac:dyDescent="0.25">
      <c r="A64" s="588">
        <v>2</v>
      </c>
      <c r="B64" s="669" t="s">
        <v>877</v>
      </c>
      <c r="C64" s="594">
        <f>SUM(C48+C59)</f>
        <v>271892726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3.2" x14ac:dyDescent="0.25">
      <c r="A65" s="588"/>
      <c r="B65" s="671" t="s">
        <v>655</v>
      </c>
      <c r="C65" s="593">
        <f>SUM(+C63+C64)</f>
        <v>621627425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3.2" x14ac:dyDescent="0.25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3">
      <c r="A67" s="423" t="s">
        <v>44</v>
      </c>
      <c r="B67" s="579" t="s">
        <v>878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3.2" x14ac:dyDescent="0.25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3.2" x14ac:dyDescent="0.25">
      <c r="A69" s="584" t="s">
        <v>14</v>
      </c>
      <c r="B69" s="585" t="s">
        <v>879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3.2" x14ac:dyDescent="0.25">
      <c r="A70" s="588">
        <v>1</v>
      </c>
      <c r="B70" s="669" t="s">
        <v>657</v>
      </c>
      <c r="C70" s="606">
        <v>7063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3.2" x14ac:dyDescent="0.25">
      <c r="A71" s="588">
        <v>2</v>
      </c>
      <c r="B71" s="669" t="s">
        <v>636</v>
      </c>
      <c r="C71" s="606">
        <v>10192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3.2" x14ac:dyDescent="0.25">
      <c r="A72" s="588">
        <v>3</v>
      </c>
      <c r="B72" s="669" t="s">
        <v>778</v>
      </c>
      <c r="C72" s="606">
        <v>3725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3.2" x14ac:dyDescent="0.25">
      <c r="A73" s="588">
        <v>4</v>
      </c>
      <c r="B73" s="669" t="s">
        <v>115</v>
      </c>
      <c r="C73" s="606">
        <v>3664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3.2" x14ac:dyDescent="0.25">
      <c r="A74" s="588">
        <v>5</v>
      </c>
      <c r="B74" s="669" t="s">
        <v>744</v>
      </c>
      <c r="C74" s="606">
        <v>61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3.2" x14ac:dyDescent="0.25">
      <c r="A75" s="588">
        <v>6</v>
      </c>
      <c r="B75" s="669" t="s">
        <v>424</v>
      </c>
      <c r="C75" s="621">
        <v>31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3.2" x14ac:dyDescent="0.25">
      <c r="A76" s="588">
        <v>7</v>
      </c>
      <c r="B76" s="669" t="s">
        <v>759</v>
      </c>
      <c r="C76" s="621">
        <v>327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3.2" x14ac:dyDescent="0.25">
      <c r="A77" s="588"/>
      <c r="B77" s="671" t="s">
        <v>808</v>
      </c>
      <c r="C77" s="608">
        <f>SUM(C71+C72+C75)</f>
        <v>13948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3.2" x14ac:dyDescent="0.25">
      <c r="A78" s="588"/>
      <c r="B78" s="671" t="s">
        <v>138</v>
      </c>
      <c r="C78" s="680">
        <f>SUM(C70+C77)</f>
        <v>21011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3.2" x14ac:dyDescent="0.25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3.2" x14ac:dyDescent="0.25">
      <c r="A80" s="584" t="s">
        <v>26</v>
      </c>
      <c r="B80" s="585" t="s">
        <v>812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3.2" x14ac:dyDescent="0.25">
      <c r="A81" s="588">
        <v>1</v>
      </c>
      <c r="B81" s="669" t="s">
        <v>657</v>
      </c>
      <c r="C81" s="617">
        <v>1.2867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3.2" x14ac:dyDescent="0.25">
      <c r="A82" s="588">
        <v>2</v>
      </c>
      <c r="B82" s="669" t="s">
        <v>636</v>
      </c>
      <c r="C82" s="617">
        <v>1.5397000000000001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3.2" x14ac:dyDescent="0.25">
      <c r="A83" s="588">
        <v>3</v>
      </c>
      <c r="B83" s="669" t="s">
        <v>778</v>
      </c>
      <c r="C83" s="617">
        <f>((C73*C84)+(C74*C85))/(C73+C74)</f>
        <v>1.1267897718120805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3.2" x14ac:dyDescent="0.25">
      <c r="A84" s="588">
        <v>4</v>
      </c>
      <c r="B84" s="669" t="s">
        <v>115</v>
      </c>
      <c r="C84" s="617">
        <v>1.1249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3.2" x14ac:dyDescent="0.25">
      <c r="A85" s="588">
        <v>5</v>
      </c>
      <c r="B85" s="669" t="s">
        <v>744</v>
      </c>
      <c r="C85" s="617">
        <v>1.2403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3.2" x14ac:dyDescent="0.25">
      <c r="A86" s="588">
        <v>6</v>
      </c>
      <c r="B86" s="669" t="s">
        <v>424</v>
      </c>
      <c r="C86" s="617">
        <v>0.99070000000000003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3.2" x14ac:dyDescent="0.25">
      <c r="A87" s="588">
        <v>7</v>
      </c>
      <c r="B87" s="669" t="s">
        <v>759</v>
      </c>
      <c r="C87" s="617">
        <v>1.2983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3.2" x14ac:dyDescent="0.25">
      <c r="A88" s="588"/>
      <c r="B88" s="671" t="s">
        <v>813</v>
      </c>
      <c r="C88" s="619">
        <f>((C71*C82)+(C73*C84)+(C74*C85)+(C75*C86))/(C71+C73+C74+C75)</f>
        <v>1.4282066246056782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3.2" x14ac:dyDescent="0.25">
      <c r="A89" s="588"/>
      <c r="B89" s="671" t="s">
        <v>724</v>
      </c>
      <c r="C89" s="619">
        <f>((C70*C81)+(C71*C82)+(C73*C84)+(C74*C85)+(C75*C86))/(C70+C71+C73+C74+C75)</f>
        <v>1.3806381466850697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3.2" x14ac:dyDescent="0.25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3.2" x14ac:dyDescent="0.25">
      <c r="A91" s="584" t="s">
        <v>36</v>
      </c>
      <c r="B91" s="585" t="s">
        <v>814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3.2" x14ac:dyDescent="0.25">
      <c r="A92" s="588">
        <v>1</v>
      </c>
      <c r="B92" s="669" t="s">
        <v>815</v>
      </c>
      <c r="C92" s="589">
        <v>577536176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3.2" x14ac:dyDescent="0.25">
      <c r="A93" s="588">
        <v>2</v>
      </c>
      <c r="B93" s="669" t="s">
        <v>816</v>
      </c>
      <c r="C93" s="622">
        <v>338099919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3.2" x14ac:dyDescent="0.25">
      <c r="A94" s="588"/>
      <c r="B94" s="669" t="s">
        <v>669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3.2" x14ac:dyDescent="0.25">
      <c r="A95" s="588">
        <v>3</v>
      </c>
      <c r="B95" s="669" t="s">
        <v>748</v>
      </c>
      <c r="C95" s="589">
        <f>+C92-C93</f>
        <v>239436257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3.2" x14ac:dyDescent="0.25">
      <c r="A96" s="588">
        <v>4</v>
      </c>
      <c r="B96" s="669" t="s">
        <v>671</v>
      </c>
      <c r="C96" s="681">
        <f>(+C92-C93)/C92</f>
        <v>0.41458226679119753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3.2" x14ac:dyDescent="0.25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3.2" x14ac:dyDescent="0.25">
      <c r="A98" s="588">
        <v>5</v>
      </c>
      <c r="B98" s="669" t="s">
        <v>763</v>
      </c>
      <c r="C98" s="589">
        <v>37228342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3.2" x14ac:dyDescent="0.25">
      <c r="A99" s="588">
        <v>6</v>
      </c>
      <c r="B99" s="669" t="s">
        <v>749</v>
      </c>
      <c r="C99" s="589">
        <v>22981106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3.2" x14ac:dyDescent="0.25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5">
      <c r="A101" s="588">
        <v>7</v>
      </c>
      <c r="B101" s="683" t="s">
        <v>880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3.2" x14ac:dyDescent="0.25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3.2" x14ac:dyDescent="0.25">
      <c r="A103" s="588">
        <v>8</v>
      </c>
      <c r="B103" s="669" t="s">
        <v>818</v>
      </c>
      <c r="C103" s="589">
        <v>18294245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3.2" x14ac:dyDescent="0.25">
      <c r="A104" s="588">
        <v>9</v>
      </c>
      <c r="B104" s="669" t="s">
        <v>819</v>
      </c>
      <c r="C104" s="589">
        <v>18796578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3.2" x14ac:dyDescent="0.25">
      <c r="A105" s="645">
        <v>10</v>
      </c>
      <c r="B105" s="646" t="s">
        <v>820</v>
      </c>
      <c r="C105" s="654">
        <f>+C103+C104</f>
        <v>37090823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5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3.2" x14ac:dyDescent="0.25">
      <c r="A107" s="588">
        <v>11</v>
      </c>
      <c r="B107" s="669" t="s">
        <v>821</v>
      </c>
      <c r="C107" s="589">
        <v>19327727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3.2" x14ac:dyDescent="0.25">
      <c r="A108" s="588">
        <v>12</v>
      </c>
      <c r="B108" s="669" t="s">
        <v>711</v>
      </c>
      <c r="C108" s="589">
        <v>644970000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3.2" x14ac:dyDescent="0.25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3">
      <c r="A110" s="578" t="s">
        <v>135</v>
      </c>
      <c r="B110" s="579" t="s">
        <v>851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3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3.2" x14ac:dyDescent="0.25">
      <c r="A112" s="584" t="s">
        <v>14</v>
      </c>
      <c r="B112" s="585" t="s">
        <v>852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3.2" x14ac:dyDescent="0.25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3.2" x14ac:dyDescent="0.25">
      <c r="A114" s="588">
        <v>1</v>
      </c>
      <c r="B114" s="669" t="s">
        <v>655</v>
      </c>
      <c r="C114" s="590">
        <f>+C65</f>
        <v>621627425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3.2" x14ac:dyDescent="0.25">
      <c r="A115" s="588">
        <v>2</v>
      </c>
      <c r="B115" s="669" t="s">
        <v>853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3.2" x14ac:dyDescent="0.25">
      <c r="A116" s="588"/>
      <c r="B116" s="671" t="s">
        <v>854</v>
      </c>
      <c r="C116" s="593">
        <f>+C114+C115</f>
        <v>621627425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3.2" x14ac:dyDescent="0.25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3.2" x14ac:dyDescent="0.25">
      <c r="A118" s="588">
        <v>3</v>
      </c>
      <c r="B118" s="669" t="s">
        <v>855</v>
      </c>
      <c r="C118" s="654">
        <v>-413425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3.2" x14ac:dyDescent="0.25">
      <c r="A119" s="588"/>
      <c r="B119" s="671" t="s">
        <v>856</v>
      </c>
      <c r="C119" s="656">
        <f>+C116+C118</f>
        <v>621214000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3.2" x14ac:dyDescent="0.25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3.2" x14ac:dyDescent="0.25">
      <c r="A121" s="588">
        <v>4</v>
      </c>
      <c r="B121" s="669" t="s">
        <v>857</v>
      </c>
      <c r="C121" s="589">
        <v>621214000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3.2" x14ac:dyDescent="0.25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3.2" x14ac:dyDescent="0.25">
      <c r="A123" s="588"/>
      <c r="B123" s="671" t="s">
        <v>858</v>
      </c>
      <c r="C123" s="658">
        <f>C119-C121</f>
        <v>0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3.2" x14ac:dyDescent="0.25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3.2" x14ac:dyDescent="0.25">
      <c r="A125" s="425" t="s">
        <v>26</v>
      </c>
      <c r="B125" s="585" t="s">
        <v>859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3.2" x14ac:dyDescent="0.25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3.2" x14ac:dyDescent="0.25">
      <c r="A127" s="588">
        <v>1</v>
      </c>
      <c r="B127" s="669" t="s">
        <v>860</v>
      </c>
      <c r="C127" s="590">
        <f>C38</f>
        <v>1634814963</v>
      </c>
      <c r="D127" s="664"/>
      <c r="AR127" s="485"/>
    </row>
    <row r="128" spans="1:58" s="421" customFormat="1" ht="13.2" x14ac:dyDescent="0.25">
      <c r="A128" s="588">
        <v>2</v>
      </c>
      <c r="B128" s="659" t="s">
        <v>861</v>
      </c>
      <c r="C128" s="589">
        <v>0</v>
      </c>
      <c r="D128" s="664"/>
      <c r="AR128" s="485"/>
    </row>
    <row r="129" spans="1:44" s="421" customFormat="1" ht="13.2" x14ac:dyDescent="0.25">
      <c r="A129" s="588"/>
      <c r="B129" s="671" t="s">
        <v>862</v>
      </c>
      <c r="C129" s="657">
        <f>C127+C128</f>
        <v>1634814963</v>
      </c>
      <c r="D129" s="664"/>
      <c r="AR129" s="485"/>
    </row>
    <row r="130" spans="1:44" s="421" customFormat="1" ht="13.2" x14ac:dyDescent="0.25">
      <c r="A130" s="588"/>
      <c r="B130" s="586"/>
      <c r="C130" s="589"/>
      <c r="D130" s="664"/>
      <c r="AR130" s="485"/>
    </row>
    <row r="131" spans="1:44" s="421" customFormat="1" ht="13.2" x14ac:dyDescent="0.25">
      <c r="A131" s="588">
        <v>3</v>
      </c>
      <c r="B131" s="669" t="s">
        <v>863</v>
      </c>
      <c r="C131" s="589">
        <v>1634815000</v>
      </c>
      <c r="D131" s="664"/>
      <c r="AR131" s="485"/>
    </row>
    <row r="132" spans="1:44" s="421" customFormat="1" ht="13.2" x14ac:dyDescent="0.25">
      <c r="A132" s="588"/>
      <c r="B132" s="669"/>
      <c r="C132" s="589"/>
      <c r="D132" s="664"/>
      <c r="AR132" s="485"/>
    </row>
    <row r="133" spans="1:44" s="421" customFormat="1" ht="13.2" x14ac:dyDescent="0.25">
      <c r="A133" s="588"/>
      <c r="B133" s="671" t="s">
        <v>858</v>
      </c>
      <c r="C133" s="657">
        <f>C129-C131</f>
        <v>-37</v>
      </c>
      <c r="D133" s="664"/>
      <c r="AR133" s="485"/>
    </row>
    <row r="134" spans="1:44" s="421" customFormat="1" ht="13.2" x14ac:dyDescent="0.25">
      <c r="A134" s="669"/>
      <c r="B134" s="586"/>
      <c r="C134" s="586"/>
      <c r="D134" s="664"/>
      <c r="AR134" s="485"/>
    </row>
    <row r="135" spans="1:44" s="421" customFormat="1" ht="13.2" x14ac:dyDescent="0.25">
      <c r="A135" s="584" t="s">
        <v>36</v>
      </c>
      <c r="B135" s="585" t="s">
        <v>864</v>
      </c>
      <c r="C135" s="586"/>
      <c r="D135" s="664"/>
      <c r="AR135" s="485"/>
    </row>
    <row r="136" spans="1:44" s="421" customFormat="1" ht="13.2" x14ac:dyDescent="0.25">
      <c r="A136" s="586"/>
      <c r="B136" s="627"/>
      <c r="C136" s="586"/>
      <c r="D136" s="664"/>
      <c r="AR136" s="485"/>
    </row>
    <row r="137" spans="1:44" s="421" customFormat="1" ht="13.2" x14ac:dyDescent="0.25">
      <c r="A137" s="588">
        <v>1</v>
      </c>
      <c r="B137" s="669" t="s">
        <v>865</v>
      </c>
      <c r="C137" s="589">
        <f>C105</f>
        <v>37090823</v>
      </c>
      <c r="D137" s="664"/>
      <c r="AR137" s="485"/>
    </row>
    <row r="138" spans="1:44" s="421" customFormat="1" ht="13.2" x14ac:dyDescent="0.25">
      <c r="A138" s="588">
        <v>2</v>
      </c>
      <c r="B138" s="669" t="s">
        <v>881</v>
      </c>
      <c r="C138" s="589">
        <v>0</v>
      </c>
      <c r="D138" s="664"/>
      <c r="AR138" s="485"/>
    </row>
    <row r="139" spans="1:44" s="421" customFormat="1" ht="13.2" x14ac:dyDescent="0.25">
      <c r="A139" s="588"/>
      <c r="B139" s="671" t="s">
        <v>867</v>
      </c>
      <c r="C139" s="657">
        <f>C137+C138</f>
        <v>37090823</v>
      </c>
      <c r="D139" s="664"/>
      <c r="AR139" s="485"/>
    </row>
    <row r="140" spans="1:44" s="421" customFormat="1" ht="13.2" x14ac:dyDescent="0.25">
      <c r="A140" s="588"/>
      <c r="B140" s="586"/>
      <c r="C140" s="589"/>
      <c r="D140" s="664"/>
      <c r="AR140" s="485"/>
    </row>
    <row r="141" spans="1:44" s="421" customFormat="1" ht="13.2" x14ac:dyDescent="0.25">
      <c r="A141" s="588">
        <v>3</v>
      </c>
      <c r="B141" s="669" t="s">
        <v>882</v>
      </c>
      <c r="C141" s="589">
        <v>37090823</v>
      </c>
      <c r="D141" s="664"/>
      <c r="AR141" s="485"/>
    </row>
    <row r="142" spans="1:44" s="421" customFormat="1" ht="13.2" x14ac:dyDescent="0.25">
      <c r="A142" s="588"/>
      <c r="B142" s="669"/>
      <c r="C142" s="589"/>
      <c r="D142" s="664"/>
      <c r="AR142" s="485"/>
    </row>
    <row r="143" spans="1:44" s="421" customFormat="1" ht="13.2" x14ac:dyDescent="0.25">
      <c r="A143" s="588"/>
      <c r="B143" s="671" t="s">
        <v>869</v>
      </c>
      <c r="C143" s="657">
        <f>C139-C141</f>
        <v>0</v>
      </c>
      <c r="D143" s="664"/>
      <c r="AR143" s="485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5" right="0.5" top="0.5" bottom="0.5" header="0.25" footer="0.25"/>
  <pageSetup scale="74" fitToHeight="0" orientation="portrait" r:id="rId1"/>
  <headerFooter>
    <oddHeader>&amp;LOFFICE OF HEALTH CARE ACCESS&amp;CTWELVE MONTHS ACTUAL FILING&amp;RDANBURY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>
      <selection activeCell="B43" sqref="B43"/>
    </sheetView>
  </sheetViews>
  <sheetFormatPr defaultColWidth="9.109375" defaultRowHeight="13.2" x14ac:dyDescent="0.25"/>
  <cols>
    <col min="1" max="1" width="5.88671875" style="365" customWidth="1"/>
    <col min="2" max="2" width="60.33203125" style="365" customWidth="1"/>
    <col min="3" max="4" width="18.6640625" style="365" customWidth="1"/>
    <col min="5" max="6" width="15.6640625" style="365" customWidth="1"/>
    <col min="7" max="7" width="35.109375" style="365" customWidth="1"/>
    <col min="8" max="8" width="12.6640625" style="365" customWidth="1"/>
    <col min="9" max="9" width="10.109375" style="365" bestFit="1" customWidth="1"/>
    <col min="10" max="10" width="12.109375" style="365" bestFit="1" customWidth="1"/>
    <col min="11" max="11" width="12" style="365" bestFit="1" customWidth="1"/>
    <col min="12" max="12" width="12.88671875" style="365" bestFit="1" customWidth="1"/>
    <col min="13" max="13" width="12" style="365" bestFit="1" customWidth="1"/>
    <col min="14" max="14" width="9.88671875" style="365" customWidth="1"/>
    <col min="15" max="16384" width="9.109375" style="365"/>
  </cols>
  <sheetData>
    <row r="1" spans="1:14" ht="15.75" customHeight="1" x14ac:dyDescent="0.25">
      <c r="A1" s="826"/>
      <c r="B1" s="827"/>
      <c r="C1" s="827"/>
      <c r="D1" s="827"/>
      <c r="E1" s="827"/>
      <c r="F1" s="828"/>
    </row>
    <row r="2" spans="1:14" ht="15.75" customHeight="1" x14ac:dyDescent="0.3">
      <c r="A2" s="829" t="s">
        <v>0</v>
      </c>
      <c r="B2" s="830"/>
      <c r="C2" s="830"/>
      <c r="D2" s="830"/>
      <c r="E2" s="830"/>
      <c r="F2" s="831"/>
    </row>
    <row r="3" spans="1:14" ht="15.75" customHeight="1" x14ac:dyDescent="0.3">
      <c r="A3" s="829" t="s">
        <v>630</v>
      </c>
      <c r="B3" s="830"/>
      <c r="C3" s="830"/>
      <c r="D3" s="830"/>
      <c r="E3" s="830"/>
      <c r="F3" s="831"/>
    </row>
    <row r="4" spans="1:14" ht="15.75" customHeight="1" x14ac:dyDescent="0.3">
      <c r="A4" s="829" t="s">
        <v>2</v>
      </c>
      <c r="B4" s="830"/>
      <c r="C4" s="830"/>
      <c r="D4" s="830"/>
      <c r="E4" s="830"/>
      <c r="F4" s="831"/>
    </row>
    <row r="5" spans="1:14" ht="15.75" customHeight="1" x14ac:dyDescent="0.3">
      <c r="A5" s="829" t="s">
        <v>883</v>
      </c>
      <c r="B5" s="830"/>
      <c r="C5" s="830"/>
      <c r="D5" s="830"/>
      <c r="E5" s="830"/>
      <c r="F5" s="831"/>
    </row>
    <row r="6" spans="1:14" ht="15.75" customHeight="1" x14ac:dyDescent="0.3">
      <c r="A6" s="688"/>
      <c r="B6" s="688"/>
      <c r="C6" s="177"/>
      <c r="D6" s="177"/>
      <c r="E6" s="688"/>
      <c r="F6" s="688"/>
      <c r="M6" s="689"/>
    </row>
    <row r="7" spans="1:14" ht="15.75" customHeight="1" x14ac:dyDescent="0.3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3">
      <c r="A8" s="688"/>
      <c r="B8" s="393"/>
      <c r="C8" s="177" t="s">
        <v>633</v>
      </c>
      <c r="D8" s="177" t="s">
        <v>633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3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3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3">
      <c r="A11" s="71" t="s">
        <v>14</v>
      </c>
      <c r="B11" s="694" t="s">
        <v>884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5">
      <c r="A12" s="74">
        <v>1</v>
      </c>
      <c r="B12" s="698" t="s">
        <v>885</v>
      </c>
      <c r="C12" s="185">
        <v>3106</v>
      </c>
      <c r="D12" s="185">
        <v>3248</v>
      </c>
      <c r="E12" s="185">
        <f>+D12-C12</f>
        <v>142</v>
      </c>
      <c r="F12" s="77">
        <f>IF(C12=0,0,+E12/C12)</f>
        <v>4.5717965228589827E-2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5">
      <c r="A13" s="85">
        <v>2</v>
      </c>
      <c r="B13" s="698" t="s">
        <v>886</v>
      </c>
      <c r="C13" s="185">
        <v>3097</v>
      </c>
      <c r="D13" s="185">
        <v>3245</v>
      </c>
      <c r="E13" s="185">
        <f>+D13-C13</f>
        <v>148</v>
      </c>
      <c r="F13" s="77">
        <f>IF(C13=0,0,+E13/C13)</f>
        <v>4.778818211172102E-2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5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3">
      <c r="A15" s="74">
        <v>3</v>
      </c>
      <c r="B15" s="702" t="s">
        <v>887</v>
      </c>
      <c r="C15" s="76">
        <v>16274798</v>
      </c>
      <c r="D15" s="76">
        <v>18294245</v>
      </c>
      <c r="E15" s="76">
        <f>+D15-C15</f>
        <v>2019447</v>
      </c>
      <c r="F15" s="77">
        <f>IF(C15=0,0,+E15/C15)</f>
        <v>0.12408430507094466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3">
      <c r="A16" s="74">
        <v>4</v>
      </c>
      <c r="B16" s="702" t="s">
        <v>888</v>
      </c>
      <c r="C16" s="79">
        <f>IF(C13=0,0,+C15/+C13)</f>
        <v>5255.02034226671</v>
      </c>
      <c r="D16" s="79">
        <f>IF(D13=0,0,+D15/+D13)</f>
        <v>5637.6718027734978</v>
      </c>
      <c r="E16" s="79">
        <f>+D16-C16</f>
        <v>382.65146050678777</v>
      </c>
      <c r="F16" s="80">
        <f>IF(C16=0,0,+E16/C16)</f>
        <v>7.2816361419018635E-2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5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5">
      <c r="A18" s="74">
        <v>5</v>
      </c>
      <c r="B18" s="703" t="s">
        <v>889</v>
      </c>
      <c r="C18" s="704">
        <v>0</v>
      </c>
      <c r="D18" s="704">
        <v>0.39998099999999998</v>
      </c>
      <c r="E18" s="704">
        <f>+D18-C18</f>
        <v>0.39998099999999998</v>
      </c>
      <c r="F18" s="77">
        <f>IF(C18=0,0,+E18/C18)</f>
        <v>0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3">
      <c r="A19" s="74">
        <v>6</v>
      </c>
      <c r="B19" s="702" t="s">
        <v>890</v>
      </c>
      <c r="C19" s="79">
        <f>+C15*C18</f>
        <v>0</v>
      </c>
      <c r="D19" s="79">
        <f>+D15*D18</f>
        <v>7317350.4093449991</v>
      </c>
      <c r="E19" s="79">
        <f>+D19-C19</f>
        <v>7317350.4093449991</v>
      </c>
      <c r="F19" s="80">
        <f>IF(C19=0,0,+E19/C19)</f>
        <v>0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3">
      <c r="A20" s="74">
        <v>7</v>
      </c>
      <c r="B20" s="702" t="s">
        <v>891</v>
      </c>
      <c r="C20" s="79">
        <f>IF(C13=0,0,+C19/C13)</f>
        <v>0</v>
      </c>
      <c r="D20" s="79">
        <f>IF(D13=0,0,+D19/D13)</f>
        <v>2254.9616053451459</v>
      </c>
      <c r="E20" s="79">
        <f>+D20-C20</f>
        <v>2254.9616053451459</v>
      </c>
      <c r="F20" s="80">
        <f>IF(C20=0,0,+E20/C20)</f>
        <v>0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3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5">
      <c r="A22" s="74">
        <v>8</v>
      </c>
      <c r="B22" s="705" t="s">
        <v>892</v>
      </c>
      <c r="C22" s="76">
        <v>3591917</v>
      </c>
      <c r="D22" s="76">
        <v>4763037</v>
      </c>
      <c r="E22" s="76">
        <f>+D22-C22</f>
        <v>1171120</v>
      </c>
      <c r="F22" s="77">
        <f>IF(C22=0,0,+E22/C22)</f>
        <v>0.32604316859214733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5">
      <c r="A23" s="74">
        <v>9</v>
      </c>
      <c r="B23" s="705" t="s">
        <v>893</v>
      </c>
      <c r="C23" s="185">
        <v>3129220</v>
      </c>
      <c r="D23" s="185">
        <v>3824911</v>
      </c>
      <c r="E23" s="185">
        <f>+D23-C23</f>
        <v>695691</v>
      </c>
      <c r="F23" s="77">
        <f>IF(C23=0,0,+E23/C23)</f>
        <v>0.22232089785953049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5">
      <c r="A24" s="74">
        <v>10</v>
      </c>
      <c r="B24" s="705" t="s">
        <v>894</v>
      </c>
      <c r="C24" s="185">
        <v>9553661</v>
      </c>
      <c r="D24" s="185">
        <v>9706297</v>
      </c>
      <c r="E24" s="185">
        <f>+D24-C24</f>
        <v>152636</v>
      </c>
      <c r="F24" s="77">
        <f>IF(C24=0,0,+E24/C24)</f>
        <v>1.5976702543663627E-2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3">
      <c r="A25" s="74">
        <v>11</v>
      </c>
      <c r="B25" s="702" t="s">
        <v>895</v>
      </c>
      <c r="C25" s="79">
        <f>+C22+C23+C24</f>
        <v>16274798</v>
      </c>
      <c r="D25" s="79">
        <f>+D22+D23+D24</f>
        <v>18294245</v>
      </c>
      <c r="E25" s="79">
        <f>+E22+E23+E24</f>
        <v>2019447</v>
      </c>
      <c r="F25" s="80">
        <f>IF(C25=0,0,+E25/C25)</f>
        <v>0.12408430507094466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3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5">
      <c r="A27" s="74">
        <v>12</v>
      </c>
      <c r="B27" s="705" t="s">
        <v>896</v>
      </c>
      <c r="C27" s="185">
        <v>480</v>
      </c>
      <c r="D27" s="185">
        <v>753</v>
      </c>
      <c r="E27" s="185">
        <f>+D27-C27</f>
        <v>273</v>
      </c>
      <c r="F27" s="77">
        <f>IF(C27=0,0,+E27/C27)</f>
        <v>0.56874999999999998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5">
      <c r="A28" s="74">
        <v>13</v>
      </c>
      <c r="B28" s="705" t="s">
        <v>897</v>
      </c>
      <c r="C28" s="185">
        <v>102</v>
      </c>
      <c r="D28" s="185">
        <v>119</v>
      </c>
      <c r="E28" s="185">
        <f>+D28-C28</f>
        <v>17</v>
      </c>
      <c r="F28" s="77">
        <f>IF(C28=0,0,+E28/C28)</f>
        <v>0.16666666666666666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5">
      <c r="A29" s="74">
        <v>14</v>
      </c>
      <c r="B29" s="705" t="s">
        <v>898</v>
      </c>
      <c r="C29" s="185">
        <v>1511</v>
      </c>
      <c r="D29" s="185">
        <v>1409</v>
      </c>
      <c r="E29" s="185">
        <f>+D29-C29</f>
        <v>-102</v>
      </c>
      <c r="F29" s="77">
        <f>IF(C29=0,0,+E29/C29)</f>
        <v>-6.7504963600264728E-2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5">
      <c r="A30" s="74">
        <v>15</v>
      </c>
      <c r="B30" s="705" t="s">
        <v>899</v>
      </c>
      <c r="C30" s="185">
        <v>12213</v>
      </c>
      <c r="D30" s="185">
        <v>11625</v>
      </c>
      <c r="E30" s="185">
        <f>+D30-C30</f>
        <v>-588</v>
      </c>
      <c r="F30" s="77">
        <f>IF(C30=0,0,+E30/C30)</f>
        <v>-4.8145418816015723E-2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5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3">
      <c r="A32" s="71" t="s">
        <v>26</v>
      </c>
      <c r="B32" s="694" t="s">
        <v>900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5">
      <c r="A33" s="74">
        <v>1</v>
      </c>
      <c r="B33" s="705" t="s">
        <v>901</v>
      </c>
      <c r="C33" s="76">
        <v>5540618</v>
      </c>
      <c r="D33" s="76">
        <v>4578440</v>
      </c>
      <c r="E33" s="76">
        <f>+D33-C33</f>
        <v>-962178</v>
      </c>
      <c r="F33" s="77">
        <f>IF(C33=0,0,+E33/C33)</f>
        <v>-0.1736589672848769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5">
      <c r="A34" s="74">
        <v>2</v>
      </c>
      <c r="B34" s="705" t="s">
        <v>902</v>
      </c>
      <c r="C34" s="185">
        <v>12768494</v>
      </c>
      <c r="D34" s="185">
        <v>11757671</v>
      </c>
      <c r="E34" s="185">
        <f>+D34-C34</f>
        <v>-1010823</v>
      </c>
      <c r="F34" s="77">
        <f>IF(C34=0,0,+E34/C34)</f>
        <v>-7.9165405097891731E-2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5">
      <c r="A35" s="74">
        <v>3</v>
      </c>
      <c r="B35" s="705" t="s">
        <v>903</v>
      </c>
      <c r="C35" s="185">
        <v>2845345</v>
      </c>
      <c r="D35" s="185">
        <v>2460467</v>
      </c>
      <c r="E35" s="185">
        <f>+D35-C35</f>
        <v>-384878</v>
      </c>
      <c r="F35" s="77">
        <f>IF(C35=0,0,+E35/C35)</f>
        <v>-0.13526584649664627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3">
      <c r="A36" s="74">
        <v>4</v>
      </c>
      <c r="B36" s="702" t="s">
        <v>904</v>
      </c>
      <c r="C36" s="79">
        <f>+C33+C34+C35</f>
        <v>21154457</v>
      </c>
      <c r="D36" s="79">
        <f>+D33+D34+D35</f>
        <v>18796578</v>
      </c>
      <c r="E36" s="79">
        <f>+E33+E34+E35</f>
        <v>-2357879</v>
      </c>
      <c r="F36" s="80">
        <f>IF(C36=0,0,+E36/C36)</f>
        <v>-0.11146015234520082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3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3">
      <c r="A38" s="71" t="s">
        <v>36</v>
      </c>
      <c r="B38" s="694" t="s">
        <v>905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5">
      <c r="A39" s="74">
        <v>1</v>
      </c>
      <c r="B39" s="698" t="s">
        <v>906</v>
      </c>
      <c r="C39" s="76">
        <f>+C25</f>
        <v>16274798</v>
      </c>
      <c r="D39" s="76">
        <f>+D25</f>
        <v>18294245</v>
      </c>
      <c r="E39" s="76">
        <f>+D39-C39</f>
        <v>2019447</v>
      </c>
      <c r="F39" s="77">
        <f>IF(C39=0,0,+E39/C39)</f>
        <v>0.12408430507094466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5">
      <c r="A40" s="74">
        <v>2</v>
      </c>
      <c r="B40" s="698" t="s">
        <v>907</v>
      </c>
      <c r="C40" s="185">
        <f>+C36</f>
        <v>21154457</v>
      </c>
      <c r="D40" s="185">
        <f>+D36</f>
        <v>18796578</v>
      </c>
      <c r="E40" s="185">
        <f>+D40-C40</f>
        <v>-2357879</v>
      </c>
      <c r="F40" s="77">
        <f>IF(C40=0,0,+E40/C40)</f>
        <v>-0.11146015234520082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3">
      <c r="A41" s="74">
        <v>3</v>
      </c>
      <c r="B41" s="707" t="s">
        <v>908</v>
      </c>
      <c r="C41" s="79">
        <f>+C39+C40</f>
        <v>37429255</v>
      </c>
      <c r="D41" s="79">
        <f>+D39+D40</f>
        <v>37090823</v>
      </c>
      <c r="E41" s="79">
        <f>+E39+E40</f>
        <v>-338432</v>
      </c>
      <c r="F41" s="80">
        <f>IF(C41=0,0,+E41/C41)</f>
        <v>-9.0419112002095691E-3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3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5">
      <c r="A43" s="74">
        <v>4</v>
      </c>
      <c r="B43" s="705" t="s">
        <v>909</v>
      </c>
      <c r="C43" s="76">
        <f t="shared" ref="C43:D45" si="0">+C22+C33</f>
        <v>9132535</v>
      </c>
      <c r="D43" s="76">
        <f t="shared" si="0"/>
        <v>9341477</v>
      </c>
      <c r="E43" s="76">
        <f>+D43-C43</f>
        <v>208942</v>
      </c>
      <c r="F43" s="77">
        <f>IF(C43=0,0,+E43/C43)</f>
        <v>2.2878861126729873E-2</v>
      </c>
      <c r="G43" s="699"/>
      <c r="H43" s="700"/>
      <c r="I43" s="701"/>
      <c r="J43" s="396"/>
      <c r="K43" s="396"/>
      <c r="L43" s="396"/>
      <c r="M43" s="396"/>
    </row>
    <row r="44" spans="1:13" ht="30" x14ac:dyDescent="0.25">
      <c r="A44" s="74">
        <v>5</v>
      </c>
      <c r="B44" s="705" t="s">
        <v>910</v>
      </c>
      <c r="C44" s="185">
        <f t="shared" si="0"/>
        <v>15897714</v>
      </c>
      <c r="D44" s="185">
        <f t="shared" si="0"/>
        <v>15582582</v>
      </c>
      <c r="E44" s="185">
        <f>+D44-C44</f>
        <v>-315132</v>
      </c>
      <c r="F44" s="77">
        <f>IF(C44=0,0,+E44/C44)</f>
        <v>-1.9822472589455315E-2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5">
      <c r="A45" s="74">
        <v>6</v>
      </c>
      <c r="B45" s="705" t="s">
        <v>911</v>
      </c>
      <c r="C45" s="185">
        <f t="shared" si="0"/>
        <v>12399006</v>
      </c>
      <c r="D45" s="185">
        <f t="shared" si="0"/>
        <v>12166764</v>
      </c>
      <c r="E45" s="185">
        <f>+D45-C45</f>
        <v>-232242</v>
      </c>
      <c r="F45" s="77">
        <f>IF(C45=0,0,+E45/C45)</f>
        <v>-1.8730695025068946E-2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3">
      <c r="A46" s="74">
        <v>7</v>
      </c>
      <c r="B46" s="702" t="s">
        <v>908</v>
      </c>
      <c r="C46" s="79">
        <f>+C43+C44+C45</f>
        <v>37429255</v>
      </c>
      <c r="D46" s="79">
        <f>+D43+D44+D45</f>
        <v>37090823</v>
      </c>
      <c r="E46" s="79">
        <f>+E43+E44+E45</f>
        <v>-338432</v>
      </c>
      <c r="F46" s="80">
        <f>IF(C46=0,0,+E46/C46)</f>
        <v>-9.0419112002095691E-3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3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3">
      <c r="A48" s="832" t="s">
        <v>912</v>
      </c>
      <c r="B48" s="833"/>
      <c r="C48" s="833"/>
      <c r="D48" s="833"/>
      <c r="E48" s="833"/>
      <c r="F48" s="834"/>
    </row>
  </sheetData>
  <mergeCells count="6">
    <mergeCell ref="A48:F48"/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scale="76" fitToHeight="0" orientation="portrait" horizontalDpi="1200" verticalDpi="1200" r:id="rId1"/>
  <headerFooter>
    <oddHeader>_x000D_
                  &amp;LOFFICE OF HEALTH CARE ACCESS&amp;CTWELVE MONTHS ACTUAL FILING&amp;RDANBURY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SheetLayoutView="90" workbookViewId="0">
      <selection activeCell="B43" sqref="B43"/>
    </sheetView>
  </sheetViews>
  <sheetFormatPr defaultColWidth="9.109375" defaultRowHeight="13.2" x14ac:dyDescent="0.25"/>
  <cols>
    <col min="1" max="1" width="6.6640625" style="365" customWidth="1"/>
    <col min="2" max="2" width="50.6640625" style="365" customWidth="1"/>
    <col min="3" max="4" width="25.6640625" style="365" customWidth="1"/>
    <col min="5" max="6" width="20.6640625" style="365" customWidth="1"/>
    <col min="7" max="7" width="35.109375" style="365" customWidth="1"/>
    <col min="8" max="8" width="12.6640625" style="365" customWidth="1"/>
    <col min="9" max="9" width="10.109375" style="365" bestFit="1" customWidth="1"/>
    <col min="10" max="10" width="12.109375" style="365" bestFit="1" customWidth="1"/>
    <col min="11" max="11" width="12" style="365" bestFit="1" customWidth="1"/>
    <col min="12" max="12" width="12.88671875" style="365" bestFit="1" customWidth="1"/>
    <col min="13" max="13" width="12" style="365" bestFit="1" customWidth="1"/>
    <col min="14" max="14" width="9.88671875" style="365" customWidth="1"/>
    <col min="15" max="16384" width="9.109375" style="365"/>
  </cols>
  <sheetData>
    <row r="1" spans="1:14" ht="15" customHeight="1" x14ac:dyDescent="0.25">
      <c r="A1" s="688"/>
      <c r="B1" s="688"/>
      <c r="C1" s="688"/>
      <c r="D1" s="688"/>
      <c r="E1" s="688"/>
      <c r="F1" s="688"/>
    </row>
    <row r="2" spans="1:14" ht="15.75" customHeight="1" x14ac:dyDescent="0.3">
      <c r="A2" s="829" t="s">
        <v>0</v>
      </c>
      <c r="B2" s="830"/>
      <c r="C2" s="830"/>
      <c r="D2" s="830"/>
      <c r="E2" s="830"/>
      <c r="F2" s="831"/>
    </row>
    <row r="3" spans="1:14" ht="15.75" customHeight="1" x14ac:dyDescent="0.3">
      <c r="A3" s="829" t="s">
        <v>630</v>
      </c>
      <c r="B3" s="830"/>
      <c r="C3" s="830"/>
      <c r="D3" s="830"/>
      <c r="E3" s="830"/>
      <c r="F3" s="831"/>
    </row>
    <row r="4" spans="1:14" ht="15.75" customHeight="1" x14ac:dyDescent="0.3">
      <c r="A4" s="829" t="s">
        <v>2</v>
      </c>
      <c r="B4" s="830"/>
      <c r="C4" s="830"/>
      <c r="D4" s="830"/>
      <c r="E4" s="830"/>
      <c r="F4" s="831"/>
    </row>
    <row r="5" spans="1:14" ht="15.75" customHeight="1" x14ac:dyDescent="0.3">
      <c r="A5" s="829" t="s">
        <v>913</v>
      </c>
      <c r="B5" s="830"/>
      <c r="C5" s="830"/>
      <c r="D5" s="830"/>
      <c r="E5" s="830"/>
      <c r="F5" s="831"/>
    </row>
    <row r="6" spans="1:14" ht="15.75" customHeight="1" x14ac:dyDescent="0.3">
      <c r="A6" s="829" t="s">
        <v>914</v>
      </c>
      <c r="B6" s="830"/>
      <c r="C6" s="830"/>
      <c r="D6" s="830"/>
      <c r="E6" s="830"/>
      <c r="F6" s="831"/>
    </row>
    <row r="7" spans="1:14" ht="15.75" customHeight="1" x14ac:dyDescent="0.3">
      <c r="A7" s="688"/>
      <c r="B7" s="688"/>
      <c r="C7" s="177"/>
      <c r="D7" s="177"/>
      <c r="E7" s="177"/>
      <c r="F7" s="177"/>
    </row>
    <row r="8" spans="1:14" ht="15.75" customHeight="1" x14ac:dyDescent="0.3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3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3">
      <c r="A10" s="688"/>
      <c r="B10" s="393"/>
      <c r="C10" s="177" t="s">
        <v>915</v>
      </c>
      <c r="D10" s="177" t="s">
        <v>915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3">
      <c r="A11" s="693" t="s">
        <v>8</v>
      </c>
      <c r="B11" s="694" t="s">
        <v>9</v>
      </c>
      <c r="C11" s="693" t="s">
        <v>916</v>
      </c>
      <c r="D11" s="693" t="s">
        <v>916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3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3">
      <c r="A13" s="693"/>
      <c r="B13" s="694" t="s">
        <v>917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3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5">
      <c r="A15" s="74">
        <v>1</v>
      </c>
      <c r="B15" s="698" t="s">
        <v>335</v>
      </c>
      <c r="C15" s="76">
        <v>535124832</v>
      </c>
      <c r="D15" s="76">
        <v>577536176</v>
      </c>
      <c r="E15" s="76">
        <f>+D15-C15</f>
        <v>42411344</v>
      </c>
      <c r="F15" s="77">
        <f>IF(C15=0,0,E15/C15)</f>
        <v>7.9255047540010254E-2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5">
      <c r="A16" s="74"/>
      <c r="B16" s="698" t="s">
        <v>530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5">
      <c r="A17" s="85">
        <v>2</v>
      </c>
      <c r="B17" s="698" t="s">
        <v>918</v>
      </c>
      <c r="C17" s="76">
        <v>222989078</v>
      </c>
      <c r="D17" s="76">
        <v>239436257</v>
      </c>
      <c r="E17" s="76">
        <f>+D17-C17</f>
        <v>16447179</v>
      </c>
      <c r="F17" s="77">
        <f>IF(C17=0,0,E17/C17)</f>
        <v>7.3757778396662102E-2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3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3">
      <c r="A19" s="71"/>
      <c r="B19" s="707" t="s">
        <v>919</v>
      </c>
      <c r="C19" s="79">
        <f>+C15-C17</f>
        <v>312135754</v>
      </c>
      <c r="D19" s="79">
        <f>+D15-D17</f>
        <v>338099919</v>
      </c>
      <c r="E19" s="79">
        <f>+D19-C19</f>
        <v>25964165</v>
      </c>
      <c r="F19" s="80">
        <f>IF(C19=0,0,E19/C19)</f>
        <v>8.3182284205736964E-2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3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3">
      <c r="A21" s="71"/>
      <c r="B21" s="719" t="s">
        <v>920</v>
      </c>
      <c r="C21" s="720">
        <f>IF(C15=0,0,C17/C15)</f>
        <v>0.4167047848753167</v>
      </c>
      <c r="D21" s="720">
        <f>IF(D15=0,0,D17/D15)</f>
        <v>0.41458226679119753</v>
      </c>
      <c r="E21" s="720">
        <f>+D21-C21</f>
        <v>-2.1225180841191738E-3</v>
      </c>
      <c r="F21" s="80">
        <f>IF(C21=0,0,E21/C21)</f>
        <v>-5.0935774225732916E-3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3">
      <c r="A22" s="71"/>
      <c r="B22" s="709" t="s">
        <v>530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3">
      <c r="A23" s="71"/>
      <c r="B23" s="709" t="s">
        <v>530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3">
      <c r="A24" s="71"/>
      <c r="B24" s="709" t="s">
        <v>530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3">
      <c r="A25" s="71"/>
      <c r="B25" s="709" t="s">
        <v>530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6" x14ac:dyDescent="0.3">
      <c r="A26" s="835" t="s">
        <v>921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3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5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5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5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5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5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5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5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5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5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5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5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5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5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5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3">
      <c r="B44" s="730"/>
    </row>
  </sheetData>
  <mergeCells count="6">
    <mergeCell ref="A26:F26"/>
    <mergeCell ref="A2:F2"/>
    <mergeCell ref="A3:F3"/>
    <mergeCell ref="A4:F4"/>
    <mergeCell ref="A5:F5"/>
    <mergeCell ref="A6:F6"/>
  </mergeCells>
  <printOptions gridLines="1"/>
  <pageMargins left="0.25" right="0.25" top="0.5" bottom="0.5" header="0.25" footer="0.25"/>
  <pageSetup scale="68" fitToHeight="0" orientation="portrait" horizontalDpi="1200" verticalDpi="1200" r:id="rId1"/>
  <headerFooter>
    <oddHeader>_x000D_
                  &amp;LOFFICE OF HEALTH CARE ACCESS&amp;CTWELVE MONTHS ACTUAL FILING&amp;RDANBURY HOSPITAL</oddHeader>
    <oddFooter>&amp;LREPORT 650&amp;CPAGE &amp;P of &amp;N&amp;R&amp;D,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4"/>
  <sheetViews>
    <sheetView tabSelected="1" zoomScale="75" workbookViewId="0">
      <selection activeCell="B43" sqref="B43"/>
    </sheetView>
  </sheetViews>
  <sheetFormatPr defaultColWidth="9.109375" defaultRowHeight="13.2" x14ac:dyDescent="0.25"/>
  <cols>
    <col min="1" max="1" width="9.44140625" style="733" customWidth="1"/>
    <col min="2" max="2" width="83.5546875" style="733" customWidth="1"/>
    <col min="3" max="5" width="18.88671875" style="733" customWidth="1"/>
    <col min="6" max="16384" width="9.109375" style="733"/>
  </cols>
  <sheetData>
    <row r="1" spans="1:6" ht="26.1" customHeight="1" x14ac:dyDescent="0.3">
      <c r="A1" s="838" t="s">
        <v>0</v>
      </c>
      <c r="B1" s="838"/>
      <c r="C1" s="838"/>
      <c r="D1" s="838"/>
      <c r="E1" s="838"/>
      <c r="F1" s="732"/>
    </row>
    <row r="2" spans="1:6" ht="26.1" customHeight="1" x14ac:dyDescent="0.3">
      <c r="A2" s="838" t="s">
        <v>1</v>
      </c>
      <c r="B2" s="838"/>
      <c r="C2" s="838"/>
      <c r="D2" s="838"/>
      <c r="E2" s="838"/>
      <c r="F2" s="732"/>
    </row>
    <row r="3" spans="1:6" ht="26.1" customHeight="1" x14ac:dyDescent="0.3">
      <c r="A3" s="838" t="s">
        <v>2</v>
      </c>
      <c r="B3" s="838"/>
      <c r="C3" s="838"/>
      <c r="D3" s="838"/>
      <c r="E3" s="838"/>
      <c r="F3" s="732"/>
    </row>
    <row r="4" spans="1:6" ht="26.1" customHeight="1" x14ac:dyDescent="0.3">
      <c r="A4" s="838" t="s">
        <v>922</v>
      </c>
      <c r="B4" s="838"/>
      <c r="C4" s="838"/>
      <c r="D4" s="838"/>
      <c r="E4" s="838"/>
      <c r="F4" s="732"/>
    </row>
    <row r="5" spans="1:6" ht="26.1" customHeight="1" x14ac:dyDescent="0.25">
      <c r="A5" s="839"/>
      <c r="B5" s="839"/>
      <c r="C5" s="839"/>
      <c r="D5" s="839"/>
      <c r="E5" s="839"/>
    </row>
    <row r="6" spans="1:6" ht="26.1" customHeight="1" x14ac:dyDescent="0.3">
      <c r="A6" s="734" t="s">
        <v>923</v>
      </c>
      <c r="B6" s="734" t="s">
        <v>924</v>
      </c>
      <c r="C6" s="734" t="s">
        <v>925</v>
      </c>
      <c r="D6" s="734" t="s">
        <v>926</v>
      </c>
      <c r="E6" s="734" t="s">
        <v>927</v>
      </c>
    </row>
    <row r="7" spans="1:6" ht="37.5" customHeight="1" x14ac:dyDescent="0.3">
      <c r="A7" s="735" t="s">
        <v>8</v>
      </c>
      <c r="B7" s="736" t="s">
        <v>9</v>
      </c>
      <c r="C7" s="737" t="s">
        <v>928</v>
      </c>
      <c r="D7" s="737" t="s">
        <v>929</v>
      </c>
      <c r="E7" s="737" t="s">
        <v>930</v>
      </c>
    </row>
    <row r="8" spans="1:6" ht="26.1" customHeight="1" x14ac:dyDescent="0.3">
      <c r="A8" s="738"/>
      <c r="B8" s="736"/>
      <c r="C8" s="739"/>
      <c r="D8" s="739"/>
      <c r="E8" s="739"/>
    </row>
    <row r="9" spans="1:6" ht="26.1" customHeight="1" x14ac:dyDescent="0.3">
      <c r="A9" s="731" t="s">
        <v>14</v>
      </c>
      <c r="B9" s="740" t="s">
        <v>931</v>
      </c>
      <c r="C9" s="741"/>
      <c r="D9" s="741"/>
      <c r="E9" s="741"/>
    </row>
    <row r="10" spans="1:6" ht="26.1" customHeight="1" x14ac:dyDescent="0.3">
      <c r="A10" s="742">
        <v>1</v>
      </c>
      <c r="B10" s="743" t="s">
        <v>932</v>
      </c>
      <c r="C10" s="744">
        <v>594451602</v>
      </c>
      <c r="D10" s="744">
        <v>689391368</v>
      </c>
      <c r="E10" s="744">
        <v>716909116</v>
      </c>
    </row>
    <row r="11" spans="1:6" ht="26.1" customHeight="1" x14ac:dyDescent="0.3">
      <c r="A11" s="742">
        <v>2</v>
      </c>
      <c r="B11" s="743" t="s">
        <v>933</v>
      </c>
      <c r="C11" s="744">
        <v>697058450</v>
      </c>
      <c r="D11" s="744">
        <v>854935888</v>
      </c>
      <c r="E11" s="744">
        <v>917905847</v>
      </c>
    </row>
    <row r="12" spans="1:6" ht="26.1" customHeight="1" x14ac:dyDescent="0.3">
      <c r="A12" s="742">
        <v>3</v>
      </c>
      <c r="B12" s="743" t="s">
        <v>71</v>
      </c>
      <c r="C12" s="744">
        <f>+C11+C10</f>
        <v>1291510052</v>
      </c>
      <c r="D12" s="744">
        <f>+D11+D10</f>
        <v>1544327256</v>
      </c>
      <c r="E12" s="744">
        <f>+E11+E10</f>
        <v>1634814963</v>
      </c>
    </row>
    <row r="13" spans="1:6" ht="26.1" customHeight="1" x14ac:dyDescent="0.3">
      <c r="A13" s="742">
        <v>4</v>
      </c>
      <c r="B13" s="743" t="s">
        <v>507</v>
      </c>
      <c r="C13" s="744">
        <v>506353775</v>
      </c>
      <c r="D13" s="744">
        <v>592876000</v>
      </c>
      <c r="E13" s="744">
        <v>621214000</v>
      </c>
    </row>
    <row r="14" spans="1:6" ht="26.1" customHeight="1" x14ac:dyDescent="0.3">
      <c r="A14" s="742"/>
      <c r="B14" s="743"/>
      <c r="C14" s="744"/>
      <c r="D14" s="744"/>
      <c r="E14" s="744"/>
    </row>
    <row r="15" spans="1:6" ht="26.1" customHeight="1" x14ac:dyDescent="0.3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3">
      <c r="A16" s="742">
        <v>1</v>
      </c>
      <c r="B16" s="743" t="s">
        <v>934</v>
      </c>
      <c r="C16" s="744">
        <v>502208728</v>
      </c>
      <c r="D16" s="744">
        <v>624338000</v>
      </c>
      <c r="E16" s="744">
        <v>644970000</v>
      </c>
    </row>
    <row r="17" spans="1:5" ht="26.1" customHeight="1" x14ac:dyDescent="0.3">
      <c r="A17" s="742"/>
      <c r="B17" s="743"/>
      <c r="C17" s="744"/>
      <c r="D17" s="744"/>
      <c r="E17" s="744"/>
    </row>
    <row r="18" spans="1:5" ht="26.1" customHeight="1" x14ac:dyDescent="0.3">
      <c r="A18" s="731" t="s">
        <v>36</v>
      </c>
      <c r="B18" s="745" t="s">
        <v>935</v>
      </c>
      <c r="C18" s="746"/>
      <c r="D18" s="746"/>
      <c r="E18" s="744"/>
    </row>
    <row r="19" spans="1:5" ht="26.1" customHeight="1" x14ac:dyDescent="0.3">
      <c r="A19" s="742">
        <v>1</v>
      </c>
      <c r="B19" s="743" t="s">
        <v>380</v>
      </c>
      <c r="C19" s="747">
        <v>92169</v>
      </c>
      <c r="D19" s="747">
        <v>103461</v>
      </c>
      <c r="E19" s="747">
        <v>96624</v>
      </c>
    </row>
    <row r="20" spans="1:5" ht="26.1" customHeight="1" x14ac:dyDescent="0.3">
      <c r="A20" s="742">
        <v>2</v>
      </c>
      <c r="B20" s="743" t="s">
        <v>381</v>
      </c>
      <c r="C20" s="748">
        <v>18299</v>
      </c>
      <c r="D20" s="748">
        <v>20558</v>
      </c>
      <c r="E20" s="748">
        <v>21011</v>
      </c>
    </row>
    <row r="21" spans="1:5" ht="26.1" customHeight="1" x14ac:dyDescent="0.3">
      <c r="A21" s="742">
        <v>3</v>
      </c>
      <c r="B21" s="743" t="s">
        <v>936</v>
      </c>
      <c r="C21" s="749">
        <f>IF(C20=0,0,+C19/C20)</f>
        <v>5.0368326138040329</v>
      </c>
      <c r="D21" s="749">
        <f>IF(D20=0,0,+D19/D20)</f>
        <v>5.0326393618056233</v>
      </c>
      <c r="E21" s="749">
        <f>IF(E20=0,0,+E19/E20)</f>
        <v>4.5987339964780354</v>
      </c>
    </row>
    <row r="22" spans="1:5" ht="26.1" customHeight="1" x14ac:dyDescent="0.3">
      <c r="A22" s="742">
        <v>4</v>
      </c>
      <c r="B22" s="743" t="s">
        <v>937</v>
      </c>
      <c r="C22" s="748">
        <f>IF(C10=0,0,C19*(C12/C10))</f>
        <v>200247.06735130979</v>
      </c>
      <c r="D22" s="748">
        <f>IF(D10=0,0,D19*(D12/D10))</f>
        <v>231766.23562396562</v>
      </c>
      <c r="E22" s="748">
        <f>IF(E10=0,0,E19*(E12/E10))</f>
        <v>220338.0560513224</v>
      </c>
    </row>
    <row r="23" spans="1:5" ht="26.1" customHeight="1" x14ac:dyDescent="0.3">
      <c r="A23" s="742">
        <v>0</v>
      </c>
      <c r="B23" s="743" t="s">
        <v>938</v>
      </c>
      <c r="C23" s="748">
        <f>IF(C10=0,0,C20*(C12/C10))</f>
        <v>39756.54596948668</v>
      </c>
      <c r="D23" s="748">
        <f>IF(D10=0,0,D20*(D12/D10))</f>
        <v>46052.621489812445</v>
      </c>
      <c r="E23" s="748">
        <f>IF(E10=0,0,E20*(E12/E10))</f>
        <v>47912.763865026645</v>
      </c>
    </row>
    <row r="24" spans="1:5" ht="26.1" customHeight="1" x14ac:dyDescent="0.3">
      <c r="A24" s="742"/>
      <c r="B24" s="743"/>
      <c r="C24" s="748"/>
      <c r="D24" s="748"/>
      <c r="E24" s="748"/>
    </row>
    <row r="25" spans="1:5" ht="26.1" customHeight="1" x14ac:dyDescent="0.3">
      <c r="A25" s="731" t="s">
        <v>170</v>
      </c>
      <c r="B25" s="745" t="s">
        <v>939</v>
      </c>
      <c r="C25" s="748"/>
      <c r="D25" s="748"/>
      <c r="E25" s="748"/>
    </row>
    <row r="26" spans="1:5" ht="26.1" customHeight="1" x14ac:dyDescent="0.3">
      <c r="A26" s="742">
        <v>1</v>
      </c>
      <c r="B26" s="743" t="s">
        <v>428</v>
      </c>
      <c r="C26" s="750">
        <v>1.3807007120607682</v>
      </c>
      <c r="D26" s="750">
        <v>1.3747306060900866</v>
      </c>
      <c r="E26" s="750">
        <v>1.3806381466850697</v>
      </c>
    </row>
    <row r="27" spans="1:5" ht="26.1" customHeight="1" x14ac:dyDescent="0.3">
      <c r="A27" s="742">
        <v>2</v>
      </c>
      <c r="B27" s="743" t="s">
        <v>940</v>
      </c>
      <c r="C27" s="748">
        <f>C19*C26</f>
        <v>127257.80392992894</v>
      </c>
      <c r="D27" s="748">
        <f>D19*D26</f>
        <v>142231.00323668643</v>
      </c>
      <c r="E27" s="748">
        <f>E19*E26</f>
        <v>133402.78028529818</v>
      </c>
    </row>
    <row r="28" spans="1:5" ht="26.1" customHeight="1" x14ac:dyDescent="0.3">
      <c r="A28" s="742">
        <v>3</v>
      </c>
      <c r="B28" s="743" t="s">
        <v>941</v>
      </c>
      <c r="C28" s="748">
        <f>C20*C26</f>
        <v>25265.442329999998</v>
      </c>
      <c r="D28" s="748">
        <f>D20*D26</f>
        <v>28261.711800000001</v>
      </c>
      <c r="E28" s="748">
        <f>E20*E26</f>
        <v>29008.588099999997</v>
      </c>
    </row>
    <row r="29" spans="1:5" ht="26.1" customHeight="1" x14ac:dyDescent="0.3">
      <c r="A29" s="742">
        <v>4</v>
      </c>
      <c r="B29" s="743" t="s">
        <v>942</v>
      </c>
      <c r="C29" s="748">
        <f>C22*C26</f>
        <v>276481.26848003402</v>
      </c>
      <c r="D29" s="748">
        <f>D22*D26</f>
        <v>318616.13757055206</v>
      </c>
      <c r="E29" s="748">
        <f>E22*E26</f>
        <v>304207.12535088876</v>
      </c>
    </row>
    <row r="30" spans="1:5" ht="26.1" customHeight="1" x14ac:dyDescent="0.3">
      <c r="A30" s="742">
        <v>5</v>
      </c>
      <c r="B30" s="743" t="s">
        <v>943</v>
      </c>
      <c r="C30" s="748">
        <f>C23*C26</f>
        <v>54891.891329146922</v>
      </c>
      <c r="D30" s="748">
        <f>D23*D26</f>
        <v>63309.948252727212</v>
      </c>
      <c r="E30" s="748">
        <f>E23*E26</f>
        <v>66150.189505169765</v>
      </c>
    </row>
    <row r="31" spans="1:5" ht="26.1" customHeight="1" x14ac:dyDescent="0.3">
      <c r="A31" s="742"/>
      <c r="B31" s="743"/>
      <c r="C31" s="748"/>
      <c r="D31" s="748"/>
      <c r="E31" s="748"/>
    </row>
    <row r="32" spans="1:5" ht="39" customHeight="1" x14ac:dyDescent="0.3">
      <c r="A32" s="731" t="s">
        <v>175</v>
      </c>
      <c r="B32" s="736" t="s">
        <v>944</v>
      </c>
      <c r="C32" s="751"/>
      <c r="D32" s="751"/>
      <c r="E32" s="748"/>
    </row>
    <row r="33" spans="1:5" ht="26.1" customHeight="1" x14ac:dyDescent="0.3">
      <c r="A33" s="742">
        <v>1</v>
      </c>
      <c r="B33" s="743" t="s">
        <v>945</v>
      </c>
      <c r="C33" s="744">
        <f>IF(C19=0,0,C12/C19)</f>
        <v>14012.412546517809</v>
      </c>
      <c r="D33" s="744">
        <f>IF(D19=0,0,D12/D19)</f>
        <v>14926.660828718068</v>
      </c>
      <c r="E33" s="744">
        <f>IF(E19=0,0,E12/E19)</f>
        <v>16919.34677719821</v>
      </c>
    </row>
    <row r="34" spans="1:5" ht="26.1" customHeight="1" x14ac:dyDescent="0.3">
      <c r="A34" s="742">
        <v>2</v>
      </c>
      <c r="B34" s="743" t="s">
        <v>946</v>
      </c>
      <c r="C34" s="744">
        <f>IF(C20=0,0,C12/C20)</f>
        <v>70578.17651237773</v>
      </c>
      <c r="D34" s="744">
        <f>IF(D20=0,0,D12/D20)</f>
        <v>75120.500826928692</v>
      </c>
      <c r="E34" s="744">
        <f>IF(E20=0,0,E12/E20)</f>
        <v>77807.575222502492</v>
      </c>
    </row>
    <row r="35" spans="1:5" ht="26.1" customHeight="1" x14ac:dyDescent="0.3">
      <c r="A35" s="742">
        <v>3</v>
      </c>
      <c r="B35" s="743" t="s">
        <v>947</v>
      </c>
      <c r="C35" s="744">
        <f>IF(C22=0,0,C12/C22)</f>
        <v>6449.5828532369887</v>
      </c>
      <c r="D35" s="744">
        <f>IF(D22=0,0,D12/D22)</f>
        <v>6663.2969718058011</v>
      </c>
      <c r="E35" s="744">
        <f>IF(E22=0,0,E12/E22)</f>
        <v>7419.5760473588343</v>
      </c>
    </row>
    <row r="36" spans="1:5" ht="26.1" customHeight="1" x14ac:dyDescent="0.3">
      <c r="A36" s="742">
        <v>4</v>
      </c>
      <c r="B36" s="743" t="s">
        <v>948</v>
      </c>
      <c r="C36" s="744">
        <f>IF(C23=0,0,C12/C23)</f>
        <v>32485.469260615333</v>
      </c>
      <c r="D36" s="744">
        <f>IF(D23=0,0,D12/D23)</f>
        <v>33533.97061971009</v>
      </c>
      <c r="E36" s="744">
        <f>IF(E23=0,0,E12/E23)</f>
        <v>34120.656608443198</v>
      </c>
    </row>
    <row r="37" spans="1:5" ht="26.1" customHeight="1" x14ac:dyDescent="0.3">
      <c r="A37" s="742">
        <v>5</v>
      </c>
      <c r="B37" s="743" t="s">
        <v>949</v>
      </c>
      <c r="C37" s="744">
        <f>IF(C29=0,0,C12/C29)</f>
        <v>4671.2388839219529</v>
      </c>
      <c r="D37" s="744">
        <f>IF(D29=0,0,D12/D29)</f>
        <v>4846.9837961614085</v>
      </c>
      <c r="E37" s="744">
        <f>IF(E29=0,0,E12/E29)</f>
        <v>5374.0193005483252</v>
      </c>
    </row>
    <row r="38" spans="1:5" ht="26.1" customHeight="1" x14ac:dyDescent="0.3">
      <c r="A38" s="742">
        <v>6</v>
      </c>
      <c r="B38" s="743" t="s">
        <v>950</v>
      </c>
      <c r="C38" s="744">
        <f>IF(C30=0,0,C12/C30)</f>
        <v>23528.248357407643</v>
      </c>
      <c r="D38" s="744">
        <f>IF(D30=0,0,D12/D30)</f>
        <v>24393.121438595943</v>
      </c>
      <c r="E38" s="744">
        <f>IF(E30=0,0,E12/E30)</f>
        <v>24713.685255160697</v>
      </c>
    </row>
    <row r="39" spans="1:5" ht="26.1" customHeight="1" x14ac:dyDescent="0.3">
      <c r="A39" s="742">
        <v>7</v>
      </c>
      <c r="B39" s="743" t="s">
        <v>951</v>
      </c>
      <c r="C39" s="744">
        <f>IF(C22=0,0,C10/C22)</f>
        <v>2968.590800668781</v>
      </c>
      <c r="D39" s="744">
        <f>IF(D22=0,0,D10/D22)</f>
        <v>2974.5116502583173</v>
      </c>
      <c r="E39" s="744">
        <f>IF(E22=0,0,E10/E22)</f>
        <v>3253.6781382559416</v>
      </c>
    </row>
    <row r="40" spans="1:5" ht="26.1" customHeight="1" x14ac:dyDescent="0.3">
      <c r="A40" s="742">
        <v>8</v>
      </c>
      <c r="B40" s="743" t="s">
        <v>952</v>
      </c>
      <c r="C40" s="744">
        <f>IF(C23=0,0,C10/C23)</f>
        <v>14952.294961847143</v>
      </c>
      <c r="D40" s="744">
        <f>IF(D23=0,0,D10/D23)</f>
        <v>14969.644413239408</v>
      </c>
      <c r="E40" s="744">
        <f>IF(E23=0,0,E10/E23)</f>
        <v>14962.800267994962</v>
      </c>
    </row>
    <row r="41" spans="1:5" ht="26.1" customHeight="1" x14ac:dyDescent="0.3">
      <c r="A41" s="742"/>
      <c r="B41" s="743"/>
      <c r="C41" s="744"/>
      <c r="D41" s="744"/>
      <c r="E41" s="744"/>
    </row>
    <row r="42" spans="1:5" ht="39.75" customHeight="1" x14ac:dyDescent="0.3">
      <c r="A42" s="731" t="s">
        <v>181</v>
      </c>
      <c r="B42" s="736" t="s">
        <v>953</v>
      </c>
      <c r="C42" s="744"/>
      <c r="D42" s="744"/>
      <c r="E42" s="744"/>
    </row>
    <row r="43" spans="1:5" ht="26.1" customHeight="1" x14ac:dyDescent="0.3">
      <c r="A43" s="742">
        <v>1</v>
      </c>
      <c r="B43" s="743" t="s">
        <v>954</v>
      </c>
      <c r="C43" s="744">
        <f>IF(C19=0,0,C13/C19)</f>
        <v>5493.7535939415638</v>
      </c>
      <c r="D43" s="744">
        <f>IF(D19=0,0,D13/D19)</f>
        <v>5730.4298237983394</v>
      </c>
      <c r="E43" s="744">
        <f>IF(E19=0,0,E13/E19)</f>
        <v>6429.1894353369762</v>
      </c>
    </row>
    <row r="44" spans="1:5" ht="26.1" customHeight="1" x14ac:dyDescent="0.3">
      <c r="A44" s="742">
        <v>2</v>
      </c>
      <c r="B44" s="743" t="s">
        <v>955</v>
      </c>
      <c r="C44" s="744">
        <f>IF(C20=0,0,C13/C20)</f>
        <v>27671.117274167987</v>
      </c>
      <c r="D44" s="744">
        <f>IF(D20=0,0,D13/D20)</f>
        <v>28839.186691312385</v>
      </c>
      <c r="E44" s="744">
        <f>IF(E20=0,0,E13/E20)</f>
        <v>29566.132026081577</v>
      </c>
    </row>
    <row r="45" spans="1:5" ht="26.1" customHeight="1" x14ac:dyDescent="0.3">
      <c r="A45" s="742">
        <v>3</v>
      </c>
      <c r="B45" s="743" t="s">
        <v>956</v>
      </c>
      <c r="C45" s="744">
        <f>IF(C22=0,0,C13/C22)</f>
        <v>2528.6451467060051</v>
      </c>
      <c r="D45" s="744">
        <f>IF(D22=0,0,D13/D22)</f>
        <v>2558.0775318883166</v>
      </c>
      <c r="E45" s="744">
        <f>IF(E22=0,0,E13/E22)</f>
        <v>2819.367707661464</v>
      </c>
    </row>
    <row r="46" spans="1:5" ht="26.1" customHeight="1" x14ac:dyDescent="0.3">
      <c r="A46" s="742">
        <v>4</v>
      </c>
      <c r="B46" s="743" t="s">
        <v>957</v>
      </c>
      <c r="C46" s="744">
        <f>IF(C23=0,0,C13/C23)</f>
        <v>12736.362343666089</v>
      </c>
      <c r="D46" s="744">
        <f>IF(D23=0,0,D13/D23)</f>
        <v>12873.881677531721</v>
      </c>
      <c r="E46" s="744">
        <f>IF(E23=0,0,E13/E23)</f>
        <v>12965.522125795122</v>
      </c>
    </row>
    <row r="47" spans="1:5" ht="26.1" customHeight="1" x14ac:dyDescent="0.3">
      <c r="A47" s="742">
        <v>5</v>
      </c>
      <c r="B47" s="743" t="s">
        <v>958</v>
      </c>
      <c r="C47" s="744">
        <f>IF(C29=0,0,C13/C29)</f>
        <v>1831.421628610497</v>
      </c>
      <c r="D47" s="744">
        <f>IF(D29=0,0,D13/D29)</f>
        <v>1860.7845934003196</v>
      </c>
      <c r="E47" s="744">
        <f>IF(E29=0,0,E13/E29)</f>
        <v>2042.0757708533572</v>
      </c>
    </row>
    <row r="48" spans="1:5" ht="26.1" customHeight="1" x14ac:dyDescent="0.3">
      <c r="A48" s="742">
        <v>6</v>
      </c>
      <c r="B48" s="743" t="s">
        <v>959</v>
      </c>
      <c r="C48" s="744">
        <f>IF(C30=0,0,C13/C30)</f>
        <v>9224.5641886114481</v>
      </c>
      <c r="D48" s="744">
        <f>IF(D30=0,0,D13/D30)</f>
        <v>9364.6577885879196</v>
      </c>
      <c r="E48" s="744">
        <f>IF(E30=0,0,E13/E30)</f>
        <v>9390.9632708074241</v>
      </c>
    </row>
    <row r="49" spans="1:6" ht="26.1" customHeight="1" x14ac:dyDescent="0.3">
      <c r="A49" s="742"/>
      <c r="B49" s="743"/>
      <c r="C49" s="744"/>
      <c r="D49" s="744"/>
      <c r="E49" s="744"/>
    </row>
    <row r="50" spans="1:6" ht="37.5" customHeight="1" x14ac:dyDescent="0.3">
      <c r="A50" s="731" t="s">
        <v>183</v>
      </c>
      <c r="B50" s="736" t="s">
        <v>960</v>
      </c>
      <c r="C50" s="751"/>
      <c r="D50" s="751"/>
      <c r="E50" s="744"/>
    </row>
    <row r="51" spans="1:6" ht="26.1" customHeight="1" x14ac:dyDescent="0.3">
      <c r="A51" s="742">
        <v>1</v>
      </c>
      <c r="B51" s="743" t="s">
        <v>961</v>
      </c>
      <c r="C51" s="744">
        <f>IF(C19=0,0,C16/C19)</f>
        <v>5448.7813473076631</v>
      </c>
      <c r="D51" s="744">
        <f>IF(D19=0,0,D16/D19)</f>
        <v>6034.5250867476634</v>
      </c>
      <c r="E51" s="744">
        <f>IF(E19=0,0,E16/E19)</f>
        <v>6675.0496770988575</v>
      </c>
    </row>
    <row r="52" spans="1:6" ht="26.1" customHeight="1" x14ac:dyDescent="0.3">
      <c r="A52" s="742">
        <v>2</v>
      </c>
      <c r="B52" s="743" t="s">
        <v>962</v>
      </c>
      <c r="C52" s="744">
        <f>IF(C20=0,0,C16/C20)</f>
        <v>27444.599595606316</v>
      </c>
      <c r="D52" s="744">
        <f>IF(D20=0,0,D16/D20)</f>
        <v>30369.588481369785</v>
      </c>
      <c r="E52" s="744">
        <f>IF(E20=0,0,E16/E20)</f>
        <v>30696.777878254248</v>
      </c>
    </row>
    <row r="53" spans="1:6" ht="26.1" customHeight="1" x14ac:dyDescent="0.3">
      <c r="A53" s="742">
        <v>3</v>
      </c>
      <c r="B53" s="743" t="s">
        <v>963</v>
      </c>
      <c r="C53" s="744">
        <f>IF(C22=0,0,C16/C22)</f>
        <v>2507.9454827617237</v>
      </c>
      <c r="D53" s="744">
        <f>IF(D22=0,0,D16/D22)</f>
        <v>2693.8263820834168</v>
      </c>
      <c r="E53" s="744">
        <f>IF(E22=0,0,E16/E22)</f>
        <v>2927.1838535680367</v>
      </c>
    </row>
    <row r="54" spans="1:6" ht="26.1" customHeight="1" x14ac:dyDescent="0.3">
      <c r="A54" s="742">
        <v>4</v>
      </c>
      <c r="B54" s="743" t="s">
        <v>964</v>
      </c>
      <c r="C54" s="744">
        <f>IF(C23=0,0,C16/C23)</f>
        <v>12632.101601216749</v>
      </c>
      <c r="D54" s="744">
        <f>IF(D23=0,0,D16/D23)</f>
        <v>13557.056684343437</v>
      </c>
      <c r="E54" s="744">
        <f>IF(E23=0,0,E16/E23)</f>
        <v>13461.339901344914</v>
      </c>
    </row>
    <row r="55" spans="1:6" ht="26.1" customHeight="1" x14ac:dyDescent="0.3">
      <c r="A55" s="742">
        <v>5</v>
      </c>
      <c r="B55" s="743" t="s">
        <v>965</v>
      </c>
      <c r="C55" s="744">
        <f>IF(C29=0,0,C16/C29)</f>
        <v>1816.4294845756135</v>
      </c>
      <c r="D55" s="744">
        <f>IF(D29=0,0,D16/D29)</f>
        <v>1959.530376460455</v>
      </c>
      <c r="E55" s="744">
        <f>IF(E29=0,0,E16/E29)</f>
        <v>2120.1673013281893</v>
      </c>
    </row>
    <row r="56" spans="1:6" ht="26.1" customHeight="1" x14ac:dyDescent="0.3">
      <c r="A56" s="742">
        <v>6</v>
      </c>
      <c r="B56" s="743" t="s">
        <v>966</v>
      </c>
      <c r="C56" s="744">
        <f>IF(C30=0,0,C16/C30)</f>
        <v>9149.0512685856993</v>
      </c>
      <c r="D56" s="744">
        <f>IF(D30=0,0,D16/D30)</f>
        <v>9861.6097032286762</v>
      </c>
      <c r="E56" s="744">
        <f>IF(E30=0,0,E16/E30)</f>
        <v>9750.0854468390353</v>
      </c>
    </row>
    <row r="57" spans="1:6" ht="26.1" customHeight="1" x14ac:dyDescent="0.3">
      <c r="A57" s="742"/>
      <c r="B57" s="743"/>
      <c r="C57" s="744"/>
      <c r="D57" s="744"/>
      <c r="E57" s="744"/>
    </row>
    <row r="58" spans="1:6" ht="26.1" customHeight="1" x14ac:dyDescent="0.3">
      <c r="A58" s="731" t="s">
        <v>185</v>
      </c>
      <c r="B58" s="745" t="s">
        <v>967</v>
      </c>
      <c r="C58" s="744"/>
      <c r="D58" s="744"/>
      <c r="E58" s="744"/>
    </row>
    <row r="59" spans="1:6" ht="26.1" customHeight="1" x14ac:dyDescent="0.3">
      <c r="A59" s="742">
        <v>1</v>
      </c>
      <c r="B59" s="743" t="s">
        <v>968</v>
      </c>
      <c r="C59" s="752">
        <v>61078519</v>
      </c>
      <c r="D59" s="752">
        <v>74150000</v>
      </c>
      <c r="E59" s="752">
        <v>65676000</v>
      </c>
    </row>
    <row r="60" spans="1:6" ht="26.1" customHeight="1" x14ac:dyDescent="0.3">
      <c r="A60" s="742">
        <v>2</v>
      </c>
      <c r="B60" s="743" t="s">
        <v>969</v>
      </c>
      <c r="C60" s="752">
        <v>14791328</v>
      </c>
      <c r="D60" s="752">
        <v>18911000</v>
      </c>
      <c r="E60" s="752">
        <v>17612000</v>
      </c>
    </row>
    <row r="61" spans="1:6" ht="26.1" customHeight="1" x14ac:dyDescent="0.3">
      <c r="A61" s="753">
        <v>3</v>
      </c>
      <c r="B61" s="754" t="s">
        <v>970</v>
      </c>
      <c r="C61" s="755">
        <f>C59+C60</f>
        <v>75869847</v>
      </c>
      <c r="D61" s="755">
        <f>D59+D60</f>
        <v>93061000</v>
      </c>
      <c r="E61" s="755">
        <f>E59+E60</f>
        <v>83288000</v>
      </c>
    </row>
    <row r="62" spans="1:6" ht="26.1" customHeight="1" x14ac:dyDescent="0.3">
      <c r="A62" s="742"/>
      <c r="B62" s="743"/>
      <c r="C62" s="752"/>
      <c r="D62" s="752"/>
      <c r="E62" s="752"/>
    </row>
    <row r="63" spans="1:6" ht="26.1" customHeight="1" x14ac:dyDescent="0.3">
      <c r="A63" s="731" t="s">
        <v>12</v>
      </c>
      <c r="B63" s="745" t="s">
        <v>971</v>
      </c>
      <c r="C63" s="743"/>
      <c r="D63" s="743"/>
      <c r="E63" s="752"/>
      <c r="F63" s="756"/>
    </row>
    <row r="64" spans="1:6" ht="26.1" customHeight="1" x14ac:dyDescent="0.3">
      <c r="A64" s="742">
        <v>1</v>
      </c>
      <c r="B64" s="743" t="s">
        <v>972</v>
      </c>
      <c r="C64" s="744">
        <v>8610701</v>
      </c>
      <c r="D64" s="744">
        <v>9523000</v>
      </c>
      <c r="E64" s="752">
        <v>8388000</v>
      </c>
      <c r="F64" s="756"/>
    </row>
    <row r="65" spans="1:6" ht="26.1" customHeight="1" x14ac:dyDescent="0.3">
      <c r="A65" s="742">
        <v>2</v>
      </c>
      <c r="B65" s="743" t="s">
        <v>973</v>
      </c>
      <c r="C65" s="752">
        <v>2085245</v>
      </c>
      <c r="D65" s="752">
        <v>2429000</v>
      </c>
      <c r="E65" s="752">
        <v>2249000</v>
      </c>
      <c r="F65" s="756"/>
    </row>
    <row r="66" spans="1:6" ht="26.1" customHeight="1" x14ac:dyDescent="0.3">
      <c r="A66" s="753">
        <v>3</v>
      </c>
      <c r="B66" s="754" t="s">
        <v>974</v>
      </c>
      <c r="C66" s="757">
        <f>C64+C65</f>
        <v>10695946</v>
      </c>
      <c r="D66" s="757">
        <f>D64+D65</f>
        <v>11952000</v>
      </c>
      <c r="E66" s="757">
        <f>E64+E65</f>
        <v>10637000</v>
      </c>
      <c r="F66" s="758"/>
    </row>
    <row r="67" spans="1:6" ht="26.1" customHeight="1" x14ac:dyDescent="0.3">
      <c r="A67" s="742"/>
      <c r="B67" s="743"/>
      <c r="C67" s="752"/>
      <c r="D67" s="752"/>
      <c r="E67" s="752"/>
    </row>
    <row r="68" spans="1:6" ht="26.1" customHeight="1" x14ac:dyDescent="0.3">
      <c r="A68" s="731" t="s">
        <v>195</v>
      </c>
      <c r="B68" s="745" t="s">
        <v>975</v>
      </c>
      <c r="C68" s="752"/>
      <c r="D68" s="752"/>
      <c r="E68" s="752"/>
    </row>
    <row r="69" spans="1:6" ht="26.1" customHeight="1" x14ac:dyDescent="0.3">
      <c r="A69" s="742">
        <v>1</v>
      </c>
      <c r="B69" s="743" t="s">
        <v>976</v>
      </c>
      <c r="C69" s="752">
        <v>121938706</v>
      </c>
      <c r="D69" s="752">
        <v>138094000</v>
      </c>
      <c r="E69" s="752">
        <v>145262000</v>
      </c>
    </row>
    <row r="70" spans="1:6" ht="26.1" customHeight="1" x14ac:dyDescent="0.3">
      <c r="A70" s="742">
        <v>2</v>
      </c>
      <c r="B70" s="743" t="s">
        <v>977</v>
      </c>
      <c r="C70" s="752">
        <v>29529785</v>
      </c>
      <c r="D70" s="752">
        <v>35220000</v>
      </c>
      <c r="E70" s="752">
        <v>38953000</v>
      </c>
    </row>
    <row r="71" spans="1:6" ht="26.1" customHeight="1" x14ac:dyDescent="0.3">
      <c r="A71" s="753">
        <v>3</v>
      </c>
      <c r="B71" s="754" t="s">
        <v>978</v>
      </c>
      <c r="C71" s="755">
        <f>C69+C70</f>
        <v>151468491</v>
      </c>
      <c r="D71" s="755">
        <f>D69+D70</f>
        <v>173314000</v>
      </c>
      <c r="E71" s="755">
        <f>E69+E70</f>
        <v>184215000</v>
      </c>
    </row>
    <row r="72" spans="1:6" ht="26.1" customHeight="1" x14ac:dyDescent="0.3">
      <c r="A72" s="742"/>
      <c r="B72" s="743"/>
      <c r="C72" s="752"/>
      <c r="D72" s="752"/>
      <c r="E72" s="752"/>
    </row>
    <row r="73" spans="1:6" ht="26.1" customHeight="1" x14ac:dyDescent="0.3">
      <c r="A73" s="742"/>
      <c r="B73" s="743"/>
      <c r="C73" s="752"/>
      <c r="D73" s="752"/>
      <c r="E73" s="752"/>
    </row>
    <row r="74" spans="1:6" ht="26.1" customHeight="1" x14ac:dyDescent="0.3">
      <c r="A74" s="731" t="s">
        <v>226</v>
      </c>
      <c r="B74" s="745" t="s">
        <v>979</v>
      </c>
      <c r="C74" s="744"/>
      <c r="D74" s="744"/>
      <c r="E74" s="744"/>
    </row>
    <row r="75" spans="1:6" ht="26.1" customHeight="1" x14ac:dyDescent="0.3">
      <c r="A75" s="742">
        <v>1</v>
      </c>
      <c r="B75" s="743" t="s">
        <v>980</v>
      </c>
      <c r="C75" s="744">
        <f t="shared" ref="C75:E76" si="0">+C59+C64+C69</f>
        <v>191627926</v>
      </c>
      <c r="D75" s="744">
        <f t="shared" si="0"/>
        <v>221767000</v>
      </c>
      <c r="E75" s="744">
        <f t="shared" si="0"/>
        <v>219326000</v>
      </c>
    </row>
    <row r="76" spans="1:6" ht="26.1" customHeight="1" x14ac:dyDescent="0.3">
      <c r="A76" s="742">
        <v>2</v>
      </c>
      <c r="B76" s="743" t="s">
        <v>981</v>
      </c>
      <c r="C76" s="744">
        <f t="shared" si="0"/>
        <v>46406358</v>
      </c>
      <c r="D76" s="744">
        <f t="shared" si="0"/>
        <v>56560000</v>
      </c>
      <c r="E76" s="744">
        <f t="shared" si="0"/>
        <v>58814000</v>
      </c>
    </row>
    <row r="77" spans="1:6" ht="26.1" customHeight="1" x14ac:dyDescent="0.3">
      <c r="A77" s="753">
        <v>3</v>
      </c>
      <c r="B77" s="754" t="s">
        <v>979</v>
      </c>
      <c r="C77" s="757">
        <f>C75+C76</f>
        <v>238034284</v>
      </c>
      <c r="D77" s="757">
        <f>D75+D76</f>
        <v>278327000</v>
      </c>
      <c r="E77" s="757">
        <f>E75+E76</f>
        <v>278140000</v>
      </c>
    </row>
    <row r="78" spans="1:6" ht="26.1" customHeight="1" x14ac:dyDescent="0.3">
      <c r="A78" s="753"/>
      <c r="B78" s="754"/>
      <c r="C78" s="757"/>
      <c r="D78" s="757"/>
      <c r="E78" s="757"/>
    </row>
    <row r="79" spans="1:6" ht="26.1" customHeight="1" x14ac:dyDescent="0.3">
      <c r="A79" s="731" t="s">
        <v>427</v>
      </c>
      <c r="B79" s="745" t="s">
        <v>982</v>
      </c>
      <c r="C79" s="752"/>
      <c r="D79" s="752"/>
      <c r="E79" s="752"/>
    </row>
    <row r="80" spans="1:6" ht="26.1" customHeight="1" x14ac:dyDescent="0.3">
      <c r="A80" s="742">
        <v>1</v>
      </c>
      <c r="B80" s="743" t="s">
        <v>616</v>
      </c>
      <c r="C80" s="749">
        <v>551.4</v>
      </c>
      <c r="D80" s="749">
        <v>656.6</v>
      </c>
      <c r="E80" s="749">
        <v>658</v>
      </c>
    </row>
    <row r="81" spans="1:5" ht="26.1" customHeight="1" x14ac:dyDescent="0.3">
      <c r="A81" s="742">
        <v>2</v>
      </c>
      <c r="B81" s="743" t="s">
        <v>617</v>
      </c>
      <c r="C81" s="749">
        <v>115.8</v>
      </c>
      <c r="D81" s="749">
        <v>123.5</v>
      </c>
      <c r="E81" s="749">
        <v>113.1</v>
      </c>
    </row>
    <row r="82" spans="1:5" ht="26.1" customHeight="1" x14ac:dyDescent="0.3">
      <c r="A82" s="742">
        <v>3</v>
      </c>
      <c r="B82" s="743" t="s">
        <v>983</v>
      </c>
      <c r="C82" s="749">
        <v>1683.9</v>
      </c>
      <c r="D82" s="749">
        <v>1938.8</v>
      </c>
      <c r="E82" s="749">
        <v>1919</v>
      </c>
    </row>
    <row r="83" spans="1:5" ht="26.1" customHeight="1" x14ac:dyDescent="0.3">
      <c r="A83" s="753">
        <v>4</v>
      </c>
      <c r="B83" s="754" t="s">
        <v>982</v>
      </c>
      <c r="C83" s="759">
        <f>C80+C81+C82</f>
        <v>2351.1</v>
      </c>
      <c r="D83" s="759">
        <f>D80+D81+D82</f>
        <v>2718.9</v>
      </c>
      <c r="E83" s="759">
        <f>E80+E81+E82</f>
        <v>2690.1</v>
      </c>
    </row>
    <row r="84" spans="1:5" ht="26.1" customHeight="1" x14ac:dyDescent="0.3">
      <c r="A84" s="742"/>
      <c r="B84" s="743"/>
      <c r="C84" s="760"/>
      <c r="D84" s="760"/>
      <c r="E84" s="760"/>
    </row>
    <row r="85" spans="1:5" ht="26.1" customHeight="1" x14ac:dyDescent="0.3">
      <c r="A85" s="731" t="s">
        <v>430</v>
      </c>
      <c r="B85" s="745" t="s">
        <v>984</v>
      </c>
      <c r="C85" s="760"/>
      <c r="D85" s="760"/>
      <c r="E85" s="760"/>
    </row>
    <row r="86" spans="1:5" ht="26.1" customHeight="1" x14ac:dyDescent="0.3">
      <c r="A86" s="742">
        <v>1</v>
      </c>
      <c r="B86" s="743" t="s">
        <v>985</v>
      </c>
      <c r="C86" s="752">
        <f>IF(C80=0,0,C59/C80)</f>
        <v>110769.89299963729</v>
      </c>
      <c r="D86" s="752">
        <f>IF(D80=0,0,D59/D80)</f>
        <v>112930.24672555589</v>
      </c>
      <c r="E86" s="752">
        <f>IF(E80=0,0,E59/E80)</f>
        <v>99811.55015197568</v>
      </c>
    </row>
    <row r="87" spans="1:5" ht="26.1" customHeight="1" x14ac:dyDescent="0.3">
      <c r="A87" s="742">
        <v>2</v>
      </c>
      <c r="B87" s="743" t="s">
        <v>986</v>
      </c>
      <c r="C87" s="752">
        <f>IF(C80=0,0,C60/C80)</f>
        <v>26825.041712005805</v>
      </c>
      <c r="D87" s="752">
        <f>IF(D80=0,0,D60/D80)</f>
        <v>28801.401157477914</v>
      </c>
      <c r="E87" s="752">
        <f>IF(E80=0,0,E60/E80)</f>
        <v>26765.957446808512</v>
      </c>
    </row>
    <row r="88" spans="1:5" ht="26.1" customHeight="1" x14ac:dyDescent="0.3">
      <c r="A88" s="753">
        <v>3</v>
      </c>
      <c r="B88" s="754" t="s">
        <v>987</v>
      </c>
      <c r="C88" s="755">
        <f>+C86+C87</f>
        <v>137594.93471164309</v>
      </c>
      <c r="D88" s="755">
        <f>+D86+D87</f>
        <v>141731.64788303379</v>
      </c>
      <c r="E88" s="755">
        <f>+E86+E87</f>
        <v>126577.5075987842</v>
      </c>
    </row>
    <row r="89" spans="1:5" ht="26.1" customHeight="1" x14ac:dyDescent="0.3">
      <c r="A89" s="742"/>
      <c r="B89" s="743"/>
      <c r="C89" s="752"/>
      <c r="D89" s="752"/>
      <c r="E89" s="752"/>
    </row>
    <row r="90" spans="1:5" ht="26.1" customHeight="1" x14ac:dyDescent="0.3">
      <c r="A90" s="731" t="s">
        <v>462</v>
      </c>
      <c r="B90" s="745" t="s">
        <v>988</v>
      </c>
    </row>
    <row r="91" spans="1:5" ht="26.1" customHeight="1" x14ac:dyDescent="0.3">
      <c r="A91" s="742">
        <v>1</v>
      </c>
      <c r="B91" s="743" t="s">
        <v>989</v>
      </c>
      <c r="C91" s="744">
        <f>IF(C81=0,0,C64/C81)</f>
        <v>74358.385146804838</v>
      </c>
      <c r="D91" s="744">
        <f>IF(D81=0,0,D64/D81)</f>
        <v>77109.311740890684</v>
      </c>
      <c r="E91" s="744">
        <f>IF(E81=0,0,E64/E81)</f>
        <v>74164.456233421748</v>
      </c>
    </row>
    <row r="92" spans="1:5" ht="26.1" customHeight="1" x14ac:dyDescent="0.3">
      <c r="A92" s="742">
        <v>2</v>
      </c>
      <c r="B92" s="743" t="s">
        <v>990</v>
      </c>
      <c r="C92" s="744">
        <f>IF(C81=0,0,C65/C81)</f>
        <v>18007.297063903283</v>
      </c>
      <c r="D92" s="744">
        <f>IF(D81=0,0,D65/D81)</f>
        <v>19668.016194331984</v>
      </c>
      <c r="E92" s="744">
        <f>IF(E81=0,0,E65/E81)</f>
        <v>19885.057471264368</v>
      </c>
    </row>
    <row r="93" spans="1:5" ht="26.1" customHeight="1" x14ac:dyDescent="0.3">
      <c r="A93" s="753">
        <v>3</v>
      </c>
      <c r="B93" s="754" t="s">
        <v>991</v>
      </c>
      <c r="C93" s="757">
        <f>+C91+C92</f>
        <v>92365.682210708124</v>
      </c>
      <c r="D93" s="757">
        <f>+D91+D92</f>
        <v>96777.327935222667</v>
      </c>
      <c r="E93" s="757">
        <f>+E91+E92</f>
        <v>94049.51370468612</v>
      </c>
    </row>
    <row r="94" spans="1:5" ht="26.1" customHeight="1" x14ac:dyDescent="0.3">
      <c r="A94" s="742"/>
      <c r="B94" s="743"/>
      <c r="C94" s="752"/>
      <c r="D94" s="752"/>
      <c r="E94" s="752"/>
    </row>
    <row r="95" spans="1:5" ht="26.1" customHeight="1" x14ac:dyDescent="0.3">
      <c r="A95" s="731" t="s">
        <v>992</v>
      </c>
      <c r="B95" s="745" t="s">
        <v>993</v>
      </c>
      <c r="C95" s="752"/>
      <c r="D95" s="752"/>
      <c r="E95" s="752"/>
    </row>
    <row r="96" spans="1:5" ht="26.1" customHeight="1" x14ac:dyDescent="0.3">
      <c r="A96" s="742">
        <v>1</v>
      </c>
      <c r="B96" s="743" t="s">
        <v>994</v>
      </c>
      <c r="C96" s="752">
        <f>IF(C82=0,0,C69/C82)</f>
        <v>72414.458103212775</v>
      </c>
      <c r="D96" s="752">
        <f>IF(D82=0,0,D69/D82)</f>
        <v>71226.531875386834</v>
      </c>
      <c r="E96" s="752">
        <f>IF(E82=0,0,E69/E82)</f>
        <v>75696.717040125062</v>
      </c>
    </row>
    <row r="97" spans="1:5" ht="26.1" customHeight="1" x14ac:dyDescent="0.3">
      <c r="A97" s="742">
        <v>2</v>
      </c>
      <c r="B97" s="743" t="s">
        <v>995</v>
      </c>
      <c r="C97" s="752">
        <f>IF(C82=0,0,C70/C82)</f>
        <v>17536.543143892155</v>
      </c>
      <c r="D97" s="752">
        <f>IF(D82=0,0,D70/D82)</f>
        <v>18165.875799463585</v>
      </c>
      <c r="E97" s="752">
        <f>IF(E82=0,0,E70/E82)</f>
        <v>20298.593017196457</v>
      </c>
    </row>
    <row r="98" spans="1:5" ht="26.1" customHeight="1" x14ac:dyDescent="0.3">
      <c r="A98" s="753">
        <v>3</v>
      </c>
      <c r="B98" s="754" t="s">
        <v>996</v>
      </c>
      <c r="C98" s="757">
        <f>+C96+C97</f>
        <v>89951.001247104927</v>
      </c>
      <c r="D98" s="757">
        <f>+D96+D97</f>
        <v>89392.407674850416</v>
      </c>
      <c r="E98" s="757">
        <f>+E96+E97</f>
        <v>95995.31005732152</v>
      </c>
    </row>
    <row r="99" spans="1:5" ht="26.1" customHeight="1" x14ac:dyDescent="0.3">
      <c r="A99" s="742"/>
      <c r="B99" s="743"/>
      <c r="C99" s="752"/>
      <c r="D99" s="752"/>
      <c r="E99" s="752"/>
    </row>
    <row r="100" spans="1:5" ht="26.1" customHeight="1" x14ac:dyDescent="0.3">
      <c r="A100" s="731" t="s">
        <v>997</v>
      </c>
      <c r="B100" s="745" t="s">
        <v>998</v>
      </c>
    </row>
    <row r="101" spans="1:5" ht="26.1" customHeight="1" x14ac:dyDescent="0.3">
      <c r="A101" s="742">
        <v>1</v>
      </c>
      <c r="B101" s="743" t="s">
        <v>999</v>
      </c>
      <c r="C101" s="744">
        <f>IF(C83=0,0,C75/C83)</f>
        <v>81505.646718557269</v>
      </c>
      <c r="D101" s="744">
        <f>IF(D83=0,0,D75/D83)</f>
        <v>81564.97112802972</v>
      </c>
      <c r="E101" s="744">
        <f>IF(E83=0,0,E75/E83)</f>
        <v>81530.798111594369</v>
      </c>
    </row>
    <row r="102" spans="1:5" ht="26.1" customHeight="1" x14ac:dyDescent="0.3">
      <c r="A102" s="742">
        <v>2</v>
      </c>
      <c r="B102" s="743" t="s">
        <v>1000</v>
      </c>
      <c r="C102" s="761">
        <f>IF(C83=0,0,C76/C83)</f>
        <v>19738.147250223301</v>
      </c>
      <c r="D102" s="761">
        <f>IF(D83=0,0,D76/D83)</f>
        <v>20802.530435102432</v>
      </c>
      <c r="E102" s="761">
        <f>IF(E83=0,0,E76/E83)</f>
        <v>21863.127764767109</v>
      </c>
    </row>
    <row r="103" spans="1:5" ht="26.1" customHeight="1" x14ac:dyDescent="0.3">
      <c r="A103" s="753">
        <v>3</v>
      </c>
      <c r="B103" s="754" t="s">
        <v>998</v>
      </c>
      <c r="C103" s="757">
        <f>+C101+C102</f>
        <v>101243.79396878058</v>
      </c>
      <c r="D103" s="757">
        <f>+D101+D102</f>
        <v>102367.50156313216</v>
      </c>
      <c r="E103" s="757">
        <f>+E101+E102</f>
        <v>103393.92587636148</v>
      </c>
    </row>
    <row r="104" spans="1:5" ht="26.1" customHeight="1" x14ac:dyDescent="0.3">
      <c r="A104" s="753"/>
      <c r="B104" s="754"/>
      <c r="C104" s="757"/>
      <c r="D104" s="757"/>
      <c r="E104" s="757"/>
    </row>
    <row r="105" spans="1:5" ht="26.1" customHeight="1" x14ac:dyDescent="0.3">
      <c r="A105" s="753"/>
      <c r="B105" s="754"/>
      <c r="C105" s="757"/>
      <c r="D105" s="757"/>
      <c r="E105" s="757"/>
    </row>
    <row r="106" spans="1:5" ht="26.1" customHeight="1" x14ac:dyDescent="0.3">
      <c r="A106" s="753"/>
      <c r="B106" s="754"/>
      <c r="C106" s="757"/>
      <c r="D106" s="757"/>
      <c r="E106" s="757"/>
    </row>
    <row r="107" spans="1:5" ht="30" customHeight="1" x14ac:dyDescent="0.3">
      <c r="A107" s="731" t="s">
        <v>1001</v>
      </c>
      <c r="B107" s="736" t="s">
        <v>1002</v>
      </c>
      <c r="C107" s="762"/>
      <c r="D107" s="762"/>
      <c r="E107" s="744"/>
    </row>
    <row r="108" spans="1:5" ht="26.1" customHeight="1" x14ac:dyDescent="0.3">
      <c r="A108" s="742">
        <v>1</v>
      </c>
      <c r="B108" s="743" t="s">
        <v>1003</v>
      </c>
      <c r="C108" s="744">
        <f>IF(C19=0,0,C77/C19)</f>
        <v>2582.585077412145</v>
      </c>
      <c r="D108" s="744">
        <f>IF(D19=0,0,D77/D19)</f>
        <v>2690.163443229816</v>
      </c>
      <c r="E108" s="744">
        <f>IF(E19=0,0,E77/E19)</f>
        <v>2878.5808908759727</v>
      </c>
    </row>
    <row r="109" spans="1:5" ht="26.1" customHeight="1" x14ac:dyDescent="0.3">
      <c r="A109" s="742">
        <v>2</v>
      </c>
      <c r="B109" s="743" t="s">
        <v>1004</v>
      </c>
      <c r="C109" s="744">
        <f>IF(C20=0,0,C77/C20)</f>
        <v>13008.048745833106</v>
      </c>
      <c r="D109" s="744">
        <f>IF(D20=0,0,D77/D20)</f>
        <v>13538.622434088918</v>
      </c>
      <c r="E109" s="744">
        <f>IF(E20=0,0,E77/E20)</f>
        <v>13237.827804483366</v>
      </c>
    </row>
    <row r="110" spans="1:5" ht="26.1" customHeight="1" x14ac:dyDescent="0.3">
      <c r="A110" s="742">
        <v>3</v>
      </c>
      <c r="B110" s="743" t="s">
        <v>1005</v>
      </c>
      <c r="C110" s="744">
        <f>IF(C22=0,0,C77/C22)</f>
        <v>1188.7029715266542</v>
      </c>
      <c r="D110" s="744">
        <f>IF(D22=0,0,D77/D22)</f>
        <v>1200.89537309299</v>
      </c>
      <c r="E110" s="744">
        <f>IF(E22=0,0,E77/E22)</f>
        <v>1262.3330031341206</v>
      </c>
    </row>
    <row r="111" spans="1:5" ht="26.1" customHeight="1" x14ac:dyDescent="0.3">
      <c r="A111" s="742">
        <v>4</v>
      </c>
      <c r="B111" s="743" t="s">
        <v>1006</v>
      </c>
      <c r="C111" s="744">
        <f>IF(C23=0,0,C77/C23)</f>
        <v>5987.2978951112182</v>
      </c>
      <c r="D111" s="744">
        <f>IF(D23=0,0,D77/D23)</f>
        <v>6043.6733240380299</v>
      </c>
      <c r="E111" s="744">
        <f>IF(E23=0,0,E77/E23)</f>
        <v>5805.1336963890953</v>
      </c>
    </row>
    <row r="112" spans="1:5" ht="26.1" customHeight="1" x14ac:dyDescent="0.3">
      <c r="A112" s="742">
        <v>5</v>
      </c>
      <c r="B112" s="743" t="s">
        <v>1007</v>
      </c>
      <c r="C112" s="744">
        <f>IF(C29=0,0,C77/C29)</f>
        <v>860.9418110261222</v>
      </c>
      <c r="D112" s="744">
        <f>IF(D29=0,0,D77/D29)</f>
        <v>873.54960148046257</v>
      </c>
      <c r="E112" s="744">
        <f>IF(E29=0,0,E77/E29)</f>
        <v>914.31125973521648</v>
      </c>
    </row>
    <row r="113" spans="1:7" ht="25.5" customHeight="1" x14ac:dyDescent="0.3">
      <c r="A113" s="742">
        <v>6</v>
      </c>
      <c r="B113" s="743" t="s">
        <v>1008</v>
      </c>
      <c r="C113" s="744">
        <f>IF(C30=0,0,C77/C30)</f>
        <v>4336.4197923638803</v>
      </c>
      <c r="D113" s="744">
        <f>IF(D30=0,0,D77/D30)</f>
        <v>4396.260108900191</v>
      </c>
      <c r="E113" s="744">
        <f>IF(E30=0,0,E77/E30)</f>
        <v>4204.6742735069993</v>
      </c>
    </row>
    <row r="116" spans="1:7" x14ac:dyDescent="0.25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3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3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3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3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3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3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3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3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scale="68" fitToHeight="0" orientation="portrait" horizontalDpi="1200" verticalDpi="1200" r:id="rId1"/>
  <headerFooter>
    <oddHeader>_x000D_
                  &amp;LOFFICE OF HEALTH CARE ACCESS&amp;CTWELVE MONTHS ACTUAL FILING&amp;RDANBURY HOSPITAL</oddHeader>
    <oddFooter>&amp;LREPORT 650&amp;CPAGE &amp;P of &amp;N&amp;R&amp;D,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zoomScale="75" zoomScaleSheetLayoutView="75" workbookViewId="0">
      <selection sqref="A1:F1"/>
    </sheetView>
  </sheetViews>
  <sheetFormatPr defaultColWidth="9.109375" defaultRowHeight="23.1" customHeight="1" x14ac:dyDescent="0.25"/>
  <cols>
    <col min="1" max="1" width="6.6640625" style="56" customWidth="1"/>
    <col min="2" max="2" width="54.44140625" style="56" customWidth="1"/>
    <col min="3" max="4" width="18.88671875" style="56" customWidth="1"/>
    <col min="5" max="6" width="18.88671875" style="91" customWidth="1"/>
    <col min="7" max="7" width="12.6640625" style="56" customWidth="1"/>
    <col min="8" max="16384" width="9.109375" style="56"/>
  </cols>
  <sheetData>
    <row r="1" spans="1:8" ht="23.1" customHeight="1" x14ac:dyDescent="0.3">
      <c r="A1" s="766" t="s">
        <v>0</v>
      </c>
      <c r="B1" s="767"/>
      <c r="C1" s="767"/>
      <c r="D1" s="767"/>
      <c r="E1" s="767"/>
      <c r="F1" s="768"/>
    </row>
    <row r="2" spans="1:8" ht="23.1" customHeight="1" x14ac:dyDescent="0.3">
      <c r="A2" s="766" t="s">
        <v>1</v>
      </c>
      <c r="B2" s="767"/>
      <c r="C2" s="767"/>
      <c r="D2" s="767"/>
      <c r="E2" s="767"/>
      <c r="F2" s="768"/>
    </row>
    <row r="3" spans="1:8" ht="23.1" customHeight="1" x14ac:dyDescent="0.3">
      <c r="A3" s="766" t="s">
        <v>2</v>
      </c>
      <c r="B3" s="767"/>
      <c r="C3" s="767"/>
      <c r="D3" s="767"/>
      <c r="E3" s="767"/>
      <c r="F3" s="768"/>
    </row>
    <row r="4" spans="1:8" ht="23.1" customHeight="1" x14ac:dyDescent="0.3">
      <c r="A4" s="766" t="s">
        <v>69</v>
      </c>
      <c r="B4" s="767"/>
      <c r="C4" s="767"/>
      <c r="D4" s="767"/>
      <c r="E4" s="767"/>
      <c r="F4" s="768"/>
    </row>
    <row r="5" spans="1:8" ht="23.1" customHeight="1" x14ac:dyDescent="0.3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3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3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3">
      <c r="A8" s="67"/>
      <c r="B8" s="67"/>
      <c r="C8" s="68"/>
      <c r="D8" s="68"/>
      <c r="E8" s="69"/>
      <c r="F8" s="69"/>
    </row>
    <row r="9" spans="1:8" ht="12.75" customHeight="1" x14ac:dyDescent="0.25">
      <c r="A9" s="70"/>
      <c r="B9" s="70"/>
      <c r="C9" s="70"/>
      <c r="D9" s="70"/>
      <c r="E9" s="67"/>
      <c r="F9" s="67"/>
    </row>
    <row r="10" spans="1:8" ht="15.75" customHeight="1" x14ac:dyDescent="0.3">
      <c r="A10" s="71"/>
      <c r="B10" s="72"/>
      <c r="C10" s="68"/>
      <c r="D10" s="68"/>
      <c r="E10" s="73"/>
      <c r="F10" s="73"/>
    </row>
    <row r="11" spans="1:8" ht="15.75" customHeight="1" x14ac:dyDescent="0.3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5">
      <c r="A12" s="74">
        <v>1</v>
      </c>
      <c r="B12" s="75" t="s">
        <v>71</v>
      </c>
      <c r="C12" s="76">
        <v>1544328000</v>
      </c>
      <c r="D12" s="76">
        <v>1634815000</v>
      </c>
      <c r="E12" s="76">
        <f t="shared" ref="E12:E21" si="0">D12-C12</f>
        <v>90487000</v>
      </c>
      <c r="F12" s="77">
        <f t="shared" ref="F12:F21" si="1">IF(C12=0,0,E12/C12)</f>
        <v>5.8593122704503189E-2</v>
      </c>
    </row>
    <row r="13" spans="1:8" ht="23.1" customHeight="1" x14ac:dyDescent="0.25">
      <c r="A13" s="74">
        <v>2</v>
      </c>
      <c r="B13" s="75" t="s">
        <v>72</v>
      </c>
      <c r="C13" s="76">
        <v>914023000</v>
      </c>
      <c r="D13" s="76">
        <v>976510000</v>
      </c>
      <c r="E13" s="76">
        <f t="shared" si="0"/>
        <v>62487000</v>
      </c>
      <c r="F13" s="77">
        <f t="shared" si="1"/>
        <v>6.8364800448128774E-2</v>
      </c>
    </row>
    <row r="14" spans="1:8" ht="23.1" customHeight="1" x14ac:dyDescent="0.25">
      <c r="A14" s="74">
        <v>3</v>
      </c>
      <c r="B14" s="75" t="s">
        <v>73</v>
      </c>
      <c r="C14" s="76">
        <v>16275000</v>
      </c>
      <c r="D14" s="76">
        <v>18294000</v>
      </c>
      <c r="E14" s="76">
        <f t="shared" si="0"/>
        <v>2019000</v>
      </c>
      <c r="F14" s="77">
        <f t="shared" si="1"/>
        <v>0.12405529953917051</v>
      </c>
    </row>
    <row r="15" spans="1:8" ht="23.1" customHeight="1" x14ac:dyDescent="0.25">
      <c r="A15" s="74">
        <v>4</v>
      </c>
      <c r="B15" s="75" t="s">
        <v>74</v>
      </c>
      <c r="C15" s="76">
        <v>0</v>
      </c>
      <c r="D15" s="76">
        <v>0</v>
      </c>
      <c r="E15" s="76">
        <f t="shared" si="0"/>
        <v>0</v>
      </c>
      <c r="F15" s="77">
        <f t="shared" si="1"/>
        <v>0</v>
      </c>
      <c r="G15" s="65"/>
    </row>
    <row r="16" spans="1:8" ht="23.1" customHeight="1" x14ac:dyDescent="0.3">
      <c r="A16" s="71"/>
      <c r="B16" s="78" t="s">
        <v>75</v>
      </c>
      <c r="C16" s="79">
        <f>C12-C13-C14-C15</f>
        <v>614030000</v>
      </c>
      <c r="D16" s="79">
        <f>D12-D13-D14-D15</f>
        <v>640011000</v>
      </c>
      <c r="E16" s="79">
        <f t="shared" si="0"/>
        <v>25981000</v>
      </c>
      <c r="F16" s="80">
        <f t="shared" si="1"/>
        <v>4.2312264873051807E-2</v>
      </c>
    </row>
    <row r="17" spans="1:7" ht="23.1" customHeight="1" x14ac:dyDescent="0.25">
      <c r="A17" s="74">
        <v>5</v>
      </c>
      <c r="B17" s="75" t="s">
        <v>76</v>
      </c>
      <c r="C17" s="76">
        <v>21154000</v>
      </c>
      <c r="D17" s="76">
        <v>18797000</v>
      </c>
      <c r="E17" s="76">
        <f t="shared" si="0"/>
        <v>-2357000</v>
      </c>
      <c r="F17" s="77">
        <f t="shared" si="1"/>
        <v>-0.11142100784721566</v>
      </c>
      <c r="G17" s="65"/>
    </row>
    <row r="18" spans="1:7" ht="31.5" customHeight="1" x14ac:dyDescent="0.3">
      <c r="A18" s="71"/>
      <c r="B18" s="81" t="s">
        <v>77</v>
      </c>
      <c r="C18" s="79">
        <f>C16-C17</f>
        <v>592876000</v>
      </c>
      <c r="D18" s="79">
        <f>D16-D17</f>
        <v>621214000</v>
      </c>
      <c r="E18" s="79">
        <f t="shared" si="0"/>
        <v>28338000</v>
      </c>
      <c r="F18" s="80">
        <f t="shared" si="1"/>
        <v>4.7797515838050454E-2</v>
      </c>
    </row>
    <row r="19" spans="1:7" ht="23.1" customHeight="1" x14ac:dyDescent="0.25">
      <c r="A19" s="74">
        <v>6</v>
      </c>
      <c r="B19" s="75" t="s">
        <v>78</v>
      </c>
      <c r="C19" s="76">
        <v>10518000</v>
      </c>
      <c r="D19" s="76">
        <v>12265000</v>
      </c>
      <c r="E19" s="76">
        <f t="shared" si="0"/>
        <v>1747000</v>
      </c>
      <c r="F19" s="77">
        <f t="shared" si="1"/>
        <v>0.16609621601064842</v>
      </c>
      <c r="G19" s="65"/>
    </row>
    <row r="20" spans="1:7" ht="33" customHeight="1" x14ac:dyDescent="0.25">
      <c r="A20" s="74">
        <v>7</v>
      </c>
      <c r="B20" s="82" t="s">
        <v>79</v>
      </c>
      <c r="C20" s="76">
        <v>6073000</v>
      </c>
      <c r="D20" s="76">
        <v>7062000</v>
      </c>
      <c r="E20" s="76">
        <f t="shared" si="0"/>
        <v>989000</v>
      </c>
      <c r="F20" s="77">
        <f t="shared" si="1"/>
        <v>0.16285196772600033</v>
      </c>
      <c r="G20" s="65"/>
    </row>
    <row r="21" spans="1:7" ht="23.1" customHeight="1" x14ac:dyDescent="0.3">
      <c r="A21" s="71"/>
      <c r="B21" s="78" t="s">
        <v>80</v>
      </c>
      <c r="C21" s="79">
        <f>SUM(C18:C20)</f>
        <v>609467000</v>
      </c>
      <c r="D21" s="79">
        <f>SUM(D18:D20)</f>
        <v>640541000</v>
      </c>
      <c r="E21" s="79">
        <f t="shared" si="0"/>
        <v>31074000</v>
      </c>
      <c r="F21" s="80">
        <f t="shared" si="1"/>
        <v>5.0985533261029718E-2</v>
      </c>
    </row>
    <row r="22" spans="1:7" ht="15.75" customHeight="1" x14ac:dyDescent="0.3">
      <c r="A22" s="74"/>
      <c r="B22" s="78"/>
      <c r="C22" s="76"/>
      <c r="D22" s="76"/>
      <c r="E22" s="76"/>
      <c r="F22" s="77"/>
    </row>
    <row r="23" spans="1:7" ht="23.1" customHeight="1" x14ac:dyDescent="0.3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5">
      <c r="A24" s="74">
        <v>1</v>
      </c>
      <c r="B24" s="75" t="s">
        <v>82</v>
      </c>
      <c r="C24" s="76">
        <v>221767000</v>
      </c>
      <c r="D24" s="76">
        <v>219326000</v>
      </c>
      <c r="E24" s="76">
        <f t="shared" ref="E24:E33" si="2">D24-C24</f>
        <v>-2441000</v>
      </c>
      <c r="F24" s="77">
        <f t="shared" ref="F24:F33" si="3">IF(C24=0,0,E24/C24)</f>
        <v>-1.100704793770038E-2</v>
      </c>
    </row>
    <row r="25" spans="1:7" ht="23.1" customHeight="1" x14ac:dyDescent="0.25">
      <c r="A25" s="74">
        <v>2</v>
      </c>
      <c r="B25" s="75" t="s">
        <v>83</v>
      </c>
      <c r="C25" s="76">
        <v>56560000</v>
      </c>
      <c r="D25" s="76">
        <v>58814000</v>
      </c>
      <c r="E25" s="76">
        <f t="shared" si="2"/>
        <v>2254000</v>
      </c>
      <c r="F25" s="77">
        <f t="shared" si="3"/>
        <v>3.9851485148514852E-2</v>
      </c>
    </row>
    <row r="26" spans="1:7" ht="23.1" customHeight="1" x14ac:dyDescent="0.25">
      <c r="A26" s="74">
        <v>3</v>
      </c>
      <c r="B26" s="75" t="s">
        <v>84</v>
      </c>
      <c r="C26" s="76">
        <v>74824000</v>
      </c>
      <c r="D26" s="76">
        <v>83996000</v>
      </c>
      <c r="E26" s="76">
        <f t="shared" si="2"/>
        <v>9172000</v>
      </c>
      <c r="F26" s="77">
        <f t="shared" si="3"/>
        <v>0.12258099005666631</v>
      </c>
      <c r="G26" s="65"/>
    </row>
    <row r="27" spans="1:7" ht="23.1" customHeight="1" x14ac:dyDescent="0.25">
      <c r="A27" s="74">
        <v>4</v>
      </c>
      <c r="B27" s="75" t="s">
        <v>85</v>
      </c>
      <c r="C27" s="76">
        <v>88691000</v>
      </c>
      <c r="D27" s="76">
        <v>91961000</v>
      </c>
      <c r="E27" s="76">
        <f t="shared" si="2"/>
        <v>3270000</v>
      </c>
      <c r="F27" s="77">
        <f t="shared" si="3"/>
        <v>3.6869580904488615E-2</v>
      </c>
    </row>
    <row r="28" spans="1:7" ht="23.1" customHeight="1" x14ac:dyDescent="0.25">
      <c r="A28" s="74">
        <v>5</v>
      </c>
      <c r="B28" s="75" t="s">
        <v>86</v>
      </c>
      <c r="C28" s="76">
        <v>45374000</v>
      </c>
      <c r="D28" s="76">
        <v>46720000</v>
      </c>
      <c r="E28" s="76">
        <f t="shared" si="2"/>
        <v>1346000</v>
      </c>
      <c r="F28" s="77">
        <f t="shared" si="3"/>
        <v>2.9664565610261383E-2</v>
      </c>
    </row>
    <row r="29" spans="1:7" ht="23.1" customHeight="1" x14ac:dyDescent="0.25">
      <c r="A29" s="74">
        <v>6</v>
      </c>
      <c r="B29" s="75" t="s">
        <v>87</v>
      </c>
      <c r="C29" s="76">
        <v>0</v>
      </c>
      <c r="D29" s="76">
        <v>0</v>
      </c>
      <c r="E29" s="76">
        <f t="shared" si="2"/>
        <v>0</v>
      </c>
      <c r="F29" s="77">
        <f t="shared" si="3"/>
        <v>0</v>
      </c>
    </row>
    <row r="30" spans="1:7" ht="23.1" customHeight="1" x14ac:dyDescent="0.25">
      <c r="A30" s="74">
        <v>7</v>
      </c>
      <c r="B30" s="75" t="s">
        <v>88</v>
      </c>
      <c r="C30" s="76">
        <v>7442000</v>
      </c>
      <c r="D30" s="76">
        <v>7341000</v>
      </c>
      <c r="E30" s="76">
        <f t="shared" si="2"/>
        <v>-101000</v>
      </c>
      <c r="F30" s="77">
        <f t="shared" si="3"/>
        <v>-1.3571620532115023E-2</v>
      </c>
    </row>
    <row r="31" spans="1:7" ht="23.1" customHeight="1" x14ac:dyDescent="0.25">
      <c r="A31" s="74">
        <v>8</v>
      </c>
      <c r="B31" s="75" t="s">
        <v>89</v>
      </c>
      <c r="C31" s="76">
        <v>10110000</v>
      </c>
      <c r="D31" s="76">
        <v>6738000</v>
      </c>
      <c r="E31" s="76">
        <f t="shared" si="2"/>
        <v>-3372000</v>
      </c>
      <c r="F31" s="77">
        <f t="shared" si="3"/>
        <v>-0.33353115727002969</v>
      </c>
    </row>
    <row r="32" spans="1:7" ht="23.1" customHeight="1" x14ac:dyDescent="0.25">
      <c r="A32" s="74">
        <v>9</v>
      </c>
      <c r="B32" s="75" t="s">
        <v>90</v>
      </c>
      <c r="C32" s="76">
        <v>119570000</v>
      </c>
      <c r="D32" s="76">
        <v>130074000</v>
      </c>
      <c r="E32" s="76">
        <f t="shared" si="2"/>
        <v>10504000</v>
      </c>
      <c r="F32" s="77">
        <f t="shared" si="3"/>
        <v>8.784812243873881E-2</v>
      </c>
    </row>
    <row r="33" spans="1:6" ht="23.1" customHeight="1" x14ac:dyDescent="0.3">
      <c r="A33" s="71"/>
      <c r="B33" s="78" t="s">
        <v>91</v>
      </c>
      <c r="C33" s="79">
        <f>SUM(C24:C32)</f>
        <v>624338000</v>
      </c>
      <c r="D33" s="79">
        <f>SUM(D24:D32)</f>
        <v>644970000</v>
      </c>
      <c r="E33" s="79">
        <f t="shared" si="2"/>
        <v>20632000</v>
      </c>
      <c r="F33" s="80">
        <f t="shared" si="3"/>
        <v>3.3046202537727963E-2</v>
      </c>
    </row>
    <row r="34" spans="1:6" ht="15" customHeight="1" x14ac:dyDescent="0.25">
      <c r="A34" s="74"/>
      <c r="B34" s="67"/>
      <c r="C34" s="76"/>
      <c r="D34" s="76"/>
      <c r="E34" s="76"/>
      <c r="F34" s="77"/>
    </row>
    <row r="35" spans="1:6" ht="23.1" customHeight="1" x14ac:dyDescent="0.3">
      <c r="A35" s="83"/>
      <c r="B35" s="78" t="s">
        <v>92</v>
      </c>
      <c r="C35" s="79">
        <f>+C21-C33</f>
        <v>-14871000</v>
      </c>
      <c r="D35" s="79">
        <f>+D21-D33</f>
        <v>-4429000</v>
      </c>
      <c r="E35" s="79">
        <f>D35-C35</f>
        <v>10442000</v>
      </c>
      <c r="F35" s="80">
        <f>IF(C35=0,0,E35/C35)</f>
        <v>-0.70217201264205498</v>
      </c>
    </row>
    <row r="36" spans="1:6" ht="15.75" customHeight="1" x14ac:dyDescent="0.3">
      <c r="A36" s="84"/>
      <c r="B36" s="78"/>
      <c r="C36" s="76"/>
      <c r="D36" s="76"/>
      <c r="E36" s="76"/>
      <c r="F36" s="77"/>
    </row>
    <row r="37" spans="1:6" ht="15.75" customHeight="1" x14ac:dyDescent="0.3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5">
      <c r="A38" s="85">
        <v>1</v>
      </c>
      <c r="B38" s="75" t="s">
        <v>94</v>
      </c>
      <c r="C38" s="76">
        <v>-2463000</v>
      </c>
      <c r="D38" s="76">
        <v>14640000</v>
      </c>
      <c r="E38" s="76">
        <f>D38-C38</f>
        <v>17103000</v>
      </c>
      <c r="F38" s="77">
        <f>IF(C38=0,0,E38/C38)</f>
        <v>-6.9439707673568822</v>
      </c>
    </row>
    <row r="39" spans="1:6" ht="23.1" customHeight="1" x14ac:dyDescent="0.25">
      <c r="A39" s="85">
        <v>2</v>
      </c>
      <c r="B39" s="75" t="s">
        <v>95</v>
      </c>
      <c r="C39" s="76">
        <v>0</v>
      </c>
      <c r="D39" s="76">
        <v>0</v>
      </c>
      <c r="E39" s="76">
        <f>D39-C39</f>
        <v>0</v>
      </c>
      <c r="F39" s="77">
        <f>IF(C39=0,0,E39/C39)</f>
        <v>0</v>
      </c>
    </row>
    <row r="40" spans="1:6" ht="23.1" customHeight="1" x14ac:dyDescent="0.25">
      <c r="A40" s="85">
        <v>3</v>
      </c>
      <c r="B40" s="75" t="s">
        <v>96</v>
      </c>
      <c r="C40" s="76">
        <v>11728000</v>
      </c>
      <c r="D40" s="76">
        <v>14486000</v>
      </c>
      <c r="E40" s="76">
        <f>D40-C40</f>
        <v>2758000</v>
      </c>
      <c r="F40" s="77">
        <f>IF(C40=0,0,E40/C40)</f>
        <v>0.23516371077762618</v>
      </c>
    </row>
    <row r="41" spans="1:6" ht="23.1" customHeight="1" x14ac:dyDescent="0.3">
      <c r="A41" s="83"/>
      <c r="B41" s="78" t="s">
        <v>97</v>
      </c>
      <c r="C41" s="79">
        <f>SUM(C38:C40)</f>
        <v>9265000</v>
      </c>
      <c r="D41" s="79">
        <f>SUM(D38:D40)</f>
        <v>29126000</v>
      </c>
      <c r="E41" s="79">
        <f>D41-C41</f>
        <v>19861000</v>
      </c>
      <c r="F41" s="80">
        <f>IF(C41=0,0,E41/C41)</f>
        <v>2.1436589314624932</v>
      </c>
    </row>
    <row r="42" spans="1:6" ht="15.75" customHeight="1" x14ac:dyDescent="0.3">
      <c r="A42" s="85"/>
      <c r="B42" s="78"/>
      <c r="C42" s="86"/>
      <c r="D42" s="86"/>
      <c r="E42" s="86"/>
      <c r="F42" s="80"/>
    </row>
    <row r="43" spans="1:6" ht="33" customHeight="1" x14ac:dyDescent="0.3">
      <c r="A43" s="83"/>
      <c r="B43" s="81" t="s">
        <v>98</v>
      </c>
      <c r="C43" s="79">
        <f>C35+C41</f>
        <v>-5606000</v>
      </c>
      <c r="D43" s="79">
        <f>D35+D41</f>
        <v>24697000</v>
      </c>
      <c r="E43" s="79">
        <f>D43-C43</f>
        <v>30303000</v>
      </c>
      <c r="F43" s="80">
        <f>IF(C43=0,0,E43/C43)</f>
        <v>-5.4054584373885124</v>
      </c>
    </row>
    <row r="44" spans="1:6" ht="15.75" customHeight="1" x14ac:dyDescent="0.3">
      <c r="A44" s="85"/>
      <c r="B44" s="78"/>
      <c r="C44" s="86"/>
      <c r="D44" s="86"/>
      <c r="E44" s="86"/>
      <c r="F44" s="80"/>
    </row>
    <row r="45" spans="1:6" ht="23.1" customHeight="1" x14ac:dyDescent="0.3">
      <c r="A45" s="83"/>
      <c r="B45" s="87" t="s">
        <v>99</v>
      </c>
      <c r="C45" s="86"/>
      <c r="D45" s="86"/>
      <c r="E45" s="86"/>
      <c r="F45" s="80"/>
    </row>
    <row r="46" spans="1:6" ht="23.1" customHeight="1" x14ac:dyDescent="0.25">
      <c r="A46" s="85"/>
      <c r="B46" s="75" t="s">
        <v>100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5">
      <c r="A47" s="85"/>
      <c r="B47" s="75" t="s">
        <v>101</v>
      </c>
      <c r="C47" s="76">
        <v>0</v>
      </c>
      <c r="D47" s="76">
        <v>0</v>
      </c>
      <c r="E47" s="76">
        <f>D47-C47</f>
        <v>0</v>
      </c>
      <c r="F47" s="77">
        <f>IF(C47=0,0,E47/C47)</f>
        <v>0</v>
      </c>
    </row>
    <row r="48" spans="1:6" ht="23.1" customHeight="1" x14ac:dyDescent="0.3">
      <c r="A48" s="83"/>
      <c r="B48" s="78" t="s">
        <v>102</v>
      </c>
      <c r="C48" s="79">
        <f>SUM(C46:C47)</f>
        <v>0</v>
      </c>
      <c r="D48" s="79">
        <f>SUM(D46:D47)</f>
        <v>0</v>
      </c>
      <c r="E48" s="79">
        <f>D48-C48</f>
        <v>0</v>
      </c>
      <c r="F48" s="80">
        <f>IF(C48=0,0,E48/C48)</f>
        <v>0</v>
      </c>
    </row>
    <row r="49" spans="1:6" ht="15.75" customHeight="1" x14ac:dyDescent="0.3">
      <c r="A49" s="83"/>
      <c r="B49" s="65"/>
      <c r="C49" s="79"/>
      <c r="D49" s="79"/>
      <c r="E49" s="79"/>
      <c r="F49" s="79"/>
    </row>
    <row r="50" spans="1:6" ht="23.1" customHeight="1" x14ac:dyDescent="0.3">
      <c r="A50" s="83"/>
      <c r="B50" s="87" t="s">
        <v>103</v>
      </c>
      <c r="C50" s="79">
        <f>C43+C48</f>
        <v>-5606000</v>
      </c>
      <c r="D50" s="79">
        <f>D43+D48</f>
        <v>24697000</v>
      </c>
      <c r="E50" s="79">
        <f>D50-C50</f>
        <v>30303000</v>
      </c>
      <c r="F50" s="80">
        <f>IF(C50=0,0,E50/C50)</f>
        <v>-5.4054584373885124</v>
      </c>
    </row>
    <row r="51" spans="1:6" ht="23.1" customHeight="1" x14ac:dyDescent="0.25">
      <c r="A51" s="85"/>
      <c r="B51" s="75" t="s">
        <v>104</v>
      </c>
      <c r="C51" s="76">
        <v>125327000</v>
      </c>
      <c r="D51" s="76">
        <v>1640000</v>
      </c>
      <c r="E51" s="76">
        <f>D51-C51</f>
        <v>-123687000</v>
      </c>
      <c r="F51" s="77">
        <f>IF(C51=0,0,E51/C51)</f>
        <v>-0.98691423236812503</v>
      </c>
    </row>
    <row r="52" spans="1:6" ht="23.1" customHeight="1" x14ac:dyDescent="0.3">
      <c r="A52" s="85"/>
      <c r="B52" s="78"/>
      <c r="C52" s="79"/>
      <c r="D52" s="79"/>
      <c r="E52" s="88"/>
      <c r="F52" s="80"/>
    </row>
    <row r="53" spans="1:6" ht="23.1" customHeight="1" x14ac:dyDescent="0.3">
      <c r="A53" s="89"/>
      <c r="B53" s="78"/>
      <c r="C53" s="79"/>
      <c r="D53" s="79"/>
      <c r="E53" s="88"/>
      <c r="F53" s="80"/>
    </row>
    <row r="54" spans="1:6" ht="23.1" customHeight="1" x14ac:dyDescent="0.3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63" orientation="portrait" horizontalDpi="1200" verticalDpi="1200" r:id="rId1"/>
  <headerFooter>
    <oddHeader>&amp;LOFFICE OF HEALTH CARE ACCESS&amp;CTWELVE MONTHS ACTUAL FILING&amp;RDANBURY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9"/>
  <sheetViews>
    <sheetView zoomScale="75" workbookViewId="0">
      <selection sqref="A1:F1"/>
    </sheetView>
  </sheetViews>
  <sheetFormatPr defaultColWidth="9.109375" defaultRowHeight="15" x14ac:dyDescent="0.25"/>
  <cols>
    <col min="1" max="1" width="6.109375" style="96" customWidth="1"/>
    <col min="2" max="2" width="56.33203125" style="96" customWidth="1"/>
    <col min="3" max="3" width="18.33203125" style="135" customWidth="1"/>
    <col min="4" max="4" width="18.109375" style="96" customWidth="1"/>
    <col min="5" max="7" width="18.109375" style="96" bestFit="1" customWidth="1"/>
    <col min="8" max="16384" width="9.109375" style="96"/>
  </cols>
  <sheetData>
    <row r="1" spans="1:6" ht="15" customHeight="1" x14ac:dyDescent="0.3">
      <c r="A1" s="92"/>
      <c r="B1" s="93"/>
      <c r="C1" s="94"/>
      <c r="D1" s="94"/>
      <c r="E1" s="94"/>
      <c r="F1" s="95"/>
    </row>
    <row r="2" spans="1:6" ht="15.75" customHeight="1" x14ac:dyDescent="0.3">
      <c r="A2" s="769" t="s">
        <v>0</v>
      </c>
      <c r="B2" s="769"/>
      <c r="C2" s="769"/>
      <c r="D2" s="769"/>
      <c r="E2" s="769"/>
      <c r="F2" s="769"/>
    </row>
    <row r="3" spans="1:6" ht="15.75" customHeight="1" x14ac:dyDescent="0.3">
      <c r="A3" s="769" t="s">
        <v>1</v>
      </c>
      <c r="B3" s="769"/>
      <c r="C3" s="769"/>
      <c r="D3" s="769"/>
      <c r="E3" s="769"/>
      <c r="F3" s="769"/>
    </row>
    <row r="4" spans="1:6" ht="15.75" customHeight="1" x14ac:dyDescent="0.3">
      <c r="A4" s="769" t="s">
        <v>2</v>
      </c>
      <c r="B4" s="769"/>
      <c r="C4" s="769"/>
      <c r="D4" s="769"/>
      <c r="E4" s="769"/>
      <c r="F4" s="769"/>
    </row>
    <row r="5" spans="1:6" ht="15.75" customHeight="1" x14ac:dyDescent="0.3">
      <c r="A5" s="769" t="s">
        <v>105</v>
      </c>
      <c r="B5" s="769"/>
      <c r="C5" s="769"/>
      <c r="D5" s="769"/>
      <c r="E5" s="769"/>
      <c r="F5" s="769"/>
    </row>
    <row r="6" spans="1:6" ht="15" customHeight="1" thickBot="1" x14ac:dyDescent="0.35">
      <c r="A6" s="92"/>
      <c r="B6" s="97"/>
      <c r="C6" s="98"/>
      <c r="D6" s="94"/>
      <c r="E6" s="94"/>
      <c r="F6" s="95"/>
    </row>
    <row r="7" spans="1:6" ht="15.6" x14ac:dyDescent="0.3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5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6" x14ac:dyDescent="0.3">
      <c r="A9" s="108"/>
      <c r="B9" s="109"/>
      <c r="C9" s="770"/>
      <c r="D9" s="771"/>
      <c r="E9" s="771"/>
      <c r="F9" s="772"/>
    </row>
    <row r="10" spans="1:6" x14ac:dyDescent="0.25">
      <c r="A10" s="773" t="s">
        <v>12</v>
      </c>
      <c r="B10" s="775" t="s">
        <v>111</v>
      </c>
      <c r="C10" s="777"/>
      <c r="D10" s="778"/>
      <c r="E10" s="778"/>
      <c r="F10" s="779"/>
    </row>
    <row r="11" spans="1:6" x14ac:dyDescent="0.25">
      <c r="A11" s="774"/>
      <c r="B11" s="776"/>
      <c r="C11" s="780"/>
      <c r="D11" s="781"/>
      <c r="E11" s="781"/>
      <c r="F11" s="782"/>
    </row>
    <row r="12" spans="1:6" ht="15.6" x14ac:dyDescent="0.3">
      <c r="A12" s="110"/>
      <c r="B12" s="111"/>
      <c r="C12" s="112"/>
      <c r="D12" s="112"/>
      <c r="E12" s="112"/>
      <c r="F12" s="112"/>
    </row>
    <row r="13" spans="1:6" ht="15.6" x14ac:dyDescent="0.3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5">
      <c r="A14" s="115">
        <v>1</v>
      </c>
      <c r="B14" s="116" t="s">
        <v>113</v>
      </c>
      <c r="C14" s="113">
        <v>332879325</v>
      </c>
      <c r="D14" s="113">
        <v>338569810</v>
      </c>
      <c r="E14" s="113">
        <f t="shared" ref="E14:E25" si="0">D14-C14</f>
        <v>5690485</v>
      </c>
      <c r="F14" s="114">
        <f t="shared" ref="F14:F25" si="1">IF(C14=0,0,E14/C14)</f>
        <v>1.7094738461152552E-2</v>
      </c>
    </row>
    <row r="15" spans="1:6" x14ac:dyDescent="0.25">
      <c r="A15" s="115">
        <v>2</v>
      </c>
      <c r="B15" s="116" t="s">
        <v>114</v>
      </c>
      <c r="C15" s="113">
        <v>61709416</v>
      </c>
      <c r="D15" s="113">
        <v>61979215</v>
      </c>
      <c r="E15" s="113">
        <f t="shared" si="0"/>
        <v>269799</v>
      </c>
      <c r="F15" s="114">
        <f t="shared" si="1"/>
        <v>4.3720880456881977E-3</v>
      </c>
    </row>
    <row r="16" spans="1:6" x14ac:dyDescent="0.25">
      <c r="A16" s="115">
        <v>3</v>
      </c>
      <c r="B16" s="116" t="s">
        <v>115</v>
      </c>
      <c r="C16" s="113">
        <v>89456723</v>
      </c>
      <c r="D16" s="113">
        <v>97089520</v>
      </c>
      <c r="E16" s="113">
        <f t="shared" si="0"/>
        <v>7632797</v>
      </c>
      <c r="F16" s="114">
        <f t="shared" si="1"/>
        <v>8.5323905728136279E-2</v>
      </c>
    </row>
    <row r="17" spans="1:6" x14ac:dyDescent="0.25">
      <c r="A17" s="115">
        <v>4</v>
      </c>
      <c r="B17" s="116" t="s">
        <v>116</v>
      </c>
      <c r="C17" s="113">
        <v>0</v>
      </c>
      <c r="D17" s="113">
        <v>0</v>
      </c>
      <c r="E17" s="113">
        <f t="shared" si="0"/>
        <v>0</v>
      </c>
      <c r="F17" s="114">
        <f t="shared" si="1"/>
        <v>0</v>
      </c>
    </row>
    <row r="18" spans="1:6" x14ac:dyDescent="0.25">
      <c r="A18" s="115">
        <v>5</v>
      </c>
      <c r="B18" s="116" t="s">
        <v>117</v>
      </c>
      <c r="C18" s="113">
        <v>365331</v>
      </c>
      <c r="D18" s="113">
        <v>587755</v>
      </c>
      <c r="E18" s="113">
        <f t="shared" si="0"/>
        <v>222424</v>
      </c>
      <c r="F18" s="114">
        <f t="shared" si="1"/>
        <v>0.6088287060227574</v>
      </c>
    </row>
    <row r="19" spans="1:6" x14ac:dyDescent="0.25">
      <c r="A19" s="115">
        <v>6</v>
      </c>
      <c r="B19" s="116" t="s">
        <v>118</v>
      </c>
      <c r="C19" s="113">
        <v>101927993</v>
      </c>
      <c r="D19" s="113">
        <v>108424587</v>
      </c>
      <c r="E19" s="113">
        <f t="shared" si="0"/>
        <v>6496594</v>
      </c>
      <c r="F19" s="114">
        <f t="shared" si="1"/>
        <v>6.3737093302720094E-2</v>
      </c>
    </row>
    <row r="20" spans="1:6" x14ac:dyDescent="0.25">
      <c r="A20" s="115">
        <v>7</v>
      </c>
      <c r="B20" s="116" t="s">
        <v>119</v>
      </c>
      <c r="C20" s="113">
        <v>86644428</v>
      </c>
      <c r="D20" s="113">
        <v>95385555</v>
      </c>
      <c r="E20" s="113">
        <f t="shared" si="0"/>
        <v>8741127</v>
      </c>
      <c r="F20" s="114">
        <f t="shared" si="1"/>
        <v>0.10088504479480204</v>
      </c>
    </row>
    <row r="21" spans="1:6" x14ac:dyDescent="0.25">
      <c r="A21" s="115">
        <v>8</v>
      </c>
      <c r="B21" s="116" t="s">
        <v>120</v>
      </c>
      <c r="C21" s="113">
        <v>3637992</v>
      </c>
      <c r="D21" s="113">
        <v>4685291</v>
      </c>
      <c r="E21" s="113">
        <f t="shared" si="0"/>
        <v>1047299</v>
      </c>
      <c r="F21" s="114">
        <f t="shared" si="1"/>
        <v>0.28787831309139766</v>
      </c>
    </row>
    <row r="22" spans="1:6" x14ac:dyDescent="0.25">
      <c r="A22" s="115">
        <v>9</v>
      </c>
      <c r="B22" s="116" t="s">
        <v>121</v>
      </c>
      <c r="C22" s="113">
        <v>9910178</v>
      </c>
      <c r="D22" s="113">
        <v>8080469</v>
      </c>
      <c r="E22" s="113">
        <f t="shared" si="0"/>
        <v>-1829709</v>
      </c>
      <c r="F22" s="114">
        <f t="shared" si="1"/>
        <v>-0.18462927709270208</v>
      </c>
    </row>
    <row r="23" spans="1:6" x14ac:dyDescent="0.25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5">
      <c r="A24" s="115">
        <v>11</v>
      </c>
      <c r="B24" s="116" t="s">
        <v>123</v>
      </c>
      <c r="C24" s="113">
        <v>2859982</v>
      </c>
      <c r="D24" s="113">
        <v>2106914</v>
      </c>
      <c r="E24" s="113">
        <f t="shared" si="0"/>
        <v>-753068</v>
      </c>
      <c r="F24" s="114">
        <f t="shared" si="1"/>
        <v>-0.26331214671980452</v>
      </c>
    </row>
    <row r="25" spans="1:6" ht="15.6" x14ac:dyDescent="0.3">
      <c r="A25" s="117"/>
      <c r="B25" s="118" t="s">
        <v>124</v>
      </c>
      <c r="C25" s="119">
        <f>SUM(C14:C24)</f>
        <v>689391368</v>
      </c>
      <c r="D25" s="119">
        <f>SUM(D14:D24)</f>
        <v>716909116</v>
      </c>
      <c r="E25" s="119">
        <f t="shared" si="0"/>
        <v>27517748</v>
      </c>
      <c r="F25" s="120">
        <f t="shared" si="1"/>
        <v>3.9916003125818077E-2</v>
      </c>
    </row>
    <row r="26" spans="1:6" ht="15.6" x14ac:dyDescent="0.3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5">
      <c r="A27" s="115">
        <v>1</v>
      </c>
      <c r="B27" s="116" t="s">
        <v>113</v>
      </c>
      <c r="C27" s="113">
        <v>269873441</v>
      </c>
      <c r="D27" s="113">
        <v>286222661</v>
      </c>
      <c r="E27" s="113">
        <f t="shared" ref="E27:E38" si="2">D27-C27</f>
        <v>16349220</v>
      </c>
      <c r="F27" s="114">
        <f t="shared" ref="F27:F38" si="3">IF(C27=0,0,E27/C27)</f>
        <v>6.0581063254757254E-2</v>
      </c>
    </row>
    <row r="28" spans="1:6" x14ac:dyDescent="0.25">
      <c r="A28" s="115">
        <v>2</v>
      </c>
      <c r="B28" s="116" t="s">
        <v>114</v>
      </c>
      <c r="C28" s="113">
        <v>53983714</v>
      </c>
      <c r="D28" s="113">
        <v>61452972</v>
      </c>
      <c r="E28" s="113">
        <f t="shared" si="2"/>
        <v>7469258</v>
      </c>
      <c r="F28" s="114">
        <f t="shared" si="3"/>
        <v>0.13836132134221071</v>
      </c>
    </row>
    <row r="29" spans="1:6" x14ac:dyDescent="0.25">
      <c r="A29" s="115">
        <v>3</v>
      </c>
      <c r="B29" s="116" t="s">
        <v>115</v>
      </c>
      <c r="C29" s="113">
        <v>118372145</v>
      </c>
      <c r="D29" s="113">
        <v>126877541</v>
      </c>
      <c r="E29" s="113">
        <f t="shared" si="2"/>
        <v>8505396</v>
      </c>
      <c r="F29" s="114">
        <f t="shared" si="3"/>
        <v>7.1853019137230301E-2</v>
      </c>
    </row>
    <row r="30" spans="1:6" x14ac:dyDescent="0.25">
      <c r="A30" s="115">
        <v>4</v>
      </c>
      <c r="B30" s="116" t="s">
        <v>116</v>
      </c>
      <c r="C30" s="113">
        <v>0</v>
      </c>
      <c r="D30" s="113">
        <v>0</v>
      </c>
      <c r="E30" s="113">
        <f t="shared" si="2"/>
        <v>0</v>
      </c>
      <c r="F30" s="114">
        <f t="shared" si="3"/>
        <v>0</v>
      </c>
    </row>
    <row r="31" spans="1:6" x14ac:dyDescent="0.25">
      <c r="A31" s="115">
        <v>5</v>
      </c>
      <c r="B31" s="116" t="s">
        <v>117</v>
      </c>
      <c r="C31" s="113">
        <v>1306897</v>
      </c>
      <c r="D31" s="113">
        <v>1622328</v>
      </c>
      <c r="E31" s="113">
        <f t="shared" si="2"/>
        <v>315431</v>
      </c>
      <c r="F31" s="114">
        <f t="shared" si="3"/>
        <v>0.24135872987695281</v>
      </c>
    </row>
    <row r="32" spans="1:6" x14ac:dyDescent="0.25">
      <c r="A32" s="115">
        <v>6</v>
      </c>
      <c r="B32" s="116" t="s">
        <v>118</v>
      </c>
      <c r="C32" s="113">
        <v>198292727</v>
      </c>
      <c r="D32" s="113">
        <v>225620474</v>
      </c>
      <c r="E32" s="113">
        <f t="shared" si="2"/>
        <v>27327747</v>
      </c>
      <c r="F32" s="114">
        <f t="shared" si="3"/>
        <v>0.13781517564181767</v>
      </c>
    </row>
    <row r="33" spans="1:6" x14ac:dyDescent="0.25">
      <c r="A33" s="115">
        <v>7</v>
      </c>
      <c r="B33" s="116" t="s">
        <v>119</v>
      </c>
      <c r="C33" s="113">
        <v>172696114</v>
      </c>
      <c r="D33" s="113">
        <v>174504306</v>
      </c>
      <c r="E33" s="113">
        <f t="shared" si="2"/>
        <v>1808192</v>
      </c>
      <c r="F33" s="114">
        <f t="shared" si="3"/>
        <v>1.0470368777377352E-2</v>
      </c>
    </row>
    <row r="34" spans="1:6" x14ac:dyDescent="0.25">
      <c r="A34" s="115">
        <v>8</v>
      </c>
      <c r="B34" s="116" t="s">
        <v>120</v>
      </c>
      <c r="C34" s="113">
        <v>6141601</v>
      </c>
      <c r="D34" s="113">
        <v>6806529</v>
      </c>
      <c r="E34" s="113">
        <f t="shared" si="2"/>
        <v>664928</v>
      </c>
      <c r="F34" s="114">
        <f t="shared" si="3"/>
        <v>0.10826623220883284</v>
      </c>
    </row>
    <row r="35" spans="1:6" x14ac:dyDescent="0.25">
      <c r="A35" s="115">
        <v>9</v>
      </c>
      <c r="B35" s="116" t="s">
        <v>121</v>
      </c>
      <c r="C35" s="113">
        <v>32278519</v>
      </c>
      <c r="D35" s="113">
        <v>32379492</v>
      </c>
      <c r="E35" s="113">
        <f t="shared" si="2"/>
        <v>100973</v>
      </c>
      <c r="F35" s="114">
        <f t="shared" si="3"/>
        <v>3.1281794558170404E-3</v>
      </c>
    </row>
    <row r="36" spans="1:6" x14ac:dyDescent="0.25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5">
      <c r="A37" s="115">
        <v>11</v>
      </c>
      <c r="B37" s="116" t="s">
        <v>123</v>
      </c>
      <c r="C37" s="113">
        <v>1990730</v>
      </c>
      <c r="D37" s="113">
        <v>2419544</v>
      </c>
      <c r="E37" s="113">
        <f t="shared" si="2"/>
        <v>428814</v>
      </c>
      <c r="F37" s="114">
        <f t="shared" si="3"/>
        <v>0.21540540404776137</v>
      </c>
    </row>
    <row r="38" spans="1:6" ht="15.6" x14ac:dyDescent="0.3">
      <c r="A38" s="117"/>
      <c r="B38" s="118" t="s">
        <v>126</v>
      </c>
      <c r="C38" s="119">
        <f>SUM(C27:C37)</f>
        <v>854935888</v>
      </c>
      <c r="D38" s="119">
        <f>SUM(D27:D37)</f>
        <v>917905847</v>
      </c>
      <c r="E38" s="119">
        <f t="shared" si="2"/>
        <v>62969959</v>
      </c>
      <c r="F38" s="120">
        <f t="shared" si="3"/>
        <v>7.3654597828743854E-2</v>
      </c>
    </row>
    <row r="39" spans="1:6" ht="15" customHeight="1" x14ac:dyDescent="0.25">
      <c r="A39" s="773" t="s">
        <v>127</v>
      </c>
      <c r="B39" s="775" t="s">
        <v>128</v>
      </c>
      <c r="C39" s="777"/>
      <c r="D39" s="778"/>
      <c r="E39" s="778"/>
      <c r="F39" s="779"/>
    </row>
    <row r="40" spans="1:6" ht="15" customHeight="1" x14ac:dyDescent="0.25">
      <c r="A40" s="774"/>
      <c r="B40" s="776"/>
      <c r="C40" s="780"/>
      <c r="D40" s="781"/>
      <c r="E40" s="781"/>
      <c r="F40" s="782"/>
    </row>
    <row r="41" spans="1:6" ht="15.6" x14ac:dyDescent="0.3">
      <c r="A41" s="121">
        <v>1</v>
      </c>
      <c r="B41" s="122" t="s">
        <v>113</v>
      </c>
      <c r="C41" s="119">
        <f t="shared" ref="C41:D51" si="4">+C27+C14</f>
        <v>602752766</v>
      </c>
      <c r="D41" s="119">
        <f t="shared" si="4"/>
        <v>624792471</v>
      </c>
      <c r="E41" s="123">
        <f t="shared" ref="E41:E52" si="5">D41-C41</f>
        <v>22039705</v>
      </c>
      <c r="F41" s="124">
        <f t="shared" ref="F41:F52" si="6">IF(C41=0,0,E41/C41)</f>
        <v>3.6565083137254324E-2</v>
      </c>
    </row>
    <row r="42" spans="1:6" ht="15.6" x14ac:dyDescent="0.3">
      <c r="A42" s="121">
        <v>2</v>
      </c>
      <c r="B42" s="122" t="s">
        <v>114</v>
      </c>
      <c r="C42" s="119">
        <f t="shared" si="4"/>
        <v>115693130</v>
      </c>
      <c r="D42" s="119">
        <f t="shared" si="4"/>
        <v>123432187</v>
      </c>
      <c r="E42" s="123">
        <f t="shared" si="5"/>
        <v>7739057</v>
      </c>
      <c r="F42" s="124">
        <f t="shared" si="6"/>
        <v>6.6892969357817536E-2</v>
      </c>
    </row>
    <row r="43" spans="1:6" ht="15.6" x14ac:dyDescent="0.3">
      <c r="A43" s="121">
        <v>3</v>
      </c>
      <c r="B43" s="122" t="s">
        <v>115</v>
      </c>
      <c r="C43" s="119">
        <f t="shared" si="4"/>
        <v>207828868</v>
      </c>
      <c r="D43" s="119">
        <f t="shared" si="4"/>
        <v>223967061</v>
      </c>
      <c r="E43" s="123">
        <f t="shared" si="5"/>
        <v>16138193</v>
      </c>
      <c r="F43" s="124">
        <f t="shared" si="6"/>
        <v>7.7651353997655423E-2</v>
      </c>
    </row>
    <row r="44" spans="1:6" ht="15.6" x14ac:dyDescent="0.3">
      <c r="A44" s="121">
        <v>4</v>
      </c>
      <c r="B44" s="122" t="s">
        <v>116</v>
      </c>
      <c r="C44" s="119">
        <f t="shared" si="4"/>
        <v>0</v>
      </c>
      <c r="D44" s="119">
        <f t="shared" si="4"/>
        <v>0</v>
      </c>
      <c r="E44" s="123">
        <f t="shared" si="5"/>
        <v>0</v>
      </c>
      <c r="F44" s="124">
        <f t="shared" si="6"/>
        <v>0</v>
      </c>
    </row>
    <row r="45" spans="1:6" ht="15.6" x14ac:dyDescent="0.3">
      <c r="A45" s="121">
        <v>5</v>
      </c>
      <c r="B45" s="122" t="s">
        <v>117</v>
      </c>
      <c r="C45" s="119">
        <f t="shared" si="4"/>
        <v>1672228</v>
      </c>
      <c r="D45" s="119">
        <f t="shared" si="4"/>
        <v>2210083</v>
      </c>
      <c r="E45" s="123">
        <f t="shared" si="5"/>
        <v>537855</v>
      </c>
      <c r="F45" s="124">
        <f t="shared" si="6"/>
        <v>0.32163975247394494</v>
      </c>
    </row>
    <row r="46" spans="1:6" ht="15.6" x14ac:dyDescent="0.3">
      <c r="A46" s="121">
        <v>6</v>
      </c>
      <c r="B46" s="122" t="s">
        <v>118</v>
      </c>
      <c r="C46" s="119">
        <f t="shared" si="4"/>
        <v>300220720</v>
      </c>
      <c r="D46" s="119">
        <f t="shared" si="4"/>
        <v>334045061</v>
      </c>
      <c r="E46" s="123">
        <f t="shared" si="5"/>
        <v>33824341</v>
      </c>
      <c r="F46" s="124">
        <f t="shared" si="6"/>
        <v>0.11266491200207635</v>
      </c>
    </row>
    <row r="47" spans="1:6" ht="15.6" x14ac:dyDescent="0.3">
      <c r="A47" s="121">
        <v>7</v>
      </c>
      <c r="B47" s="122" t="s">
        <v>119</v>
      </c>
      <c r="C47" s="119">
        <f t="shared" si="4"/>
        <v>259340542</v>
      </c>
      <c r="D47" s="119">
        <f t="shared" si="4"/>
        <v>269889861</v>
      </c>
      <c r="E47" s="123">
        <f t="shared" si="5"/>
        <v>10549319</v>
      </c>
      <c r="F47" s="124">
        <f t="shared" si="6"/>
        <v>4.0677477260767043E-2</v>
      </c>
    </row>
    <row r="48" spans="1:6" ht="15.6" x14ac:dyDescent="0.3">
      <c r="A48" s="121">
        <v>8</v>
      </c>
      <c r="B48" s="122" t="s">
        <v>120</v>
      </c>
      <c r="C48" s="119">
        <f t="shared" si="4"/>
        <v>9779593</v>
      </c>
      <c r="D48" s="119">
        <f t="shared" si="4"/>
        <v>11491820</v>
      </c>
      <c r="E48" s="123">
        <f t="shared" si="5"/>
        <v>1712227</v>
      </c>
      <c r="F48" s="124">
        <f t="shared" si="6"/>
        <v>0.17508162149488224</v>
      </c>
    </row>
    <row r="49" spans="1:6" ht="15.6" x14ac:dyDescent="0.3">
      <c r="A49" s="121">
        <v>9</v>
      </c>
      <c r="B49" s="122" t="s">
        <v>121</v>
      </c>
      <c r="C49" s="119">
        <f t="shared" si="4"/>
        <v>42188697</v>
      </c>
      <c r="D49" s="119">
        <f t="shared" si="4"/>
        <v>40459961</v>
      </c>
      <c r="E49" s="123">
        <f t="shared" si="5"/>
        <v>-1728736</v>
      </c>
      <c r="F49" s="124">
        <f t="shared" si="6"/>
        <v>-4.0976283292181316E-2</v>
      </c>
    </row>
    <row r="50" spans="1:6" ht="15.6" x14ac:dyDescent="0.3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2" thickBot="1" x14ac:dyDescent="0.35">
      <c r="A51" s="121">
        <v>11</v>
      </c>
      <c r="B51" s="122" t="s">
        <v>123</v>
      </c>
      <c r="C51" s="119">
        <f t="shared" si="4"/>
        <v>4850712</v>
      </c>
      <c r="D51" s="119">
        <f t="shared" si="4"/>
        <v>4526458</v>
      </c>
      <c r="E51" s="123">
        <f t="shared" si="5"/>
        <v>-324254</v>
      </c>
      <c r="F51" s="124">
        <f t="shared" si="6"/>
        <v>-6.6846681476863609E-2</v>
      </c>
    </row>
    <row r="52" spans="1:6" ht="18.75" customHeight="1" thickBot="1" x14ac:dyDescent="0.35">
      <c r="A52" s="125"/>
      <c r="B52" s="126" t="s">
        <v>128</v>
      </c>
      <c r="C52" s="127">
        <f>SUM(C41:C51)</f>
        <v>1544327256</v>
      </c>
      <c r="D52" s="128">
        <f>SUM(D41:D51)</f>
        <v>1634814963</v>
      </c>
      <c r="E52" s="127">
        <f t="shared" si="5"/>
        <v>90487707</v>
      </c>
      <c r="F52" s="129">
        <f t="shared" si="6"/>
        <v>5.8593608737033127E-2</v>
      </c>
    </row>
    <row r="53" spans="1:6" x14ac:dyDescent="0.25">
      <c r="A53" s="773" t="s">
        <v>44</v>
      </c>
      <c r="B53" s="775" t="s">
        <v>129</v>
      </c>
      <c r="C53" s="777"/>
      <c r="D53" s="778"/>
      <c r="E53" s="778"/>
      <c r="F53" s="779"/>
    </row>
    <row r="54" spans="1:6" ht="15" customHeight="1" x14ac:dyDescent="0.25">
      <c r="A54" s="774"/>
      <c r="B54" s="776"/>
      <c r="C54" s="780"/>
      <c r="D54" s="781"/>
      <c r="E54" s="781"/>
      <c r="F54" s="782"/>
    </row>
    <row r="55" spans="1:6" ht="15.6" x14ac:dyDescent="0.3">
      <c r="A55" s="110"/>
      <c r="B55" s="111"/>
      <c r="C55" s="112"/>
      <c r="D55" s="112"/>
      <c r="E55" s="112"/>
      <c r="F55" s="112"/>
    </row>
    <row r="56" spans="1:6" ht="15.6" x14ac:dyDescent="0.3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5">
      <c r="A57" s="115">
        <v>1</v>
      </c>
      <c r="B57" s="116" t="s">
        <v>113</v>
      </c>
      <c r="C57" s="113">
        <v>104498763</v>
      </c>
      <c r="D57" s="113">
        <v>102272136</v>
      </c>
      <c r="E57" s="113">
        <f t="shared" ref="E57:E68" si="7">D57-C57</f>
        <v>-2226627</v>
      </c>
      <c r="F57" s="114">
        <f t="shared" ref="F57:F68" si="8">IF(C57=0,0,E57/C57)</f>
        <v>-2.1307687632627765E-2</v>
      </c>
    </row>
    <row r="58" spans="1:6" x14ac:dyDescent="0.25">
      <c r="A58" s="115">
        <v>2</v>
      </c>
      <c r="B58" s="116" t="s">
        <v>114</v>
      </c>
      <c r="C58" s="113">
        <v>17289209</v>
      </c>
      <c r="D58" s="113">
        <v>17100816</v>
      </c>
      <c r="E58" s="113">
        <f t="shared" si="7"/>
        <v>-188393</v>
      </c>
      <c r="F58" s="114">
        <f t="shared" si="8"/>
        <v>-1.0896565597651113E-2</v>
      </c>
    </row>
    <row r="59" spans="1:6" x14ac:dyDescent="0.25">
      <c r="A59" s="115">
        <v>3</v>
      </c>
      <c r="B59" s="116" t="s">
        <v>115</v>
      </c>
      <c r="C59" s="113">
        <v>18192797</v>
      </c>
      <c r="D59" s="113">
        <v>20705832</v>
      </c>
      <c r="E59" s="113">
        <f t="shared" si="7"/>
        <v>2513035</v>
      </c>
      <c r="F59" s="114">
        <f t="shared" si="8"/>
        <v>0.13813351514888009</v>
      </c>
    </row>
    <row r="60" spans="1:6" x14ac:dyDescent="0.25">
      <c r="A60" s="115">
        <v>4</v>
      </c>
      <c r="B60" s="116" t="s">
        <v>116</v>
      </c>
      <c r="C60" s="113">
        <v>0</v>
      </c>
      <c r="D60" s="113">
        <v>0</v>
      </c>
      <c r="E60" s="113">
        <f t="shared" si="7"/>
        <v>0</v>
      </c>
      <c r="F60" s="114">
        <f t="shared" si="8"/>
        <v>0</v>
      </c>
    </row>
    <row r="61" spans="1:6" x14ac:dyDescent="0.25">
      <c r="A61" s="115">
        <v>5</v>
      </c>
      <c r="B61" s="116" t="s">
        <v>117</v>
      </c>
      <c r="C61" s="113">
        <v>100669</v>
      </c>
      <c r="D61" s="113">
        <v>192196</v>
      </c>
      <c r="E61" s="113">
        <f t="shared" si="7"/>
        <v>91527</v>
      </c>
      <c r="F61" s="114">
        <f t="shared" si="8"/>
        <v>0.90918753538825259</v>
      </c>
    </row>
    <row r="62" spans="1:6" x14ac:dyDescent="0.25">
      <c r="A62" s="115">
        <v>6</v>
      </c>
      <c r="B62" s="116" t="s">
        <v>118</v>
      </c>
      <c r="C62" s="113">
        <v>50992433</v>
      </c>
      <c r="D62" s="113">
        <v>53078287</v>
      </c>
      <c r="E62" s="113">
        <f t="shared" si="7"/>
        <v>2085854</v>
      </c>
      <c r="F62" s="114">
        <f t="shared" si="8"/>
        <v>4.0905167243147626E-2</v>
      </c>
    </row>
    <row r="63" spans="1:6" x14ac:dyDescent="0.25">
      <c r="A63" s="115">
        <v>7</v>
      </c>
      <c r="B63" s="116" t="s">
        <v>119</v>
      </c>
      <c r="C63" s="113">
        <v>55302426</v>
      </c>
      <c r="D63" s="113">
        <v>58684726</v>
      </c>
      <c r="E63" s="113">
        <f t="shared" si="7"/>
        <v>3382300</v>
      </c>
      <c r="F63" s="114">
        <f t="shared" si="8"/>
        <v>6.1160065563850674E-2</v>
      </c>
    </row>
    <row r="64" spans="1:6" x14ac:dyDescent="0.25">
      <c r="A64" s="115">
        <v>8</v>
      </c>
      <c r="B64" s="116" t="s">
        <v>120</v>
      </c>
      <c r="C64" s="113">
        <v>2502793</v>
      </c>
      <c r="D64" s="113">
        <v>3223293</v>
      </c>
      <c r="E64" s="113">
        <f t="shared" si="7"/>
        <v>720500</v>
      </c>
      <c r="F64" s="114">
        <f t="shared" si="8"/>
        <v>0.28787838227132645</v>
      </c>
    </row>
    <row r="65" spans="1:6" x14ac:dyDescent="0.25">
      <c r="A65" s="115">
        <v>9</v>
      </c>
      <c r="B65" s="116" t="s">
        <v>121</v>
      </c>
      <c r="C65" s="113">
        <v>2378942</v>
      </c>
      <c r="D65" s="113">
        <v>2234024</v>
      </c>
      <c r="E65" s="113">
        <f t="shared" si="7"/>
        <v>-144918</v>
      </c>
      <c r="F65" s="114">
        <f t="shared" si="8"/>
        <v>-6.0916995874636705E-2</v>
      </c>
    </row>
    <row r="66" spans="1:6" x14ac:dyDescent="0.25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5">
      <c r="A67" s="115">
        <v>11</v>
      </c>
      <c r="B67" s="116" t="s">
        <v>123</v>
      </c>
      <c r="C67" s="113">
        <v>597623</v>
      </c>
      <c r="D67" s="113">
        <v>298308</v>
      </c>
      <c r="E67" s="113">
        <f t="shared" si="7"/>
        <v>-299315</v>
      </c>
      <c r="F67" s="114">
        <f t="shared" si="8"/>
        <v>-0.50084250438821798</v>
      </c>
    </row>
    <row r="68" spans="1:6" ht="15.6" x14ac:dyDescent="0.3">
      <c r="A68" s="117"/>
      <c r="B68" s="118" t="s">
        <v>131</v>
      </c>
      <c r="C68" s="119">
        <f>SUM(C57:C67)</f>
        <v>251855655</v>
      </c>
      <c r="D68" s="119">
        <f>SUM(D57:D67)</f>
        <v>257789618</v>
      </c>
      <c r="E68" s="119">
        <f t="shared" si="7"/>
        <v>5933963</v>
      </c>
      <c r="F68" s="120">
        <f t="shared" si="8"/>
        <v>2.356096788853123E-2</v>
      </c>
    </row>
    <row r="69" spans="1:6" ht="15.6" x14ac:dyDescent="0.3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5">
      <c r="A70" s="115">
        <v>1</v>
      </c>
      <c r="B70" s="116" t="s">
        <v>113</v>
      </c>
      <c r="C70" s="113">
        <v>84719712</v>
      </c>
      <c r="D70" s="113">
        <v>86459579</v>
      </c>
      <c r="E70" s="113">
        <f t="shared" ref="E70:E81" si="9">D70-C70</f>
        <v>1739867</v>
      </c>
      <c r="F70" s="114">
        <f t="shared" ref="F70:F81" si="10">IF(C70=0,0,E70/C70)</f>
        <v>2.0536743562112204E-2</v>
      </c>
    </row>
    <row r="71" spans="1:6" x14ac:dyDescent="0.25">
      <c r="A71" s="115">
        <v>2</v>
      </c>
      <c r="B71" s="116" t="s">
        <v>114</v>
      </c>
      <c r="C71" s="113">
        <v>15124689</v>
      </c>
      <c r="D71" s="113">
        <v>16955619</v>
      </c>
      <c r="E71" s="113">
        <f t="shared" si="9"/>
        <v>1830930</v>
      </c>
      <c r="F71" s="114">
        <f t="shared" si="10"/>
        <v>0.12105571228605097</v>
      </c>
    </row>
    <row r="72" spans="1:6" x14ac:dyDescent="0.25">
      <c r="A72" s="115">
        <v>3</v>
      </c>
      <c r="B72" s="116" t="s">
        <v>115</v>
      </c>
      <c r="C72" s="113">
        <v>24165250</v>
      </c>
      <c r="D72" s="113">
        <v>27142086</v>
      </c>
      <c r="E72" s="113">
        <f t="shared" si="9"/>
        <v>2976836</v>
      </c>
      <c r="F72" s="114">
        <f t="shared" si="10"/>
        <v>0.12318664197556409</v>
      </c>
    </row>
    <row r="73" spans="1:6" x14ac:dyDescent="0.25">
      <c r="A73" s="115">
        <v>4</v>
      </c>
      <c r="B73" s="116" t="s">
        <v>116</v>
      </c>
      <c r="C73" s="113">
        <v>0</v>
      </c>
      <c r="D73" s="113">
        <v>0</v>
      </c>
      <c r="E73" s="113">
        <f t="shared" si="9"/>
        <v>0</v>
      </c>
      <c r="F73" s="114">
        <f t="shared" si="10"/>
        <v>0</v>
      </c>
    </row>
    <row r="74" spans="1:6" x14ac:dyDescent="0.25">
      <c r="A74" s="115">
        <v>5</v>
      </c>
      <c r="B74" s="116" t="s">
        <v>117</v>
      </c>
      <c r="C74" s="113">
        <v>382303</v>
      </c>
      <c r="D74" s="113">
        <v>530501</v>
      </c>
      <c r="E74" s="113">
        <f t="shared" si="9"/>
        <v>148198</v>
      </c>
      <c r="F74" s="114">
        <f t="shared" si="10"/>
        <v>0.38764540168400458</v>
      </c>
    </row>
    <row r="75" spans="1:6" x14ac:dyDescent="0.25">
      <c r="A75" s="115">
        <v>6</v>
      </c>
      <c r="B75" s="116" t="s">
        <v>118</v>
      </c>
      <c r="C75" s="113">
        <v>112009118</v>
      </c>
      <c r="D75" s="113">
        <v>115830972</v>
      </c>
      <c r="E75" s="113">
        <f t="shared" si="9"/>
        <v>3821854</v>
      </c>
      <c r="F75" s="114">
        <f t="shared" si="10"/>
        <v>3.412091862021447E-2</v>
      </c>
    </row>
    <row r="76" spans="1:6" x14ac:dyDescent="0.25">
      <c r="A76" s="115">
        <v>7</v>
      </c>
      <c r="B76" s="116" t="s">
        <v>119</v>
      </c>
      <c r="C76" s="113">
        <v>96279553</v>
      </c>
      <c r="D76" s="113">
        <v>103050011</v>
      </c>
      <c r="E76" s="113">
        <f t="shared" si="9"/>
        <v>6770458</v>
      </c>
      <c r="F76" s="114">
        <f t="shared" si="10"/>
        <v>7.0320829179587069E-2</v>
      </c>
    </row>
    <row r="77" spans="1:6" x14ac:dyDescent="0.25">
      <c r="A77" s="115">
        <v>8</v>
      </c>
      <c r="B77" s="116" t="s">
        <v>120</v>
      </c>
      <c r="C77" s="113">
        <v>4225176</v>
      </c>
      <c r="D77" s="113">
        <v>4681362</v>
      </c>
      <c r="E77" s="113">
        <f t="shared" si="9"/>
        <v>456186</v>
      </c>
      <c r="F77" s="114">
        <f t="shared" si="10"/>
        <v>0.10796852012791894</v>
      </c>
    </row>
    <row r="78" spans="1:6" x14ac:dyDescent="0.25">
      <c r="A78" s="115">
        <v>9</v>
      </c>
      <c r="B78" s="116" t="s">
        <v>121</v>
      </c>
      <c r="C78" s="113">
        <v>7748473</v>
      </c>
      <c r="D78" s="113">
        <v>8952024</v>
      </c>
      <c r="E78" s="113">
        <f t="shared" si="9"/>
        <v>1203551</v>
      </c>
      <c r="F78" s="114">
        <f t="shared" si="10"/>
        <v>0.15532750775539902</v>
      </c>
    </row>
    <row r="79" spans="1:6" x14ac:dyDescent="0.25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5">
      <c r="A80" s="115">
        <v>11</v>
      </c>
      <c r="B80" s="116" t="s">
        <v>123</v>
      </c>
      <c r="C80" s="113">
        <v>333771</v>
      </c>
      <c r="D80" s="113">
        <v>235653</v>
      </c>
      <c r="E80" s="113">
        <f t="shared" si="9"/>
        <v>-98118</v>
      </c>
      <c r="F80" s="114">
        <f t="shared" si="10"/>
        <v>-0.29396801998975347</v>
      </c>
    </row>
    <row r="81" spans="1:6" ht="15.6" x14ac:dyDescent="0.3">
      <c r="A81" s="117"/>
      <c r="B81" s="118" t="s">
        <v>133</v>
      </c>
      <c r="C81" s="119">
        <f>SUM(C70:C80)</f>
        <v>344988045</v>
      </c>
      <c r="D81" s="119">
        <f>SUM(D70:D80)</f>
        <v>363837807</v>
      </c>
      <c r="E81" s="119">
        <f t="shared" si="9"/>
        <v>18849762</v>
      </c>
      <c r="F81" s="120">
        <f t="shared" si="10"/>
        <v>5.4638884660481495E-2</v>
      </c>
    </row>
    <row r="82" spans="1:6" ht="15" customHeight="1" x14ac:dyDescent="0.25">
      <c r="A82" s="773" t="s">
        <v>127</v>
      </c>
      <c r="B82" s="775" t="s">
        <v>134</v>
      </c>
      <c r="C82" s="777"/>
      <c r="D82" s="778"/>
      <c r="E82" s="778"/>
      <c r="F82" s="779"/>
    </row>
    <row r="83" spans="1:6" ht="15" customHeight="1" x14ac:dyDescent="0.25">
      <c r="A83" s="774"/>
      <c r="B83" s="776"/>
      <c r="C83" s="780"/>
      <c r="D83" s="781"/>
      <c r="E83" s="781"/>
      <c r="F83" s="782"/>
    </row>
    <row r="84" spans="1:6" ht="15.6" x14ac:dyDescent="0.3">
      <c r="A84" s="130">
        <v>1</v>
      </c>
      <c r="B84" s="122" t="s">
        <v>113</v>
      </c>
      <c r="C84" s="119">
        <f t="shared" ref="C84:D94" si="11">+C70+C57</f>
        <v>189218475</v>
      </c>
      <c r="D84" s="119">
        <f t="shared" si="11"/>
        <v>188731715</v>
      </c>
      <c r="E84" s="119">
        <f t="shared" ref="E84:E95" si="12">D84-C84</f>
        <v>-486760</v>
      </c>
      <c r="F84" s="120">
        <f t="shared" ref="F84:F95" si="13">IF(C84=0,0,E84/C84)</f>
        <v>-2.5724760756051968E-3</v>
      </c>
    </row>
    <row r="85" spans="1:6" ht="15.6" x14ac:dyDescent="0.3">
      <c r="A85" s="130">
        <v>2</v>
      </c>
      <c r="B85" s="122" t="s">
        <v>114</v>
      </c>
      <c r="C85" s="119">
        <f t="shared" si="11"/>
        <v>32413898</v>
      </c>
      <c r="D85" s="119">
        <f t="shared" si="11"/>
        <v>34056435</v>
      </c>
      <c r="E85" s="119">
        <f t="shared" si="12"/>
        <v>1642537</v>
      </c>
      <c r="F85" s="120">
        <f t="shared" si="13"/>
        <v>5.0673849840583811E-2</v>
      </c>
    </row>
    <row r="86" spans="1:6" ht="15.6" x14ac:dyDescent="0.3">
      <c r="A86" s="130">
        <v>3</v>
      </c>
      <c r="B86" s="122" t="s">
        <v>115</v>
      </c>
      <c r="C86" s="119">
        <f t="shared" si="11"/>
        <v>42358047</v>
      </c>
      <c r="D86" s="119">
        <f t="shared" si="11"/>
        <v>47847918</v>
      </c>
      <c r="E86" s="119">
        <f t="shared" si="12"/>
        <v>5489871</v>
      </c>
      <c r="F86" s="120">
        <f t="shared" si="13"/>
        <v>0.12960632958360899</v>
      </c>
    </row>
    <row r="87" spans="1:6" ht="15.6" x14ac:dyDescent="0.3">
      <c r="A87" s="130">
        <v>4</v>
      </c>
      <c r="B87" s="122" t="s">
        <v>116</v>
      </c>
      <c r="C87" s="119">
        <f t="shared" si="11"/>
        <v>0</v>
      </c>
      <c r="D87" s="119">
        <f t="shared" si="11"/>
        <v>0</v>
      </c>
      <c r="E87" s="119">
        <f t="shared" si="12"/>
        <v>0</v>
      </c>
      <c r="F87" s="120">
        <f t="shared" si="13"/>
        <v>0</v>
      </c>
    </row>
    <row r="88" spans="1:6" ht="15.6" x14ac:dyDescent="0.3">
      <c r="A88" s="130">
        <v>5</v>
      </c>
      <c r="B88" s="122" t="s">
        <v>117</v>
      </c>
      <c r="C88" s="119">
        <f t="shared" si="11"/>
        <v>482972</v>
      </c>
      <c r="D88" s="119">
        <f t="shared" si="11"/>
        <v>722697</v>
      </c>
      <c r="E88" s="119">
        <f t="shared" si="12"/>
        <v>239725</v>
      </c>
      <c r="F88" s="120">
        <f t="shared" si="13"/>
        <v>0.49635382589466887</v>
      </c>
    </row>
    <row r="89" spans="1:6" ht="15.6" x14ac:dyDescent="0.3">
      <c r="A89" s="130">
        <v>6</v>
      </c>
      <c r="B89" s="122" t="s">
        <v>118</v>
      </c>
      <c r="C89" s="119">
        <f t="shared" si="11"/>
        <v>163001551</v>
      </c>
      <c r="D89" s="119">
        <f t="shared" si="11"/>
        <v>168909259</v>
      </c>
      <c r="E89" s="119">
        <f t="shared" si="12"/>
        <v>5907708</v>
      </c>
      <c r="F89" s="120">
        <f t="shared" si="13"/>
        <v>3.624326249509123E-2</v>
      </c>
    </row>
    <row r="90" spans="1:6" ht="15.6" x14ac:dyDescent="0.3">
      <c r="A90" s="130">
        <v>7</v>
      </c>
      <c r="B90" s="122" t="s">
        <v>119</v>
      </c>
      <c r="C90" s="119">
        <f t="shared" si="11"/>
        <v>151581979</v>
      </c>
      <c r="D90" s="119">
        <f t="shared" si="11"/>
        <v>161734737</v>
      </c>
      <c r="E90" s="119">
        <f t="shared" si="12"/>
        <v>10152758</v>
      </c>
      <c r="F90" s="120">
        <f t="shared" si="13"/>
        <v>6.6978661097966005E-2</v>
      </c>
    </row>
    <row r="91" spans="1:6" ht="15.6" x14ac:dyDescent="0.3">
      <c r="A91" s="130">
        <v>8</v>
      </c>
      <c r="B91" s="122" t="s">
        <v>120</v>
      </c>
      <c r="C91" s="119">
        <f t="shared" si="11"/>
        <v>6727969</v>
      </c>
      <c r="D91" s="119">
        <f t="shared" si="11"/>
        <v>7904655</v>
      </c>
      <c r="E91" s="119">
        <f t="shared" si="12"/>
        <v>1176686</v>
      </c>
      <c r="F91" s="120">
        <f t="shared" si="13"/>
        <v>0.17489468218417772</v>
      </c>
    </row>
    <row r="92" spans="1:6" ht="15.6" x14ac:dyDescent="0.3">
      <c r="A92" s="130">
        <v>9</v>
      </c>
      <c r="B92" s="122" t="s">
        <v>121</v>
      </c>
      <c r="C92" s="119">
        <f t="shared" si="11"/>
        <v>10127415</v>
      </c>
      <c r="D92" s="119">
        <f t="shared" si="11"/>
        <v>11186048</v>
      </c>
      <c r="E92" s="119">
        <f t="shared" si="12"/>
        <v>1058633</v>
      </c>
      <c r="F92" s="120">
        <f t="shared" si="13"/>
        <v>0.10453141300124465</v>
      </c>
    </row>
    <row r="93" spans="1:6" ht="15.6" x14ac:dyDescent="0.3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2" thickBot="1" x14ac:dyDescent="0.35">
      <c r="A94" s="130">
        <v>11</v>
      </c>
      <c r="B94" s="122" t="s">
        <v>123</v>
      </c>
      <c r="C94" s="119">
        <f t="shared" si="11"/>
        <v>931394</v>
      </c>
      <c r="D94" s="119">
        <f t="shared" si="11"/>
        <v>533961</v>
      </c>
      <c r="E94" s="119">
        <f t="shared" si="12"/>
        <v>-397433</v>
      </c>
      <c r="F94" s="120">
        <f t="shared" si="13"/>
        <v>-0.42670770908981592</v>
      </c>
    </row>
    <row r="95" spans="1:6" ht="18.75" customHeight="1" thickBot="1" x14ac:dyDescent="0.35">
      <c r="A95" s="131"/>
      <c r="B95" s="132" t="s">
        <v>134</v>
      </c>
      <c r="C95" s="128">
        <f>SUM(C84:C94)</f>
        <v>596843700</v>
      </c>
      <c r="D95" s="128">
        <f>SUM(D84:D94)</f>
        <v>621627425</v>
      </c>
      <c r="E95" s="128">
        <f t="shared" si="12"/>
        <v>24783725</v>
      </c>
      <c r="F95" s="129">
        <f t="shared" si="13"/>
        <v>4.1524648748072567E-2</v>
      </c>
    </row>
    <row r="96" spans="1:6" x14ac:dyDescent="0.25">
      <c r="A96" s="773" t="s">
        <v>135</v>
      </c>
      <c r="B96" s="775" t="s">
        <v>136</v>
      </c>
      <c r="C96" s="777"/>
      <c r="D96" s="778"/>
      <c r="E96" s="778"/>
      <c r="F96" s="779"/>
    </row>
    <row r="97" spans="1:6" ht="15" customHeight="1" x14ac:dyDescent="0.25">
      <c r="A97" s="774"/>
      <c r="B97" s="776"/>
      <c r="C97" s="780"/>
      <c r="D97" s="781"/>
      <c r="E97" s="781"/>
      <c r="F97" s="782"/>
    </row>
    <row r="98" spans="1:6" ht="15.6" x14ac:dyDescent="0.3">
      <c r="A98" s="110"/>
      <c r="B98" s="111"/>
      <c r="C98" s="112"/>
      <c r="D98" s="112"/>
      <c r="E98" s="112"/>
      <c r="F98" s="112"/>
    </row>
    <row r="99" spans="1:6" ht="15.6" x14ac:dyDescent="0.3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5">
      <c r="A100" s="115">
        <v>1</v>
      </c>
      <c r="B100" s="116" t="s">
        <v>113</v>
      </c>
      <c r="C100" s="133">
        <v>8597</v>
      </c>
      <c r="D100" s="133">
        <v>8595</v>
      </c>
      <c r="E100" s="133">
        <f t="shared" ref="E100:E111" si="14">D100-C100</f>
        <v>-2</v>
      </c>
      <c r="F100" s="114">
        <f t="shared" ref="F100:F111" si="15">IF(C100=0,0,E100/C100)</f>
        <v>-2.3263929277654997E-4</v>
      </c>
    </row>
    <row r="101" spans="1:6" x14ac:dyDescent="0.25">
      <c r="A101" s="115">
        <v>2</v>
      </c>
      <c r="B101" s="116" t="s">
        <v>114</v>
      </c>
      <c r="C101" s="133">
        <v>1434</v>
      </c>
      <c r="D101" s="133">
        <v>1597</v>
      </c>
      <c r="E101" s="133">
        <f t="shared" si="14"/>
        <v>163</v>
      </c>
      <c r="F101" s="114">
        <f t="shared" si="15"/>
        <v>0.11366806136680614</v>
      </c>
    </row>
    <row r="102" spans="1:6" x14ac:dyDescent="0.25">
      <c r="A102" s="115">
        <v>3</v>
      </c>
      <c r="B102" s="116" t="s">
        <v>115</v>
      </c>
      <c r="C102" s="133">
        <v>3528</v>
      </c>
      <c r="D102" s="133">
        <v>3664</v>
      </c>
      <c r="E102" s="133">
        <f t="shared" si="14"/>
        <v>136</v>
      </c>
      <c r="F102" s="114">
        <f t="shared" si="15"/>
        <v>3.8548752834467119E-2</v>
      </c>
    </row>
    <row r="103" spans="1:6" x14ac:dyDescent="0.25">
      <c r="A103" s="115">
        <v>4</v>
      </c>
      <c r="B103" s="116" t="s">
        <v>116</v>
      </c>
      <c r="C103" s="133">
        <v>0</v>
      </c>
      <c r="D103" s="133">
        <v>0</v>
      </c>
      <c r="E103" s="133">
        <f t="shared" si="14"/>
        <v>0</v>
      </c>
      <c r="F103" s="114">
        <f t="shared" si="15"/>
        <v>0</v>
      </c>
    </row>
    <row r="104" spans="1:6" x14ac:dyDescent="0.25">
      <c r="A104" s="115">
        <v>5</v>
      </c>
      <c r="B104" s="116" t="s">
        <v>117</v>
      </c>
      <c r="C104" s="133">
        <v>26</v>
      </c>
      <c r="D104" s="133">
        <v>31</v>
      </c>
      <c r="E104" s="133">
        <f t="shared" si="14"/>
        <v>5</v>
      </c>
      <c r="F104" s="114">
        <f t="shared" si="15"/>
        <v>0.19230769230769232</v>
      </c>
    </row>
    <row r="105" spans="1:6" x14ac:dyDescent="0.25">
      <c r="A105" s="115">
        <v>6</v>
      </c>
      <c r="B105" s="116" t="s">
        <v>118</v>
      </c>
      <c r="C105" s="133">
        <v>3391</v>
      </c>
      <c r="D105" s="133">
        <v>3518</v>
      </c>
      <c r="E105" s="133">
        <f t="shared" si="14"/>
        <v>127</v>
      </c>
      <c r="F105" s="114">
        <f t="shared" si="15"/>
        <v>3.7452079032733704E-2</v>
      </c>
    </row>
    <row r="106" spans="1:6" x14ac:dyDescent="0.25">
      <c r="A106" s="115">
        <v>7</v>
      </c>
      <c r="B106" s="116" t="s">
        <v>119</v>
      </c>
      <c r="C106" s="133">
        <v>3136</v>
      </c>
      <c r="D106" s="133">
        <v>3144</v>
      </c>
      <c r="E106" s="133">
        <f t="shared" si="14"/>
        <v>8</v>
      </c>
      <c r="F106" s="114">
        <f t="shared" si="15"/>
        <v>2.5510204081632651E-3</v>
      </c>
    </row>
    <row r="107" spans="1:6" x14ac:dyDescent="0.25">
      <c r="A107" s="115">
        <v>8</v>
      </c>
      <c r="B107" s="116" t="s">
        <v>120</v>
      </c>
      <c r="C107" s="133">
        <v>74</v>
      </c>
      <c r="D107" s="133">
        <v>74</v>
      </c>
      <c r="E107" s="133">
        <f t="shared" si="14"/>
        <v>0</v>
      </c>
      <c r="F107" s="114">
        <f t="shared" si="15"/>
        <v>0</v>
      </c>
    </row>
    <row r="108" spans="1:6" x14ac:dyDescent="0.25">
      <c r="A108" s="115">
        <v>9</v>
      </c>
      <c r="B108" s="116" t="s">
        <v>121</v>
      </c>
      <c r="C108" s="133">
        <v>306</v>
      </c>
      <c r="D108" s="133">
        <v>327</v>
      </c>
      <c r="E108" s="133">
        <f t="shared" si="14"/>
        <v>21</v>
      </c>
      <c r="F108" s="114">
        <f t="shared" si="15"/>
        <v>6.8627450980392163E-2</v>
      </c>
    </row>
    <row r="109" spans="1:6" x14ac:dyDescent="0.25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5">
      <c r="A110" s="115">
        <v>11</v>
      </c>
      <c r="B110" s="116" t="s">
        <v>123</v>
      </c>
      <c r="C110" s="133">
        <v>66</v>
      </c>
      <c r="D110" s="133">
        <v>61</v>
      </c>
      <c r="E110" s="133">
        <f t="shared" si="14"/>
        <v>-5</v>
      </c>
      <c r="F110" s="114">
        <f t="shared" si="15"/>
        <v>-7.575757575757576E-2</v>
      </c>
    </row>
    <row r="111" spans="1:6" ht="15.6" x14ac:dyDescent="0.3">
      <c r="A111" s="117"/>
      <c r="B111" s="118" t="s">
        <v>138</v>
      </c>
      <c r="C111" s="134">
        <f>SUM(C100:C110)</f>
        <v>20558</v>
      </c>
      <c r="D111" s="134">
        <f>SUM(D100:D110)</f>
        <v>21011</v>
      </c>
      <c r="E111" s="134">
        <f t="shared" si="14"/>
        <v>453</v>
      </c>
      <c r="F111" s="120">
        <f t="shared" si="15"/>
        <v>2.203521743360249E-2</v>
      </c>
    </row>
    <row r="112" spans="1:6" ht="15.6" x14ac:dyDescent="0.3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5">
      <c r="A113" s="115">
        <v>1</v>
      </c>
      <c r="B113" s="116" t="s">
        <v>113</v>
      </c>
      <c r="C113" s="133">
        <v>51059</v>
      </c>
      <c r="D113" s="133">
        <v>44743</v>
      </c>
      <c r="E113" s="133">
        <f t="shared" ref="E113:E124" si="16">D113-C113</f>
        <v>-6316</v>
      </c>
      <c r="F113" s="114">
        <f t="shared" ref="F113:F124" si="17">IF(C113=0,0,E113/C113)</f>
        <v>-0.1237000332948158</v>
      </c>
    </row>
    <row r="114" spans="1:6" x14ac:dyDescent="0.25">
      <c r="A114" s="115">
        <v>2</v>
      </c>
      <c r="B114" s="116" t="s">
        <v>114</v>
      </c>
      <c r="C114" s="133">
        <v>8583</v>
      </c>
      <c r="D114" s="133">
        <v>7617</v>
      </c>
      <c r="E114" s="133">
        <f t="shared" si="16"/>
        <v>-966</v>
      </c>
      <c r="F114" s="114">
        <f t="shared" si="17"/>
        <v>-0.11254806011883957</v>
      </c>
    </row>
    <row r="115" spans="1:6" x14ac:dyDescent="0.25">
      <c r="A115" s="115">
        <v>3</v>
      </c>
      <c r="B115" s="116" t="s">
        <v>115</v>
      </c>
      <c r="C115" s="133">
        <v>15997</v>
      </c>
      <c r="D115" s="133">
        <v>16489</v>
      </c>
      <c r="E115" s="133">
        <f t="shared" si="16"/>
        <v>492</v>
      </c>
      <c r="F115" s="114">
        <f t="shared" si="17"/>
        <v>3.0755766706257424E-2</v>
      </c>
    </row>
    <row r="116" spans="1:6" x14ac:dyDescent="0.25">
      <c r="A116" s="115">
        <v>4</v>
      </c>
      <c r="B116" s="116" t="s">
        <v>116</v>
      </c>
      <c r="C116" s="133">
        <v>0</v>
      </c>
      <c r="D116" s="133">
        <v>0</v>
      </c>
      <c r="E116" s="133">
        <f t="shared" si="16"/>
        <v>0</v>
      </c>
      <c r="F116" s="114">
        <f t="shared" si="17"/>
        <v>0</v>
      </c>
    </row>
    <row r="117" spans="1:6" x14ac:dyDescent="0.25">
      <c r="A117" s="115">
        <v>5</v>
      </c>
      <c r="B117" s="116" t="s">
        <v>117</v>
      </c>
      <c r="C117" s="133">
        <v>72</v>
      </c>
      <c r="D117" s="133">
        <v>80</v>
      </c>
      <c r="E117" s="133">
        <f t="shared" si="16"/>
        <v>8</v>
      </c>
      <c r="F117" s="114">
        <f t="shared" si="17"/>
        <v>0.1111111111111111</v>
      </c>
    </row>
    <row r="118" spans="1:6" x14ac:dyDescent="0.25">
      <c r="A118" s="115">
        <v>6</v>
      </c>
      <c r="B118" s="116" t="s">
        <v>118</v>
      </c>
      <c r="C118" s="133">
        <v>14009</v>
      </c>
      <c r="D118" s="133">
        <v>13506</v>
      </c>
      <c r="E118" s="133">
        <f t="shared" si="16"/>
        <v>-503</v>
      </c>
      <c r="F118" s="114">
        <f t="shared" si="17"/>
        <v>-3.5905489328288957E-2</v>
      </c>
    </row>
    <row r="119" spans="1:6" x14ac:dyDescent="0.25">
      <c r="A119" s="115">
        <v>7</v>
      </c>
      <c r="B119" s="116" t="s">
        <v>119</v>
      </c>
      <c r="C119" s="133">
        <v>11858</v>
      </c>
      <c r="D119" s="133">
        <v>12388</v>
      </c>
      <c r="E119" s="133">
        <f t="shared" si="16"/>
        <v>530</v>
      </c>
      <c r="F119" s="114">
        <f t="shared" si="17"/>
        <v>4.4695564176083655E-2</v>
      </c>
    </row>
    <row r="120" spans="1:6" x14ac:dyDescent="0.25">
      <c r="A120" s="115">
        <v>8</v>
      </c>
      <c r="B120" s="116" t="s">
        <v>120</v>
      </c>
      <c r="C120" s="133">
        <v>252</v>
      </c>
      <c r="D120" s="133">
        <v>306</v>
      </c>
      <c r="E120" s="133">
        <f t="shared" si="16"/>
        <v>54</v>
      </c>
      <c r="F120" s="114">
        <f t="shared" si="17"/>
        <v>0.21428571428571427</v>
      </c>
    </row>
    <row r="121" spans="1:6" x14ac:dyDescent="0.25">
      <c r="A121" s="115">
        <v>9</v>
      </c>
      <c r="B121" s="116" t="s">
        <v>121</v>
      </c>
      <c r="C121" s="133">
        <v>1267</v>
      </c>
      <c r="D121" s="133">
        <v>1254</v>
      </c>
      <c r="E121" s="133">
        <f t="shared" si="16"/>
        <v>-13</v>
      </c>
      <c r="F121" s="114">
        <f t="shared" si="17"/>
        <v>-1.0260457774269928E-2</v>
      </c>
    </row>
    <row r="122" spans="1:6" x14ac:dyDescent="0.25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5">
      <c r="A123" s="115">
        <v>11</v>
      </c>
      <c r="B123" s="116" t="s">
        <v>123</v>
      </c>
      <c r="C123" s="133">
        <v>364</v>
      </c>
      <c r="D123" s="133">
        <v>241</v>
      </c>
      <c r="E123" s="133">
        <f t="shared" si="16"/>
        <v>-123</v>
      </c>
      <c r="F123" s="114">
        <f t="shared" si="17"/>
        <v>-0.33791208791208793</v>
      </c>
    </row>
    <row r="124" spans="1:6" ht="15.6" x14ac:dyDescent="0.3">
      <c r="A124" s="117"/>
      <c r="B124" s="118" t="s">
        <v>140</v>
      </c>
      <c r="C124" s="134">
        <f>SUM(C113:C123)</f>
        <v>103461</v>
      </c>
      <c r="D124" s="134">
        <f>SUM(D113:D123)</f>
        <v>96624</v>
      </c>
      <c r="E124" s="134">
        <f t="shared" si="16"/>
        <v>-6837</v>
      </c>
      <c r="F124" s="120">
        <f t="shared" si="17"/>
        <v>-6.6082871806767765E-2</v>
      </c>
    </row>
    <row r="125" spans="1:6" ht="15.6" x14ac:dyDescent="0.3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5">
      <c r="A126" s="115">
        <v>1</v>
      </c>
      <c r="B126" s="116" t="s">
        <v>113</v>
      </c>
      <c r="C126" s="133">
        <v>70371</v>
      </c>
      <c r="D126" s="133">
        <v>67780</v>
      </c>
      <c r="E126" s="133">
        <f t="shared" ref="E126:E137" si="18">D126-C126</f>
        <v>-2591</v>
      </c>
      <c r="F126" s="114">
        <f t="shared" ref="F126:F137" si="19">IF(C126=0,0,E126/C126)</f>
        <v>-3.6819144249761973E-2</v>
      </c>
    </row>
    <row r="127" spans="1:6" x14ac:dyDescent="0.25">
      <c r="A127" s="115">
        <v>2</v>
      </c>
      <c r="B127" s="116" t="s">
        <v>114</v>
      </c>
      <c r="C127" s="133">
        <v>13468</v>
      </c>
      <c r="D127" s="133">
        <v>14368</v>
      </c>
      <c r="E127" s="133">
        <f t="shared" si="18"/>
        <v>900</v>
      </c>
      <c r="F127" s="114">
        <f t="shared" si="19"/>
        <v>6.6825066825066823E-2</v>
      </c>
    </row>
    <row r="128" spans="1:6" x14ac:dyDescent="0.25">
      <c r="A128" s="115">
        <v>3</v>
      </c>
      <c r="B128" s="116" t="s">
        <v>115</v>
      </c>
      <c r="C128" s="133">
        <v>48548</v>
      </c>
      <c r="D128" s="133">
        <v>45551</v>
      </c>
      <c r="E128" s="133">
        <f t="shared" si="18"/>
        <v>-2997</v>
      </c>
      <c r="F128" s="114">
        <f t="shared" si="19"/>
        <v>-6.1732718134629647E-2</v>
      </c>
    </row>
    <row r="129" spans="1:6" x14ac:dyDescent="0.25">
      <c r="A129" s="115">
        <v>4</v>
      </c>
      <c r="B129" s="116" t="s">
        <v>116</v>
      </c>
      <c r="C129" s="133">
        <v>0</v>
      </c>
      <c r="D129" s="133">
        <v>0</v>
      </c>
      <c r="E129" s="133">
        <f t="shared" si="18"/>
        <v>0</v>
      </c>
      <c r="F129" s="114">
        <f t="shared" si="19"/>
        <v>0</v>
      </c>
    </row>
    <row r="130" spans="1:6" x14ac:dyDescent="0.25">
      <c r="A130" s="115">
        <v>5</v>
      </c>
      <c r="B130" s="116" t="s">
        <v>117</v>
      </c>
      <c r="C130" s="133">
        <v>365</v>
      </c>
      <c r="D130" s="133">
        <v>430</v>
      </c>
      <c r="E130" s="133">
        <f t="shared" si="18"/>
        <v>65</v>
      </c>
      <c r="F130" s="114">
        <f t="shared" si="19"/>
        <v>0.17808219178082191</v>
      </c>
    </row>
    <row r="131" spans="1:6" x14ac:dyDescent="0.25">
      <c r="A131" s="115">
        <v>6</v>
      </c>
      <c r="B131" s="116" t="s">
        <v>118</v>
      </c>
      <c r="C131" s="133">
        <v>49249</v>
      </c>
      <c r="D131" s="133">
        <v>55897</v>
      </c>
      <c r="E131" s="133">
        <f t="shared" si="18"/>
        <v>6648</v>
      </c>
      <c r="F131" s="114">
        <f t="shared" si="19"/>
        <v>0.13498751243680074</v>
      </c>
    </row>
    <row r="132" spans="1:6" x14ac:dyDescent="0.25">
      <c r="A132" s="115">
        <v>7</v>
      </c>
      <c r="B132" s="116" t="s">
        <v>119</v>
      </c>
      <c r="C132" s="133">
        <v>47050</v>
      </c>
      <c r="D132" s="133">
        <v>42739</v>
      </c>
      <c r="E132" s="133">
        <f t="shared" si="18"/>
        <v>-4311</v>
      </c>
      <c r="F132" s="114">
        <f t="shared" si="19"/>
        <v>-9.1625929861849101E-2</v>
      </c>
    </row>
    <row r="133" spans="1:6" x14ac:dyDescent="0.25">
      <c r="A133" s="115">
        <v>8</v>
      </c>
      <c r="B133" s="116" t="s">
        <v>120</v>
      </c>
      <c r="C133" s="133">
        <v>1764</v>
      </c>
      <c r="D133" s="133">
        <v>1618</v>
      </c>
      <c r="E133" s="133">
        <f t="shared" si="18"/>
        <v>-146</v>
      </c>
      <c r="F133" s="114">
        <f t="shared" si="19"/>
        <v>-8.2766439909297052E-2</v>
      </c>
    </row>
    <row r="134" spans="1:6" x14ac:dyDescent="0.25">
      <c r="A134" s="115">
        <v>9</v>
      </c>
      <c r="B134" s="116" t="s">
        <v>121</v>
      </c>
      <c r="C134" s="133">
        <v>12894</v>
      </c>
      <c r="D134" s="133">
        <v>11701</v>
      </c>
      <c r="E134" s="133">
        <f t="shared" si="18"/>
        <v>-1193</v>
      </c>
      <c r="F134" s="114">
        <f t="shared" si="19"/>
        <v>-9.2523654412905221E-2</v>
      </c>
    </row>
    <row r="135" spans="1:6" x14ac:dyDescent="0.25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5">
      <c r="A136" s="115">
        <v>11</v>
      </c>
      <c r="B136" s="116" t="s">
        <v>123</v>
      </c>
      <c r="C136" s="133">
        <v>398</v>
      </c>
      <c r="D136" s="133">
        <v>775</v>
      </c>
      <c r="E136" s="133">
        <f t="shared" si="18"/>
        <v>377</v>
      </c>
      <c r="F136" s="114">
        <f t="shared" si="19"/>
        <v>0.94723618090452266</v>
      </c>
    </row>
    <row r="137" spans="1:6" ht="15.6" x14ac:dyDescent="0.3">
      <c r="A137" s="117"/>
      <c r="B137" s="118" t="s">
        <v>142</v>
      </c>
      <c r="C137" s="134">
        <f>SUM(C126:C136)</f>
        <v>244107</v>
      </c>
      <c r="D137" s="134">
        <f>SUM(D126:D136)</f>
        <v>240859</v>
      </c>
      <c r="E137" s="134">
        <f t="shared" si="18"/>
        <v>-3248</v>
      </c>
      <c r="F137" s="120">
        <f t="shared" si="19"/>
        <v>-1.3305640559262946E-2</v>
      </c>
    </row>
    <row r="138" spans="1:6" x14ac:dyDescent="0.25">
      <c r="A138" s="773" t="s">
        <v>143</v>
      </c>
      <c r="B138" s="775" t="s">
        <v>144</v>
      </c>
      <c r="C138" s="777"/>
      <c r="D138" s="778"/>
      <c r="E138" s="778"/>
      <c r="F138" s="779"/>
    </row>
    <row r="139" spans="1:6" ht="15" customHeight="1" x14ac:dyDescent="0.25">
      <c r="A139" s="774"/>
      <c r="B139" s="776"/>
      <c r="C139" s="780"/>
      <c r="D139" s="781"/>
      <c r="E139" s="781"/>
      <c r="F139" s="782"/>
    </row>
    <row r="140" spans="1:6" ht="15.6" x14ac:dyDescent="0.3">
      <c r="A140" s="110"/>
      <c r="B140" s="111"/>
      <c r="C140" s="112"/>
      <c r="D140" s="112"/>
      <c r="E140" s="112"/>
      <c r="F140" s="112"/>
    </row>
    <row r="141" spans="1:6" ht="31.2" x14ac:dyDescent="0.3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5">
      <c r="A142" s="115">
        <v>1</v>
      </c>
      <c r="B142" s="116" t="s">
        <v>113</v>
      </c>
      <c r="C142" s="113">
        <v>33103288</v>
      </c>
      <c r="D142" s="113">
        <v>35253272</v>
      </c>
      <c r="E142" s="113">
        <f t="shared" ref="E142:E153" si="20">D142-C142</f>
        <v>2149984</v>
      </c>
      <c r="F142" s="114">
        <f t="shared" ref="F142:F153" si="21">IF(C142=0,0,E142/C142)</f>
        <v>6.4947747788678872E-2</v>
      </c>
    </row>
    <row r="143" spans="1:6" x14ac:dyDescent="0.25">
      <c r="A143" s="115">
        <v>2</v>
      </c>
      <c r="B143" s="116" t="s">
        <v>114</v>
      </c>
      <c r="C143" s="113">
        <v>5917482</v>
      </c>
      <c r="D143" s="113">
        <v>7144711</v>
      </c>
      <c r="E143" s="113">
        <f t="shared" si="20"/>
        <v>1227229</v>
      </c>
      <c r="F143" s="114">
        <f t="shared" si="21"/>
        <v>0.20739040693321922</v>
      </c>
    </row>
    <row r="144" spans="1:6" x14ac:dyDescent="0.25">
      <c r="A144" s="115">
        <v>3</v>
      </c>
      <c r="B144" s="116" t="s">
        <v>115</v>
      </c>
      <c r="C144" s="113">
        <v>45275291</v>
      </c>
      <c r="D144" s="113">
        <v>51911921</v>
      </c>
      <c r="E144" s="113">
        <f t="shared" si="20"/>
        <v>6636630</v>
      </c>
      <c r="F144" s="114">
        <f t="shared" si="21"/>
        <v>0.14658392808563064</v>
      </c>
    </row>
    <row r="145" spans="1:6" x14ac:dyDescent="0.25">
      <c r="A145" s="115">
        <v>4</v>
      </c>
      <c r="B145" s="116" t="s">
        <v>116</v>
      </c>
      <c r="C145" s="113">
        <v>0</v>
      </c>
      <c r="D145" s="113">
        <v>0</v>
      </c>
      <c r="E145" s="113">
        <f t="shared" si="20"/>
        <v>0</v>
      </c>
      <c r="F145" s="114">
        <f t="shared" si="21"/>
        <v>0</v>
      </c>
    </row>
    <row r="146" spans="1:6" x14ac:dyDescent="0.25">
      <c r="A146" s="115">
        <v>5</v>
      </c>
      <c r="B146" s="116" t="s">
        <v>117</v>
      </c>
      <c r="C146" s="113">
        <v>495028</v>
      </c>
      <c r="D146" s="113">
        <v>581358</v>
      </c>
      <c r="E146" s="113">
        <f t="shared" si="20"/>
        <v>86330</v>
      </c>
      <c r="F146" s="114">
        <f t="shared" si="21"/>
        <v>0.17439417568299168</v>
      </c>
    </row>
    <row r="147" spans="1:6" x14ac:dyDescent="0.25">
      <c r="A147" s="115">
        <v>6</v>
      </c>
      <c r="B147" s="116" t="s">
        <v>118</v>
      </c>
      <c r="C147" s="113">
        <v>41223040</v>
      </c>
      <c r="D147" s="113">
        <v>47157858</v>
      </c>
      <c r="E147" s="113">
        <f t="shared" si="20"/>
        <v>5934818</v>
      </c>
      <c r="F147" s="114">
        <f t="shared" si="21"/>
        <v>0.14396847005946189</v>
      </c>
    </row>
    <row r="148" spans="1:6" x14ac:dyDescent="0.25">
      <c r="A148" s="115">
        <v>7</v>
      </c>
      <c r="B148" s="116" t="s">
        <v>119</v>
      </c>
      <c r="C148" s="113">
        <v>29619790</v>
      </c>
      <c r="D148" s="113">
        <v>30270868</v>
      </c>
      <c r="E148" s="113">
        <f t="shared" si="20"/>
        <v>651078</v>
      </c>
      <c r="F148" s="114">
        <f t="shared" si="21"/>
        <v>2.1981182175835817E-2</v>
      </c>
    </row>
    <row r="149" spans="1:6" x14ac:dyDescent="0.25">
      <c r="A149" s="115">
        <v>8</v>
      </c>
      <c r="B149" s="116" t="s">
        <v>120</v>
      </c>
      <c r="C149" s="113">
        <v>2953269</v>
      </c>
      <c r="D149" s="113">
        <v>3056854</v>
      </c>
      <c r="E149" s="113">
        <f t="shared" si="20"/>
        <v>103585</v>
      </c>
      <c r="F149" s="114">
        <f t="shared" si="21"/>
        <v>3.5074691807620642E-2</v>
      </c>
    </row>
    <row r="150" spans="1:6" x14ac:dyDescent="0.25">
      <c r="A150" s="115">
        <v>9</v>
      </c>
      <c r="B150" s="116" t="s">
        <v>121</v>
      </c>
      <c r="C150" s="113">
        <v>13524960</v>
      </c>
      <c r="D150" s="113">
        <v>14568606</v>
      </c>
      <c r="E150" s="113">
        <f t="shared" si="20"/>
        <v>1043646</v>
      </c>
      <c r="F150" s="114">
        <f t="shared" si="21"/>
        <v>7.7164442630514252E-2</v>
      </c>
    </row>
    <row r="151" spans="1:6" x14ac:dyDescent="0.25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5">
      <c r="A152" s="115">
        <v>11</v>
      </c>
      <c r="B152" s="116" t="s">
        <v>123</v>
      </c>
      <c r="C152" s="113">
        <v>956325</v>
      </c>
      <c r="D152" s="113">
        <v>1130472</v>
      </c>
      <c r="E152" s="113">
        <f t="shared" si="20"/>
        <v>174147</v>
      </c>
      <c r="F152" s="114">
        <f t="shared" si="21"/>
        <v>0.1821002274331425</v>
      </c>
    </row>
    <row r="153" spans="1:6" ht="33.75" customHeight="1" x14ac:dyDescent="0.3">
      <c r="A153" s="117"/>
      <c r="B153" s="118" t="s">
        <v>146</v>
      </c>
      <c r="C153" s="119">
        <f>SUM(C142:C152)</f>
        <v>173068473</v>
      </c>
      <c r="D153" s="119">
        <f>SUM(D142:D152)</f>
        <v>191075920</v>
      </c>
      <c r="E153" s="119">
        <f t="shared" si="20"/>
        <v>18007447</v>
      </c>
      <c r="F153" s="120">
        <f t="shared" si="21"/>
        <v>0.1040481070171573</v>
      </c>
    </row>
    <row r="154" spans="1:6" ht="31.2" x14ac:dyDescent="0.3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5">
      <c r="A155" s="115">
        <v>1</v>
      </c>
      <c r="B155" s="116" t="s">
        <v>113</v>
      </c>
      <c r="C155" s="113">
        <v>7240404</v>
      </c>
      <c r="D155" s="113">
        <v>5639536</v>
      </c>
      <c r="E155" s="113">
        <f t="shared" ref="E155:E166" si="22">D155-C155</f>
        <v>-1600868</v>
      </c>
      <c r="F155" s="114">
        <f t="shared" ref="F155:F166" si="23">IF(C155=0,0,E155/C155)</f>
        <v>-0.22110202690347114</v>
      </c>
    </row>
    <row r="156" spans="1:6" x14ac:dyDescent="0.25">
      <c r="A156" s="115">
        <v>2</v>
      </c>
      <c r="B156" s="116" t="s">
        <v>114</v>
      </c>
      <c r="C156" s="113">
        <v>1625434</v>
      </c>
      <c r="D156" s="113">
        <v>1484748</v>
      </c>
      <c r="E156" s="113">
        <f t="shared" si="22"/>
        <v>-140686</v>
      </c>
      <c r="F156" s="114">
        <f t="shared" si="23"/>
        <v>-8.655288372213206E-2</v>
      </c>
    </row>
    <row r="157" spans="1:6" x14ac:dyDescent="0.25">
      <c r="A157" s="115">
        <v>3</v>
      </c>
      <c r="B157" s="116" t="s">
        <v>115</v>
      </c>
      <c r="C157" s="113">
        <v>7339060</v>
      </c>
      <c r="D157" s="113">
        <v>8451515</v>
      </c>
      <c r="E157" s="113">
        <f t="shared" si="22"/>
        <v>1112455</v>
      </c>
      <c r="F157" s="114">
        <f t="shared" si="23"/>
        <v>0.15158003886056254</v>
      </c>
    </row>
    <row r="158" spans="1:6" x14ac:dyDescent="0.25">
      <c r="A158" s="115">
        <v>4</v>
      </c>
      <c r="B158" s="116" t="s">
        <v>116</v>
      </c>
      <c r="C158" s="113">
        <v>0</v>
      </c>
      <c r="D158" s="113">
        <v>0</v>
      </c>
      <c r="E158" s="113">
        <f t="shared" si="22"/>
        <v>0</v>
      </c>
      <c r="F158" s="114">
        <f t="shared" si="23"/>
        <v>0</v>
      </c>
    </row>
    <row r="159" spans="1:6" x14ac:dyDescent="0.25">
      <c r="A159" s="115">
        <v>5</v>
      </c>
      <c r="B159" s="116" t="s">
        <v>117</v>
      </c>
      <c r="C159" s="113">
        <v>161874</v>
      </c>
      <c r="D159" s="113">
        <v>115002</v>
      </c>
      <c r="E159" s="113">
        <f t="shared" si="22"/>
        <v>-46872</v>
      </c>
      <c r="F159" s="114">
        <f t="shared" si="23"/>
        <v>-0.28955854553541643</v>
      </c>
    </row>
    <row r="160" spans="1:6" x14ac:dyDescent="0.25">
      <c r="A160" s="115">
        <v>6</v>
      </c>
      <c r="B160" s="116" t="s">
        <v>118</v>
      </c>
      <c r="C160" s="113">
        <v>24891697</v>
      </c>
      <c r="D160" s="113">
        <v>27023886</v>
      </c>
      <c r="E160" s="113">
        <f t="shared" si="22"/>
        <v>2132189</v>
      </c>
      <c r="F160" s="114">
        <f t="shared" si="23"/>
        <v>8.5658643522777897E-2</v>
      </c>
    </row>
    <row r="161" spans="1:6" x14ac:dyDescent="0.25">
      <c r="A161" s="115">
        <v>7</v>
      </c>
      <c r="B161" s="116" t="s">
        <v>119</v>
      </c>
      <c r="C161" s="113">
        <v>16895615</v>
      </c>
      <c r="D161" s="113">
        <v>18742714</v>
      </c>
      <c r="E161" s="113">
        <f t="shared" si="22"/>
        <v>1847099</v>
      </c>
      <c r="F161" s="114">
        <f t="shared" si="23"/>
        <v>0.10932416487946725</v>
      </c>
    </row>
    <row r="162" spans="1:6" x14ac:dyDescent="0.25">
      <c r="A162" s="115">
        <v>8</v>
      </c>
      <c r="B162" s="116" t="s">
        <v>120</v>
      </c>
      <c r="C162" s="113">
        <v>2031731</v>
      </c>
      <c r="D162" s="113">
        <v>1751735</v>
      </c>
      <c r="E162" s="113">
        <f t="shared" si="22"/>
        <v>-279996</v>
      </c>
      <c r="F162" s="114">
        <f t="shared" si="23"/>
        <v>-0.13781155084014568</v>
      </c>
    </row>
    <row r="163" spans="1:6" x14ac:dyDescent="0.25">
      <c r="A163" s="115">
        <v>9</v>
      </c>
      <c r="B163" s="116" t="s">
        <v>121</v>
      </c>
      <c r="C163" s="113">
        <v>1930053</v>
      </c>
      <c r="D163" s="113">
        <v>1690028</v>
      </c>
      <c r="E163" s="113">
        <f t="shared" si="22"/>
        <v>-240025</v>
      </c>
      <c r="F163" s="114">
        <f t="shared" si="23"/>
        <v>-0.12436186985538739</v>
      </c>
    </row>
    <row r="164" spans="1:6" x14ac:dyDescent="0.25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5">
      <c r="A165" s="115">
        <v>11</v>
      </c>
      <c r="B165" s="116" t="s">
        <v>123</v>
      </c>
      <c r="C165" s="113">
        <v>148832</v>
      </c>
      <c r="D165" s="113">
        <v>111046</v>
      </c>
      <c r="E165" s="113">
        <f t="shared" si="22"/>
        <v>-37786</v>
      </c>
      <c r="F165" s="114">
        <f t="shared" si="23"/>
        <v>-0.2538835734250699</v>
      </c>
    </row>
    <row r="166" spans="1:6" ht="33.75" customHeight="1" x14ac:dyDescent="0.3">
      <c r="A166" s="117"/>
      <c r="B166" s="118" t="s">
        <v>148</v>
      </c>
      <c r="C166" s="119">
        <f>SUM(C155:C165)</f>
        <v>62264700</v>
      </c>
      <c r="D166" s="119">
        <f>SUM(D155:D165)</f>
        <v>65010210</v>
      </c>
      <c r="E166" s="119">
        <f t="shared" si="22"/>
        <v>2745510</v>
      </c>
      <c r="F166" s="120">
        <f t="shared" si="23"/>
        <v>4.4094165715084149E-2</v>
      </c>
    </row>
    <row r="167" spans="1:6" ht="15.6" x14ac:dyDescent="0.3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5">
      <c r="A168" s="115">
        <v>1</v>
      </c>
      <c r="B168" s="116" t="s">
        <v>113</v>
      </c>
      <c r="C168" s="133">
        <v>11320</v>
      </c>
      <c r="D168" s="133">
        <v>10843</v>
      </c>
      <c r="E168" s="133">
        <f t="shared" ref="E168:E179" si="24">D168-C168</f>
        <v>-477</v>
      </c>
      <c r="F168" s="114">
        <f t="shared" ref="F168:F179" si="25">IF(C168=0,0,E168/C168)</f>
        <v>-4.2137809187279149E-2</v>
      </c>
    </row>
    <row r="169" spans="1:6" x14ac:dyDescent="0.25">
      <c r="A169" s="115">
        <v>2</v>
      </c>
      <c r="B169" s="116" t="s">
        <v>114</v>
      </c>
      <c r="C169" s="133">
        <v>1933</v>
      </c>
      <c r="D169" s="133">
        <v>2227</v>
      </c>
      <c r="E169" s="133">
        <f t="shared" si="24"/>
        <v>294</v>
      </c>
      <c r="F169" s="114">
        <f t="shared" si="25"/>
        <v>0.15209518882565959</v>
      </c>
    </row>
    <row r="170" spans="1:6" x14ac:dyDescent="0.25">
      <c r="A170" s="115">
        <v>3</v>
      </c>
      <c r="B170" s="116" t="s">
        <v>115</v>
      </c>
      <c r="C170" s="133">
        <v>22394</v>
      </c>
      <c r="D170" s="133">
        <v>22903</v>
      </c>
      <c r="E170" s="133">
        <f t="shared" si="24"/>
        <v>509</v>
      </c>
      <c r="F170" s="114">
        <f t="shared" si="25"/>
        <v>2.2729302491738858E-2</v>
      </c>
    </row>
    <row r="171" spans="1:6" x14ac:dyDescent="0.25">
      <c r="A171" s="115">
        <v>4</v>
      </c>
      <c r="B171" s="116" t="s">
        <v>116</v>
      </c>
      <c r="C171" s="133">
        <v>0</v>
      </c>
      <c r="D171" s="133">
        <v>0</v>
      </c>
      <c r="E171" s="133">
        <f t="shared" si="24"/>
        <v>0</v>
      </c>
      <c r="F171" s="114">
        <f t="shared" si="25"/>
        <v>0</v>
      </c>
    </row>
    <row r="172" spans="1:6" x14ac:dyDescent="0.25">
      <c r="A172" s="115">
        <v>5</v>
      </c>
      <c r="B172" s="116" t="s">
        <v>117</v>
      </c>
      <c r="C172" s="133">
        <v>197</v>
      </c>
      <c r="D172" s="133">
        <v>236</v>
      </c>
      <c r="E172" s="133">
        <f t="shared" si="24"/>
        <v>39</v>
      </c>
      <c r="F172" s="114">
        <f t="shared" si="25"/>
        <v>0.19796954314720813</v>
      </c>
    </row>
    <row r="173" spans="1:6" x14ac:dyDescent="0.25">
      <c r="A173" s="115">
        <v>6</v>
      </c>
      <c r="B173" s="116" t="s">
        <v>118</v>
      </c>
      <c r="C173" s="133">
        <v>15163</v>
      </c>
      <c r="D173" s="133">
        <v>16012</v>
      </c>
      <c r="E173" s="133">
        <f t="shared" si="24"/>
        <v>849</v>
      </c>
      <c r="F173" s="114">
        <f t="shared" si="25"/>
        <v>5.5991558398733758E-2</v>
      </c>
    </row>
    <row r="174" spans="1:6" x14ac:dyDescent="0.25">
      <c r="A174" s="115">
        <v>7</v>
      </c>
      <c r="B174" s="116" t="s">
        <v>119</v>
      </c>
      <c r="C174" s="133">
        <v>11166</v>
      </c>
      <c r="D174" s="133">
        <v>10511</v>
      </c>
      <c r="E174" s="133">
        <f t="shared" si="24"/>
        <v>-655</v>
      </c>
      <c r="F174" s="114">
        <f t="shared" si="25"/>
        <v>-5.8660218520508685E-2</v>
      </c>
    </row>
    <row r="175" spans="1:6" x14ac:dyDescent="0.25">
      <c r="A175" s="115">
        <v>8</v>
      </c>
      <c r="B175" s="116" t="s">
        <v>120</v>
      </c>
      <c r="C175" s="133">
        <v>1411</v>
      </c>
      <c r="D175" s="133">
        <v>1346</v>
      </c>
      <c r="E175" s="133">
        <f t="shared" si="24"/>
        <v>-65</v>
      </c>
      <c r="F175" s="114">
        <f t="shared" si="25"/>
        <v>-4.606661941885188E-2</v>
      </c>
    </row>
    <row r="176" spans="1:6" x14ac:dyDescent="0.25">
      <c r="A176" s="115">
        <v>9</v>
      </c>
      <c r="B176" s="116" t="s">
        <v>121</v>
      </c>
      <c r="C176" s="133">
        <v>5905</v>
      </c>
      <c r="D176" s="133">
        <v>5592</v>
      </c>
      <c r="E176" s="133">
        <f t="shared" si="24"/>
        <v>-313</v>
      </c>
      <c r="F176" s="114">
        <f t="shared" si="25"/>
        <v>-5.3005927180355628E-2</v>
      </c>
    </row>
    <row r="177" spans="1:6" x14ac:dyDescent="0.25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5">
      <c r="A178" s="115">
        <v>11</v>
      </c>
      <c r="B178" s="116" t="s">
        <v>123</v>
      </c>
      <c r="C178" s="133">
        <v>444</v>
      </c>
      <c r="D178" s="133">
        <v>472</v>
      </c>
      <c r="E178" s="133">
        <f t="shared" si="24"/>
        <v>28</v>
      </c>
      <c r="F178" s="114">
        <f t="shared" si="25"/>
        <v>6.3063063063063057E-2</v>
      </c>
    </row>
    <row r="179" spans="1:6" ht="33.75" customHeight="1" x14ac:dyDescent="0.3">
      <c r="A179" s="117"/>
      <c r="B179" s="118" t="s">
        <v>150</v>
      </c>
      <c r="C179" s="134">
        <f>SUM(C168:C178)</f>
        <v>69933</v>
      </c>
      <c r="D179" s="134">
        <f>SUM(D168:D178)</f>
        <v>70142</v>
      </c>
      <c r="E179" s="134">
        <f t="shared" si="24"/>
        <v>209</v>
      </c>
      <c r="F179" s="120">
        <f t="shared" si="25"/>
        <v>2.988574778716772E-3</v>
      </c>
    </row>
  </sheetData>
  <mergeCells count="23"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  <mergeCell ref="A10:A11"/>
    <mergeCell ref="B10:B11"/>
    <mergeCell ref="C10:F11"/>
    <mergeCell ref="A39:A40"/>
    <mergeCell ref="B39:B40"/>
    <mergeCell ref="C39:F40"/>
    <mergeCell ref="A2:F2"/>
    <mergeCell ref="A3:F3"/>
    <mergeCell ref="A4:F4"/>
    <mergeCell ref="A5:F5"/>
    <mergeCell ref="C9:F9"/>
  </mergeCells>
  <printOptions gridLines="1"/>
  <pageMargins left="0.25" right="0.25" top="0.5" bottom="0.5" header="0.25" footer="0.25"/>
  <pageSetup scale="76" fitToHeight="0" orientation="portrait" horizontalDpi="1200" verticalDpi="1200" r:id="rId1"/>
  <headerFooter>
    <oddHeader>&amp;LOFFICE OF HEALTH CARE ACCESS&amp;CTWELVE MONTHS ACTUAL FILING&amp;RDANBURY HOSPITAL</oddHeader>
    <oddFooter>&amp;LREPORT 100&amp;CPAGE &amp;P of &amp;N&amp;R&amp;D, 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1"/>
  <sheetViews>
    <sheetView topLeftCell="B1" zoomScale="75" workbookViewId="0">
      <selection sqref="A1:F1"/>
    </sheetView>
  </sheetViews>
  <sheetFormatPr defaultColWidth="9.109375" defaultRowHeight="15" customHeight="1" x14ac:dyDescent="0.25"/>
  <cols>
    <col min="1" max="1" width="8.88671875" style="137" bestFit="1" customWidth="1"/>
    <col min="2" max="2" width="54.88671875" style="137" customWidth="1"/>
    <col min="3" max="3" width="18.33203125" style="172" customWidth="1"/>
    <col min="4" max="4" width="18.109375" style="137" customWidth="1"/>
    <col min="5" max="5" width="19" style="137" bestFit="1" customWidth="1"/>
    <col min="6" max="6" width="17.44140625" style="137" customWidth="1"/>
    <col min="7" max="7" width="101.6640625" style="137" customWidth="1"/>
    <col min="8" max="16384" width="9.109375" style="137"/>
  </cols>
  <sheetData>
    <row r="1" spans="1:6" ht="18" customHeight="1" x14ac:dyDescent="0.3">
      <c r="A1" s="783"/>
      <c r="B1" s="784"/>
      <c r="C1" s="784"/>
      <c r="D1" s="784"/>
      <c r="E1" s="784"/>
      <c r="F1" s="785"/>
    </row>
    <row r="2" spans="1:6" ht="15.75" customHeight="1" x14ac:dyDescent="0.3">
      <c r="A2" s="783" t="s">
        <v>0</v>
      </c>
      <c r="B2" s="784"/>
      <c r="C2" s="784"/>
      <c r="D2" s="784"/>
      <c r="E2" s="784"/>
      <c r="F2" s="785"/>
    </row>
    <row r="3" spans="1:6" ht="15.75" customHeight="1" x14ac:dyDescent="0.3">
      <c r="A3" s="783" t="s">
        <v>1</v>
      </c>
      <c r="B3" s="784"/>
      <c r="C3" s="784"/>
      <c r="D3" s="784"/>
      <c r="E3" s="784"/>
      <c r="F3" s="785"/>
    </row>
    <row r="4" spans="1:6" ht="15.75" customHeight="1" x14ac:dyDescent="0.3">
      <c r="A4" s="783" t="s">
        <v>2</v>
      </c>
      <c r="B4" s="784"/>
      <c r="C4" s="784"/>
      <c r="D4" s="784"/>
      <c r="E4" s="784"/>
      <c r="F4" s="785"/>
    </row>
    <row r="5" spans="1:6" ht="15.75" customHeight="1" x14ac:dyDescent="0.3">
      <c r="A5" s="783" t="s">
        <v>151</v>
      </c>
      <c r="B5" s="784"/>
      <c r="C5" s="784"/>
      <c r="D5" s="784"/>
      <c r="E5" s="784"/>
      <c r="F5" s="785"/>
    </row>
    <row r="6" spans="1:6" ht="15.75" customHeight="1" x14ac:dyDescent="0.3">
      <c r="A6" s="783"/>
      <c r="B6" s="784"/>
      <c r="C6" s="784"/>
      <c r="D6" s="784"/>
      <c r="E6" s="784"/>
      <c r="F6" s="785"/>
    </row>
    <row r="7" spans="1:6" ht="15" customHeight="1" x14ac:dyDescent="0.3">
      <c r="A7" s="783"/>
      <c r="B7" s="784"/>
      <c r="C7" s="784"/>
      <c r="D7" s="784"/>
      <c r="E7" s="784"/>
      <c r="F7" s="785"/>
    </row>
    <row r="8" spans="1:6" ht="15.75" customHeight="1" x14ac:dyDescent="0.3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3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3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3">
      <c r="A11" s="147"/>
      <c r="B11" s="148"/>
      <c r="C11" s="149"/>
      <c r="D11" s="149"/>
      <c r="E11" s="150"/>
      <c r="F11" s="151"/>
    </row>
    <row r="12" spans="1:6" ht="15.75" customHeight="1" x14ac:dyDescent="0.3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3">
      <c r="A13" s="147"/>
      <c r="B13" s="148"/>
      <c r="C13" s="149"/>
      <c r="D13" s="149"/>
      <c r="E13" s="149"/>
      <c r="F13" s="149"/>
    </row>
    <row r="14" spans="1:6" ht="15.75" customHeight="1" x14ac:dyDescent="0.3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5">
      <c r="A15" s="147">
        <v>1</v>
      </c>
      <c r="B15" s="160" t="s">
        <v>156</v>
      </c>
      <c r="C15" s="157">
        <v>74150000</v>
      </c>
      <c r="D15" s="157">
        <v>65676000</v>
      </c>
      <c r="E15" s="157">
        <f>+D15-C15</f>
        <v>-8474000</v>
      </c>
      <c r="F15" s="161">
        <f>IF(C15=0,0,E15/C15)</f>
        <v>-0.11428186109238031</v>
      </c>
    </row>
    <row r="16" spans="1:6" ht="15" customHeight="1" x14ac:dyDescent="0.25">
      <c r="A16" s="147">
        <v>2</v>
      </c>
      <c r="B16" s="160" t="s">
        <v>157</v>
      </c>
      <c r="C16" s="157">
        <v>9523000</v>
      </c>
      <c r="D16" s="157">
        <v>8388000</v>
      </c>
      <c r="E16" s="157">
        <f>+D16-C16</f>
        <v>-1135000</v>
      </c>
      <c r="F16" s="161">
        <f>IF(C16=0,0,E16/C16)</f>
        <v>-0.11918513073611257</v>
      </c>
    </row>
    <row r="17" spans="1:6" ht="15" customHeight="1" x14ac:dyDescent="0.25">
      <c r="A17" s="147">
        <v>3</v>
      </c>
      <c r="B17" s="160" t="s">
        <v>158</v>
      </c>
      <c r="C17" s="157">
        <v>138094000</v>
      </c>
      <c r="D17" s="157">
        <v>145262000</v>
      </c>
      <c r="E17" s="157">
        <f>+D17-C17</f>
        <v>7168000</v>
      </c>
      <c r="F17" s="161">
        <f>IF(C17=0,0,E17/C17)</f>
        <v>5.1906672266716872E-2</v>
      </c>
    </row>
    <row r="18" spans="1:6" ht="15.75" customHeight="1" x14ac:dyDescent="0.3">
      <c r="A18" s="147"/>
      <c r="B18" s="162" t="s">
        <v>159</v>
      </c>
      <c r="C18" s="158">
        <f>SUM(C15:C17)</f>
        <v>221767000</v>
      </c>
      <c r="D18" s="158">
        <f>SUM(D15:D17)</f>
        <v>219326000</v>
      </c>
      <c r="E18" s="158">
        <f>+D18-C18</f>
        <v>-2441000</v>
      </c>
      <c r="F18" s="159">
        <f>IF(C18=0,0,E18/C18)</f>
        <v>-1.100704793770038E-2</v>
      </c>
    </row>
    <row r="19" spans="1:6" ht="15.75" customHeight="1" x14ac:dyDescent="0.3">
      <c r="A19" s="147"/>
      <c r="B19" s="163"/>
      <c r="C19" s="157"/>
      <c r="D19" s="157"/>
      <c r="E19" s="158"/>
      <c r="F19" s="159"/>
    </row>
    <row r="20" spans="1:6" ht="15.75" customHeight="1" x14ac:dyDescent="0.3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5">
      <c r="A21" s="147">
        <v>1</v>
      </c>
      <c r="B21" s="160" t="s">
        <v>161</v>
      </c>
      <c r="C21" s="157">
        <v>18911000</v>
      </c>
      <c r="D21" s="157">
        <v>17612000</v>
      </c>
      <c r="E21" s="157">
        <f>+D21-C21</f>
        <v>-1299000</v>
      </c>
      <c r="F21" s="161">
        <f>IF(C21=0,0,E21/C21)</f>
        <v>-6.8690180318333252E-2</v>
      </c>
    </row>
    <row r="22" spans="1:6" ht="15" customHeight="1" x14ac:dyDescent="0.25">
      <c r="A22" s="147">
        <v>2</v>
      </c>
      <c r="B22" s="160" t="s">
        <v>162</v>
      </c>
      <c r="C22" s="157">
        <v>2429000</v>
      </c>
      <c r="D22" s="157">
        <v>2249000</v>
      </c>
      <c r="E22" s="157">
        <f>+D22-C22</f>
        <v>-180000</v>
      </c>
      <c r="F22" s="161">
        <f>IF(C22=0,0,E22/C22)</f>
        <v>-7.4104569781803215E-2</v>
      </c>
    </row>
    <row r="23" spans="1:6" ht="15" customHeight="1" x14ac:dyDescent="0.25">
      <c r="A23" s="147">
        <v>3</v>
      </c>
      <c r="B23" s="160" t="s">
        <v>163</v>
      </c>
      <c r="C23" s="157">
        <v>35220000</v>
      </c>
      <c r="D23" s="157">
        <v>38953000</v>
      </c>
      <c r="E23" s="157">
        <f>+D23-C23</f>
        <v>3733000</v>
      </c>
      <c r="F23" s="161">
        <f>IF(C23=0,0,E23/C23)</f>
        <v>0.10599091425326519</v>
      </c>
    </row>
    <row r="24" spans="1:6" ht="15.75" customHeight="1" x14ac:dyDescent="0.3">
      <c r="A24" s="147"/>
      <c r="B24" s="162" t="s">
        <v>164</v>
      </c>
      <c r="C24" s="158">
        <f>SUM(C21:C23)</f>
        <v>56560000</v>
      </c>
      <c r="D24" s="158">
        <f>SUM(D21:D23)</f>
        <v>58814000</v>
      </c>
      <c r="E24" s="158">
        <f>+D24-C24</f>
        <v>2254000</v>
      </c>
      <c r="F24" s="159">
        <f>IF(C24=0,0,E24/C24)</f>
        <v>3.9851485148514852E-2</v>
      </c>
    </row>
    <row r="25" spans="1:6" ht="15.75" customHeight="1" x14ac:dyDescent="0.3">
      <c r="A25" s="147"/>
      <c r="B25" s="163"/>
      <c r="C25" s="157"/>
      <c r="D25" s="157"/>
      <c r="E25" s="158"/>
      <c r="F25" s="159"/>
    </row>
    <row r="26" spans="1:6" ht="15.75" customHeight="1" x14ac:dyDescent="0.3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5">
      <c r="A27" s="147">
        <v>1</v>
      </c>
      <c r="B27" s="160" t="s">
        <v>166</v>
      </c>
      <c r="C27" s="157">
        <v>2408282</v>
      </c>
      <c r="D27" s="157">
        <v>391000</v>
      </c>
      <c r="E27" s="157">
        <f>+D27-C27</f>
        <v>-2017282</v>
      </c>
      <c r="F27" s="161">
        <f>IF(C27=0,0,E27/C27)</f>
        <v>-0.83764359821648793</v>
      </c>
    </row>
    <row r="28" spans="1:6" ht="15" customHeight="1" x14ac:dyDescent="0.25">
      <c r="A28" s="147">
        <v>2</v>
      </c>
      <c r="B28" s="160" t="s">
        <v>167</v>
      </c>
      <c r="C28" s="157">
        <v>74824000</v>
      </c>
      <c r="D28" s="157">
        <v>83996000</v>
      </c>
      <c r="E28" s="157">
        <f>+D28-C28</f>
        <v>9172000</v>
      </c>
      <c r="F28" s="161">
        <f>IF(C28=0,0,E28/C28)</f>
        <v>0.12258099005666631</v>
      </c>
    </row>
    <row r="29" spans="1:6" ht="15" customHeight="1" x14ac:dyDescent="0.25">
      <c r="A29" s="147">
        <v>3</v>
      </c>
      <c r="B29" s="160" t="s">
        <v>168</v>
      </c>
      <c r="C29" s="157">
        <v>1536849</v>
      </c>
      <c r="D29" s="157">
        <v>1506000</v>
      </c>
      <c r="E29" s="157">
        <f>+D29-C29</f>
        <v>-30849</v>
      </c>
      <c r="F29" s="161">
        <f>IF(C29=0,0,E29/C29)</f>
        <v>-2.0072889399023585E-2</v>
      </c>
    </row>
    <row r="30" spans="1:6" ht="15.75" customHeight="1" x14ac:dyDescent="0.3">
      <c r="A30" s="147"/>
      <c r="B30" s="162" t="s">
        <v>169</v>
      </c>
      <c r="C30" s="158">
        <f>SUM(C27:C29)</f>
        <v>78769131</v>
      </c>
      <c r="D30" s="158">
        <f>SUM(D27:D29)</f>
        <v>85893000</v>
      </c>
      <c r="E30" s="158">
        <f>+D30-C30</f>
        <v>7123869</v>
      </c>
      <c r="F30" s="159">
        <f>IF(C30=0,0,E30/C30)</f>
        <v>9.0439857715327601E-2</v>
      </c>
    </row>
    <row r="31" spans="1:6" ht="15.75" customHeight="1" x14ac:dyDescent="0.3">
      <c r="A31" s="147"/>
      <c r="B31" s="163"/>
      <c r="C31" s="157"/>
      <c r="D31" s="157"/>
      <c r="E31" s="158"/>
      <c r="F31" s="159"/>
    </row>
    <row r="32" spans="1:6" ht="15.75" customHeight="1" x14ac:dyDescent="0.3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5">
      <c r="A33" s="147">
        <v>1</v>
      </c>
      <c r="B33" s="160" t="s">
        <v>172</v>
      </c>
      <c r="C33" s="157">
        <v>53846000</v>
      </c>
      <c r="D33" s="157">
        <v>50576000</v>
      </c>
      <c r="E33" s="157">
        <f>+D33-C33</f>
        <v>-3270000</v>
      </c>
      <c r="F33" s="161">
        <f>IF(C33=0,0,E33/C33)</f>
        <v>-6.0728744939271252E-2</v>
      </c>
    </row>
    <row r="34" spans="1:6" ht="15" customHeight="1" x14ac:dyDescent="0.25">
      <c r="A34" s="147">
        <v>2</v>
      </c>
      <c r="B34" s="160" t="s">
        <v>173</v>
      </c>
      <c r="C34" s="157">
        <v>34845000</v>
      </c>
      <c r="D34" s="157">
        <v>41385000</v>
      </c>
      <c r="E34" s="157">
        <f>+D34-C34</f>
        <v>6540000</v>
      </c>
      <c r="F34" s="161">
        <f>IF(C34=0,0,E34/C34)</f>
        <v>0.18768833405079638</v>
      </c>
    </row>
    <row r="35" spans="1:6" ht="15.75" customHeight="1" x14ac:dyDescent="0.3">
      <c r="A35" s="147"/>
      <c r="B35" s="162" t="s">
        <v>174</v>
      </c>
      <c r="C35" s="158">
        <f>SUM(C33:C34)</f>
        <v>88691000</v>
      </c>
      <c r="D35" s="158">
        <f>SUM(D33:D34)</f>
        <v>91961000</v>
      </c>
      <c r="E35" s="158">
        <f>+D35-C35</f>
        <v>3270000</v>
      </c>
      <c r="F35" s="159">
        <f>IF(C35=0,0,E35/C35)</f>
        <v>3.6869580904488615E-2</v>
      </c>
    </row>
    <row r="36" spans="1:6" ht="15.75" customHeight="1" x14ac:dyDescent="0.3">
      <c r="A36" s="147"/>
      <c r="B36" s="163"/>
      <c r="C36" s="157"/>
      <c r="D36" s="157"/>
      <c r="E36" s="158"/>
      <c r="F36" s="159"/>
    </row>
    <row r="37" spans="1:6" ht="15.75" customHeight="1" x14ac:dyDescent="0.3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5">
      <c r="A38" s="147">
        <v>1</v>
      </c>
      <c r="B38" s="160" t="s">
        <v>177</v>
      </c>
      <c r="C38" s="157">
        <v>20236000</v>
      </c>
      <c r="D38" s="157">
        <v>20846000</v>
      </c>
      <c r="E38" s="157">
        <f>+D38-C38</f>
        <v>610000</v>
      </c>
      <c r="F38" s="161">
        <f>IF(C38=0,0,E38/C38)</f>
        <v>3.0144297291954933E-2</v>
      </c>
    </row>
    <row r="39" spans="1:6" ht="15" customHeight="1" x14ac:dyDescent="0.25">
      <c r="A39" s="147">
        <v>2</v>
      </c>
      <c r="B39" s="160" t="s">
        <v>178</v>
      </c>
      <c r="C39" s="157">
        <v>24678000</v>
      </c>
      <c r="D39" s="157">
        <v>25640000</v>
      </c>
      <c r="E39" s="157">
        <f>+D39-C39</f>
        <v>962000</v>
      </c>
      <c r="F39" s="161">
        <f>IF(C39=0,0,E39/C39)</f>
        <v>3.8982089310316881E-2</v>
      </c>
    </row>
    <row r="40" spans="1:6" ht="15" customHeight="1" x14ac:dyDescent="0.25">
      <c r="A40" s="147">
        <v>3</v>
      </c>
      <c r="B40" s="160" t="s">
        <v>179</v>
      </c>
      <c r="C40" s="157">
        <v>460000</v>
      </c>
      <c r="D40" s="157">
        <v>234000</v>
      </c>
      <c r="E40" s="157">
        <f>+D40-C40</f>
        <v>-226000</v>
      </c>
      <c r="F40" s="161">
        <f>IF(C40=0,0,E40/C40)</f>
        <v>-0.49130434782608695</v>
      </c>
    </row>
    <row r="41" spans="1:6" ht="15.75" customHeight="1" x14ac:dyDescent="0.3">
      <c r="A41" s="147"/>
      <c r="B41" s="162" t="s">
        <v>180</v>
      </c>
      <c r="C41" s="158">
        <f>SUM(C38:C40)</f>
        <v>45374000</v>
      </c>
      <c r="D41" s="158">
        <f>SUM(D38:D40)</f>
        <v>46720000</v>
      </c>
      <c r="E41" s="158">
        <f>+D41-C41</f>
        <v>1346000</v>
      </c>
      <c r="F41" s="159">
        <f>IF(C41=0,0,E41/C41)</f>
        <v>2.9664565610261383E-2</v>
      </c>
    </row>
    <row r="42" spans="1:6" ht="15.75" customHeight="1" x14ac:dyDescent="0.3">
      <c r="A42" s="147"/>
      <c r="B42" s="163"/>
      <c r="C42" s="157"/>
      <c r="D42" s="157"/>
      <c r="E42" s="158"/>
      <c r="F42" s="159"/>
    </row>
    <row r="43" spans="1:6" ht="15.75" customHeight="1" x14ac:dyDescent="0.3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5">
      <c r="A44" s="147">
        <v>1</v>
      </c>
      <c r="B44" s="160" t="s">
        <v>87</v>
      </c>
      <c r="C44" s="157">
        <v>0</v>
      </c>
      <c r="D44" s="157">
        <v>0</v>
      </c>
      <c r="E44" s="157">
        <f>+D44-C44</f>
        <v>0</v>
      </c>
      <c r="F44" s="161">
        <f>IF(C44=0,0,E44/C44)</f>
        <v>0</v>
      </c>
    </row>
    <row r="45" spans="1:6" ht="15.75" customHeight="1" x14ac:dyDescent="0.3">
      <c r="A45" s="147"/>
      <c r="B45" s="163"/>
      <c r="C45" s="157"/>
      <c r="D45" s="157"/>
      <c r="E45" s="158"/>
      <c r="F45" s="159"/>
    </row>
    <row r="46" spans="1:6" ht="15.75" customHeight="1" x14ac:dyDescent="0.3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5">
      <c r="A47" s="147">
        <v>1</v>
      </c>
      <c r="B47" s="160" t="s">
        <v>88</v>
      </c>
      <c r="C47" s="157">
        <v>7442000</v>
      </c>
      <c r="D47" s="157">
        <v>7341000</v>
      </c>
      <c r="E47" s="157">
        <f>+D47-C47</f>
        <v>-101000</v>
      </c>
      <c r="F47" s="161">
        <f>IF(C47=0,0,E47/C47)</f>
        <v>-1.3571620532115023E-2</v>
      </c>
    </row>
    <row r="48" spans="1:6" ht="15.75" customHeight="1" x14ac:dyDescent="0.3">
      <c r="A48" s="147"/>
      <c r="B48" s="163"/>
      <c r="C48" s="157"/>
      <c r="D48" s="157"/>
      <c r="E48" s="158"/>
      <c r="F48" s="159"/>
    </row>
    <row r="49" spans="1:6" ht="15.75" customHeight="1" x14ac:dyDescent="0.3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5">
      <c r="A50" s="147">
        <v>1</v>
      </c>
      <c r="B50" s="160" t="s">
        <v>89</v>
      </c>
      <c r="C50" s="157">
        <v>10110000</v>
      </c>
      <c r="D50" s="157">
        <v>6738000</v>
      </c>
      <c r="E50" s="157">
        <f>+D50-C50</f>
        <v>-3372000</v>
      </c>
      <c r="F50" s="161">
        <f>IF(C50=0,0,E50/C50)</f>
        <v>-0.33353115727002969</v>
      </c>
    </row>
    <row r="51" spans="1:6" ht="15.75" customHeight="1" x14ac:dyDescent="0.3">
      <c r="A51" s="147"/>
      <c r="B51" s="163"/>
      <c r="C51" s="157"/>
      <c r="D51" s="157"/>
      <c r="E51" s="158"/>
      <c r="F51" s="159"/>
    </row>
    <row r="52" spans="1:6" ht="15.75" customHeight="1" x14ac:dyDescent="0.3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5">
      <c r="A53" s="147">
        <v>1</v>
      </c>
      <c r="B53" s="160" t="s">
        <v>188</v>
      </c>
      <c r="C53" s="157">
        <v>627571</v>
      </c>
      <c r="D53" s="157">
        <v>753000</v>
      </c>
      <c r="E53" s="157">
        <f t="shared" ref="E53:E59" si="0">+D53-C53</f>
        <v>125429</v>
      </c>
      <c r="F53" s="161">
        <f t="shared" ref="F53:F59" si="1">IF(C53=0,0,E53/C53)</f>
        <v>0.19986423846863541</v>
      </c>
    </row>
    <row r="54" spans="1:6" ht="15" customHeight="1" x14ac:dyDescent="0.25">
      <c r="A54" s="147">
        <v>2</v>
      </c>
      <c r="B54" s="160" t="s">
        <v>189</v>
      </c>
      <c r="C54" s="157">
        <v>264812</v>
      </c>
      <c r="D54" s="157">
        <v>232000</v>
      </c>
      <c r="E54" s="157">
        <f t="shared" si="0"/>
        <v>-32812</v>
      </c>
      <c r="F54" s="161">
        <f t="shared" si="1"/>
        <v>-0.12390677159645333</v>
      </c>
    </row>
    <row r="55" spans="1:6" ht="15" customHeight="1" x14ac:dyDescent="0.25">
      <c r="A55" s="147">
        <v>3</v>
      </c>
      <c r="B55" s="160" t="s">
        <v>190</v>
      </c>
      <c r="C55" s="157">
        <v>3407315</v>
      </c>
      <c r="D55" s="157">
        <v>3596000</v>
      </c>
      <c r="E55" s="157">
        <f t="shared" si="0"/>
        <v>188685</v>
      </c>
      <c r="F55" s="161">
        <f t="shared" si="1"/>
        <v>5.5376447437351699E-2</v>
      </c>
    </row>
    <row r="56" spans="1:6" ht="15" customHeight="1" x14ac:dyDescent="0.25">
      <c r="A56" s="147">
        <v>4</v>
      </c>
      <c r="B56" s="160" t="s">
        <v>191</v>
      </c>
      <c r="C56" s="157">
        <v>2197131</v>
      </c>
      <c r="D56" s="157">
        <v>1613000</v>
      </c>
      <c r="E56" s="157">
        <f t="shared" si="0"/>
        <v>-584131</v>
      </c>
      <c r="F56" s="161">
        <f t="shared" si="1"/>
        <v>-0.2658607975582703</v>
      </c>
    </row>
    <row r="57" spans="1:6" ht="15" customHeight="1" x14ac:dyDescent="0.25">
      <c r="A57" s="147">
        <v>5</v>
      </c>
      <c r="B57" s="160" t="s">
        <v>192</v>
      </c>
      <c r="C57" s="157">
        <v>1106457</v>
      </c>
      <c r="D57" s="157">
        <v>1880000</v>
      </c>
      <c r="E57" s="157">
        <f t="shared" si="0"/>
        <v>773543</v>
      </c>
      <c r="F57" s="161">
        <f t="shared" si="1"/>
        <v>0.69911709176226455</v>
      </c>
    </row>
    <row r="58" spans="1:6" ht="15" customHeight="1" x14ac:dyDescent="0.25">
      <c r="A58" s="147">
        <v>6</v>
      </c>
      <c r="B58" s="160" t="s">
        <v>193</v>
      </c>
      <c r="C58" s="157">
        <v>40355</v>
      </c>
      <c r="D58" s="157">
        <v>47000</v>
      </c>
      <c r="E58" s="157">
        <f t="shared" si="0"/>
        <v>6645</v>
      </c>
      <c r="F58" s="161">
        <f t="shared" si="1"/>
        <v>0.16466361045719241</v>
      </c>
    </row>
    <row r="59" spans="1:6" ht="15.75" customHeight="1" x14ac:dyDescent="0.3">
      <c r="A59" s="147"/>
      <c r="B59" s="162" t="s">
        <v>194</v>
      </c>
      <c r="C59" s="158">
        <f>SUM(C53:C58)</f>
        <v>7643641</v>
      </c>
      <c r="D59" s="158">
        <f>SUM(D53:D58)</f>
        <v>8121000</v>
      </c>
      <c r="E59" s="158">
        <f t="shared" si="0"/>
        <v>477359</v>
      </c>
      <c r="F59" s="159">
        <f t="shared" si="1"/>
        <v>6.2451781814452038E-2</v>
      </c>
    </row>
    <row r="60" spans="1:6" ht="15.75" customHeight="1" x14ac:dyDescent="0.3">
      <c r="A60" s="147"/>
      <c r="B60" s="163"/>
      <c r="C60" s="157"/>
      <c r="D60" s="157"/>
      <c r="E60" s="158"/>
      <c r="F60" s="159"/>
    </row>
    <row r="61" spans="1:6" ht="15.75" customHeight="1" x14ac:dyDescent="0.3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5">
      <c r="A62" s="147">
        <v>1</v>
      </c>
      <c r="B62" s="160" t="s">
        <v>197</v>
      </c>
      <c r="C62" s="157">
        <v>430717</v>
      </c>
      <c r="D62" s="157">
        <v>1057000</v>
      </c>
      <c r="E62" s="157">
        <f t="shared" ref="E62:E90" si="2">+D62-C62</f>
        <v>626283</v>
      </c>
      <c r="F62" s="161">
        <f t="shared" ref="F62:F90" si="3">IF(C62=0,0,E62/C62)</f>
        <v>1.4540475532658335</v>
      </c>
    </row>
    <row r="63" spans="1:6" ht="15" customHeight="1" x14ac:dyDescent="0.25">
      <c r="A63" s="147">
        <v>2</v>
      </c>
      <c r="B63" s="160" t="s">
        <v>198</v>
      </c>
      <c r="C63" s="157">
        <v>2612832</v>
      </c>
      <c r="D63" s="157">
        <v>2586000</v>
      </c>
      <c r="E63" s="157">
        <f t="shared" si="2"/>
        <v>-26832</v>
      </c>
      <c r="F63" s="161">
        <f t="shared" si="3"/>
        <v>-1.0269316971010765E-2</v>
      </c>
    </row>
    <row r="64" spans="1:6" ht="15" customHeight="1" x14ac:dyDescent="0.25">
      <c r="A64" s="147">
        <v>3</v>
      </c>
      <c r="B64" s="160" t="s">
        <v>199</v>
      </c>
      <c r="C64" s="157">
        <v>4329398</v>
      </c>
      <c r="D64" s="157">
        <v>3865000</v>
      </c>
      <c r="E64" s="157">
        <f t="shared" si="2"/>
        <v>-464398</v>
      </c>
      <c r="F64" s="161">
        <f t="shared" si="3"/>
        <v>-0.10726618342781144</v>
      </c>
    </row>
    <row r="65" spans="1:6" ht="15" customHeight="1" x14ac:dyDescent="0.25">
      <c r="A65" s="147">
        <v>4</v>
      </c>
      <c r="B65" s="160" t="s">
        <v>200</v>
      </c>
      <c r="C65" s="157">
        <v>2924673</v>
      </c>
      <c r="D65" s="157">
        <v>3304000</v>
      </c>
      <c r="E65" s="157">
        <f t="shared" si="2"/>
        <v>379327</v>
      </c>
      <c r="F65" s="161">
        <f t="shared" si="3"/>
        <v>0.12969894412127442</v>
      </c>
    </row>
    <row r="66" spans="1:6" ht="15" customHeight="1" x14ac:dyDescent="0.25">
      <c r="A66" s="147">
        <v>5</v>
      </c>
      <c r="B66" s="160" t="s">
        <v>201</v>
      </c>
      <c r="C66" s="157">
        <v>8481707</v>
      </c>
      <c r="D66" s="157">
        <v>8569000</v>
      </c>
      <c r="E66" s="157">
        <f t="shared" si="2"/>
        <v>87293</v>
      </c>
      <c r="F66" s="161">
        <f t="shared" si="3"/>
        <v>1.0291914115873137E-2</v>
      </c>
    </row>
    <row r="67" spans="1:6" ht="15" customHeight="1" x14ac:dyDescent="0.25">
      <c r="A67" s="147">
        <v>6</v>
      </c>
      <c r="B67" s="160" t="s">
        <v>202</v>
      </c>
      <c r="C67" s="157">
        <v>0</v>
      </c>
      <c r="D67" s="157">
        <v>0</v>
      </c>
      <c r="E67" s="157">
        <f t="shared" si="2"/>
        <v>0</v>
      </c>
      <c r="F67" s="161">
        <f t="shared" si="3"/>
        <v>0</v>
      </c>
    </row>
    <row r="68" spans="1:6" ht="15" customHeight="1" x14ac:dyDescent="0.25">
      <c r="A68" s="147">
        <v>7</v>
      </c>
      <c r="B68" s="160" t="s">
        <v>203</v>
      </c>
      <c r="C68" s="157">
        <v>11214653</v>
      </c>
      <c r="D68" s="157">
        <v>11509000</v>
      </c>
      <c r="E68" s="157">
        <f t="shared" si="2"/>
        <v>294347</v>
      </c>
      <c r="F68" s="161">
        <f t="shared" si="3"/>
        <v>2.6246643565342592E-2</v>
      </c>
    </row>
    <row r="69" spans="1:6" ht="15" customHeight="1" x14ac:dyDescent="0.25">
      <c r="A69" s="147">
        <v>8</v>
      </c>
      <c r="B69" s="160" t="s">
        <v>204</v>
      </c>
      <c r="C69" s="157">
        <v>833232</v>
      </c>
      <c r="D69" s="157">
        <v>909000</v>
      </c>
      <c r="E69" s="157">
        <f t="shared" si="2"/>
        <v>75768</v>
      </c>
      <c r="F69" s="161">
        <f t="shared" si="3"/>
        <v>9.0932657411141191E-2</v>
      </c>
    </row>
    <row r="70" spans="1:6" ht="15" customHeight="1" x14ac:dyDescent="0.25">
      <c r="A70" s="147">
        <v>9</v>
      </c>
      <c r="B70" s="160" t="s">
        <v>205</v>
      </c>
      <c r="C70" s="157">
        <v>912320</v>
      </c>
      <c r="D70" s="157">
        <v>714000</v>
      </c>
      <c r="E70" s="157">
        <f t="shared" si="2"/>
        <v>-198320</v>
      </c>
      <c r="F70" s="161">
        <f t="shared" si="3"/>
        <v>-0.21737986671343387</v>
      </c>
    </row>
    <row r="71" spans="1:6" ht="15" customHeight="1" x14ac:dyDescent="0.25">
      <c r="A71" s="147">
        <v>10</v>
      </c>
      <c r="B71" s="160" t="s">
        <v>206</v>
      </c>
      <c r="C71" s="157">
        <v>441374</v>
      </c>
      <c r="D71" s="157">
        <v>430000</v>
      </c>
      <c r="E71" s="157">
        <f t="shared" si="2"/>
        <v>-11374</v>
      </c>
      <c r="F71" s="161">
        <f t="shared" si="3"/>
        <v>-2.576952878964325E-2</v>
      </c>
    </row>
    <row r="72" spans="1:6" ht="15" customHeight="1" x14ac:dyDescent="0.25">
      <c r="A72" s="147">
        <v>11</v>
      </c>
      <c r="B72" s="160" t="s">
        <v>207</v>
      </c>
      <c r="C72" s="157">
        <v>296646</v>
      </c>
      <c r="D72" s="157">
        <v>385000</v>
      </c>
      <c r="E72" s="157">
        <f t="shared" si="2"/>
        <v>88354</v>
      </c>
      <c r="F72" s="161">
        <f t="shared" si="3"/>
        <v>0.2978432205389589</v>
      </c>
    </row>
    <row r="73" spans="1:6" ht="15" customHeight="1" x14ac:dyDescent="0.25">
      <c r="A73" s="147">
        <v>12</v>
      </c>
      <c r="B73" s="160" t="s">
        <v>208</v>
      </c>
      <c r="C73" s="157">
        <v>2488597</v>
      </c>
      <c r="D73" s="157">
        <v>2473000</v>
      </c>
      <c r="E73" s="157">
        <f t="shared" si="2"/>
        <v>-15597</v>
      </c>
      <c r="F73" s="161">
        <f t="shared" si="3"/>
        <v>-6.2673868046935685E-3</v>
      </c>
    </row>
    <row r="74" spans="1:6" ht="15" customHeight="1" x14ac:dyDescent="0.25">
      <c r="A74" s="147">
        <v>13</v>
      </c>
      <c r="B74" s="160" t="s">
        <v>209</v>
      </c>
      <c r="C74" s="157">
        <v>218772</v>
      </c>
      <c r="D74" s="157">
        <v>165000</v>
      </c>
      <c r="E74" s="157">
        <f t="shared" si="2"/>
        <v>-53772</v>
      </c>
      <c r="F74" s="161">
        <f t="shared" si="3"/>
        <v>-0.24579013767758215</v>
      </c>
    </row>
    <row r="75" spans="1:6" ht="15" customHeight="1" x14ac:dyDescent="0.25">
      <c r="A75" s="147">
        <v>14</v>
      </c>
      <c r="B75" s="160" t="s">
        <v>210</v>
      </c>
      <c r="C75" s="157">
        <v>775837</v>
      </c>
      <c r="D75" s="157">
        <v>726000</v>
      </c>
      <c r="E75" s="157">
        <f t="shared" si="2"/>
        <v>-49837</v>
      </c>
      <c r="F75" s="161">
        <f t="shared" si="3"/>
        <v>-6.4236431106018399E-2</v>
      </c>
    </row>
    <row r="76" spans="1:6" ht="15" customHeight="1" x14ac:dyDescent="0.25">
      <c r="A76" s="147">
        <v>15</v>
      </c>
      <c r="B76" s="160" t="s">
        <v>211</v>
      </c>
      <c r="C76" s="157">
        <v>1986271</v>
      </c>
      <c r="D76" s="157">
        <v>2435000</v>
      </c>
      <c r="E76" s="157">
        <f t="shared" si="2"/>
        <v>448729</v>
      </c>
      <c r="F76" s="161">
        <f t="shared" si="3"/>
        <v>0.22591529554627743</v>
      </c>
    </row>
    <row r="77" spans="1:6" ht="15" customHeight="1" x14ac:dyDescent="0.25">
      <c r="A77" s="147">
        <v>16</v>
      </c>
      <c r="B77" s="160" t="s">
        <v>212</v>
      </c>
      <c r="C77" s="157">
        <v>0</v>
      </c>
      <c r="D77" s="157">
        <v>0</v>
      </c>
      <c r="E77" s="157">
        <f t="shared" si="2"/>
        <v>0</v>
      </c>
      <c r="F77" s="161">
        <f t="shared" si="3"/>
        <v>0</v>
      </c>
    </row>
    <row r="78" spans="1:6" ht="15" customHeight="1" x14ac:dyDescent="0.25">
      <c r="A78" s="147">
        <v>17</v>
      </c>
      <c r="B78" s="160" t="s">
        <v>213</v>
      </c>
      <c r="C78" s="157">
        <v>12020439</v>
      </c>
      <c r="D78" s="157">
        <v>15165000</v>
      </c>
      <c r="E78" s="157">
        <f t="shared" si="2"/>
        <v>3144561</v>
      </c>
      <c r="F78" s="161">
        <f t="shared" si="3"/>
        <v>0.2616011777939225</v>
      </c>
    </row>
    <row r="79" spans="1:6" ht="15" customHeight="1" x14ac:dyDescent="0.25">
      <c r="A79" s="147">
        <v>18</v>
      </c>
      <c r="B79" s="160" t="s">
        <v>214</v>
      </c>
      <c r="C79" s="157">
        <v>370476</v>
      </c>
      <c r="D79" s="157">
        <v>558000</v>
      </c>
      <c r="E79" s="157">
        <f t="shared" si="2"/>
        <v>187524</v>
      </c>
      <c r="F79" s="161">
        <f t="shared" si="3"/>
        <v>0.50617044019045765</v>
      </c>
    </row>
    <row r="80" spans="1:6" ht="15" customHeight="1" x14ac:dyDescent="0.25">
      <c r="A80" s="147">
        <v>19</v>
      </c>
      <c r="B80" s="160" t="s">
        <v>215</v>
      </c>
      <c r="C80" s="157">
        <v>6798809</v>
      </c>
      <c r="D80" s="157">
        <v>6675000</v>
      </c>
      <c r="E80" s="157">
        <f t="shared" si="2"/>
        <v>-123809</v>
      </c>
      <c r="F80" s="161">
        <f t="shared" si="3"/>
        <v>-1.8210395379543682E-2</v>
      </c>
    </row>
    <row r="81" spans="1:6" ht="15" customHeight="1" x14ac:dyDescent="0.25">
      <c r="A81" s="147">
        <v>20</v>
      </c>
      <c r="B81" s="160" t="s">
        <v>216</v>
      </c>
      <c r="C81" s="157">
        <v>4268500</v>
      </c>
      <c r="D81" s="157">
        <v>3800000</v>
      </c>
      <c r="E81" s="157">
        <f t="shared" si="2"/>
        <v>-468500</v>
      </c>
      <c r="F81" s="161">
        <f t="shared" si="3"/>
        <v>-0.10975752606301979</v>
      </c>
    </row>
    <row r="82" spans="1:6" ht="15" customHeight="1" x14ac:dyDescent="0.25">
      <c r="A82" s="147">
        <v>21</v>
      </c>
      <c r="B82" s="160" t="s">
        <v>217</v>
      </c>
      <c r="C82" s="157">
        <v>3747934</v>
      </c>
      <c r="D82" s="157">
        <v>3773000</v>
      </c>
      <c r="E82" s="157">
        <f t="shared" si="2"/>
        <v>25066</v>
      </c>
      <c r="F82" s="161">
        <f t="shared" si="3"/>
        <v>6.6879512819596077E-3</v>
      </c>
    </row>
    <row r="83" spans="1:6" ht="15" customHeight="1" x14ac:dyDescent="0.25">
      <c r="A83" s="147">
        <v>22</v>
      </c>
      <c r="B83" s="160" t="s">
        <v>218</v>
      </c>
      <c r="C83" s="157">
        <v>3439503</v>
      </c>
      <c r="D83" s="157">
        <v>4015000</v>
      </c>
      <c r="E83" s="157">
        <f t="shared" si="2"/>
        <v>575497</v>
      </c>
      <c r="F83" s="161">
        <f t="shared" si="3"/>
        <v>0.16731981335675533</v>
      </c>
    </row>
    <row r="84" spans="1:6" ht="15" customHeight="1" x14ac:dyDescent="0.25">
      <c r="A84" s="147">
        <v>23</v>
      </c>
      <c r="B84" s="160" t="s">
        <v>219</v>
      </c>
      <c r="C84" s="157">
        <v>1637504</v>
      </c>
      <c r="D84" s="157">
        <v>1513000</v>
      </c>
      <c r="E84" s="157">
        <f t="shared" si="2"/>
        <v>-124504</v>
      </c>
      <c r="F84" s="161">
        <f t="shared" si="3"/>
        <v>-7.6032791370280628E-2</v>
      </c>
    </row>
    <row r="85" spans="1:6" ht="15" customHeight="1" x14ac:dyDescent="0.25">
      <c r="A85" s="147">
        <v>24</v>
      </c>
      <c r="B85" s="160" t="s">
        <v>220</v>
      </c>
      <c r="C85" s="157">
        <v>265792</v>
      </c>
      <c r="D85" s="157">
        <v>257000</v>
      </c>
      <c r="E85" s="157">
        <f t="shared" si="2"/>
        <v>-8792</v>
      </c>
      <c r="F85" s="161">
        <f t="shared" si="3"/>
        <v>-3.3078497471707199E-2</v>
      </c>
    </row>
    <row r="86" spans="1:6" ht="15" customHeight="1" x14ac:dyDescent="0.25">
      <c r="A86" s="147">
        <v>25</v>
      </c>
      <c r="B86" s="160" t="s">
        <v>221</v>
      </c>
      <c r="C86" s="157">
        <v>410266</v>
      </c>
      <c r="D86" s="157">
        <v>533000</v>
      </c>
      <c r="E86" s="157">
        <f t="shared" si="2"/>
        <v>122734</v>
      </c>
      <c r="F86" s="161">
        <f t="shared" si="3"/>
        <v>0.29915713220203477</v>
      </c>
    </row>
    <row r="87" spans="1:6" ht="15" customHeight="1" x14ac:dyDescent="0.25">
      <c r="A87" s="147">
        <v>26</v>
      </c>
      <c r="B87" s="160" t="s">
        <v>222</v>
      </c>
      <c r="C87" s="157">
        <v>148630</v>
      </c>
      <c r="D87" s="157">
        <v>158000</v>
      </c>
      <c r="E87" s="157">
        <f t="shared" si="2"/>
        <v>9370</v>
      </c>
      <c r="F87" s="161">
        <f t="shared" si="3"/>
        <v>6.3042454417008675E-2</v>
      </c>
    </row>
    <row r="88" spans="1:6" ht="15" customHeight="1" x14ac:dyDescent="0.25">
      <c r="A88" s="147">
        <v>27</v>
      </c>
      <c r="B88" s="160" t="s">
        <v>223</v>
      </c>
      <c r="C88" s="157">
        <v>12493302</v>
      </c>
      <c r="D88" s="157">
        <v>9416000</v>
      </c>
      <c r="E88" s="157">
        <f t="shared" si="2"/>
        <v>-3077302</v>
      </c>
      <c r="F88" s="161">
        <f t="shared" si="3"/>
        <v>-0.24631614604369606</v>
      </c>
    </row>
    <row r="89" spans="1:6" ht="15" customHeight="1" x14ac:dyDescent="0.25">
      <c r="A89" s="147">
        <v>28</v>
      </c>
      <c r="B89" s="160" t="s">
        <v>224</v>
      </c>
      <c r="C89" s="157">
        <v>24433044</v>
      </c>
      <c r="D89" s="157">
        <v>35066000</v>
      </c>
      <c r="E89" s="157">
        <f t="shared" si="2"/>
        <v>10632956</v>
      </c>
      <c r="F89" s="161">
        <f t="shared" si="3"/>
        <v>0.43518752718654297</v>
      </c>
    </row>
    <row r="90" spans="1:6" ht="15.75" customHeight="1" x14ac:dyDescent="0.3">
      <c r="A90" s="147"/>
      <c r="B90" s="162" t="s">
        <v>225</v>
      </c>
      <c r="C90" s="158">
        <f>SUM(C62:C89)</f>
        <v>107981228</v>
      </c>
      <c r="D90" s="158">
        <f>SUM(D62:D89)</f>
        <v>120056000</v>
      </c>
      <c r="E90" s="158">
        <f t="shared" si="2"/>
        <v>12074772</v>
      </c>
      <c r="F90" s="159">
        <f t="shared" si="3"/>
        <v>0.11182288091778322</v>
      </c>
    </row>
    <row r="91" spans="1:6" ht="15.75" customHeight="1" x14ac:dyDescent="0.3">
      <c r="A91" s="147"/>
      <c r="B91" s="163"/>
      <c r="C91" s="157"/>
      <c r="D91" s="157"/>
      <c r="E91" s="158"/>
      <c r="F91" s="159"/>
    </row>
    <row r="92" spans="1:6" ht="15.75" customHeight="1" x14ac:dyDescent="0.3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5">
      <c r="A93" s="147">
        <v>1</v>
      </c>
      <c r="B93" s="160" t="s">
        <v>228</v>
      </c>
      <c r="C93" s="157">
        <v>0</v>
      </c>
      <c r="D93" s="157">
        <v>0</v>
      </c>
      <c r="E93" s="157">
        <f>+D93-C93</f>
        <v>0</v>
      </c>
      <c r="F93" s="161">
        <f>IF(C93=0,0,E93/C93)</f>
        <v>0</v>
      </c>
    </row>
    <row r="94" spans="1:6" ht="15.75" customHeight="1" x14ac:dyDescent="0.3">
      <c r="A94" s="147"/>
      <c r="B94" s="163"/>
      <c r="C94" s="157"/>
      <c r="D94" s="157"/>
      <c r="E94" s="158"/>
      <c r="F94" s="159"/>
    </row>
    <row r="95" spans="1:6" ht="15.75" customHeight="1" x14ac:dyDescent="0.3">
      <c r="A95" s="164"/>
      <c r="B95" s="165" t="s">
        <v>229</v>
      </c>
      <c r="C95" s="158">
        <f>+C93+C90+C59+C50+C47+C44+C41+C35+C30+C24+C18</f>
        <v>624338000</v>
      </c>
      <c r="D95" s="158">
        <f>+D93+D90+D59+D50+D47+D44+D41+D35+D30+D24+D18</f>
        <v>644970000</v>
      </c>
      <c r="E95" s="158">
        <f>+D95-C95</f>
        <v>20632000</v>
      </c>
      <c r="F95" s="159">
        <f>IF(C95=0,0,E95/C95)</f>
        <v>3.3046202537727963E-2</v>
      </c>
    </row>
    <row r="96" spans="1:6" ht="15.75" customHeight="1" x14ac:dyDescent="0.3">
      <c r="A96" s="164"/>
      <c r="B96" s="165"/>
      <c r="C96" s="157"/>
      <c r="D96" s="157"/>
      <c r="E96" s="157"/>
      <c r="F96" s="166"/>
    </row>
    <row r="97" spans="1:6" ht="15.75" customHeight="1" x14ac:dyDescent="0.3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3">
      <c r="A98" s="164"/>
      <c r="B98" s="167"/>
      <c r="C98" s="157"/>
      <c r="D98" s="157"/>
      <c r="E98" s="157"/>
      <c r="F98" s="166"/>
    </row>
    <row r="99" spans="1:6" ht="15.75" customHeight="1" x14ac:dyDescent="0.3">
      <c r="A99" s="164"/>
      <c r="B99" s="167"/>
      <c r="C99" s="157"/>
      <c r="D99" s="157"/>
      <c r="E99" s="157"/>
      <c r="F99" s="166"/>
    </row>
    <row r="100" spans="1:6" ht="15.75" customHeight="1" x14ac:dyDescent="0.3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3">
      <c r="A101" s="147"/>
      <c r="B101" s="148"/>
      <c r="C101" s="149"/>
      <c r="D101" s="149"/>
      <c r="E101" s="150"/>
      <c r="F101" s="151"/>
    </row>
    <row r="102" spans="1:6" ht="15.75" customHeight="1" x14ac:dyDescent="0.3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5">
      <c r="A103" s="147">
        <v>1</v>
      </c>
      <c r="B103" s="169" t="s">
        <v>233</v>
      </c>
      <c r="C103" s="157">
        <v>80110951</v>
      </c>
      <c r="D103" s="157">
        <v>88529000</v>
      </c>
      <c r="E103" s="157">
        <f t="shared" ref="E103:E121" si="4">D103-C103</f>
        <v>8418049</v>
      </c>
      <c r="F103" s="161">
        <f t="shared" ref="F103:F121" si="5">IF(C103=0,0,E103/C103)</f>
        <v>0.10507987852996527</v>
      </c>
    </row>
    <row r="104" spans="1:6" ht="15" customHeight="1" x14ac:dyDescent="0.25">
      <c r="A104" s="147">
        <v>2</v>
      </c>
      <c r="B104" s="169" t="s">
        <v>234</v>
      </c>
      <c r="C104" s="157">
        <v>1372603</v>
      </c>
      <c r="D104" s="157">
        <v>1084000</v>
      </c>
      <c r="E104" s="157">
        <f t="shared" si="4"/>
        <v>-288603</v>
      </c>
      <c r="F104" s="161">
        <f t="shared" si="5"/>
        <v>-0.21025963078909196</v>
      </c>
    </row>
    <row r="105" spans="1:6" ht="15" customHeight="1" x14ac:dyDescent="0.25">
      <c r="A105" s="147">
        <v>3</v>
      </c>
      <c r="B105" s="169" t="s">
        <v>235</v>
      </c>
      <c r="C105" s="157">
        <v>7073540</v>
      </c>
      <c r="D105" s="157">
        <v>6093000</v>
      </c>
      <c r="E105" s="157">
        <f t="shared" si="4"/>
        <v>-980540</v>
      </c>
      <c r="F105" s="161">
        <f t="shared" si="5"/>
        <v>-0.138620832002081</v>
      </c>
    </row>
    <row r="106" spans="1:6" ht="15" customHeight="1" x14ac:dyDescent="0.25">
      <c r="A106" s="147">
        <v>4</v>
      </c>
      <c r="B106" s="169" t="s">
        <v>236</v>
      </c>
      <c r="C106" s="157">
        <v>0</v>
      </c>
      <c r="D106" s="157">
        <v>6620000</v>
      </c>
      <c r="E106" s="157">
        <f t="shared" si="4"/>
        <v>6620000</v>
      </c>
      <c r="F106" s="161">
        <f t="shared" si="5"/>
        <v>0</v>
      </c>
    </row>
    <row r="107" spans="1:6" ht="15" customHeight="1" x14ac:dyDescent="0.25">
      <c r="A107" s="147">
        <v>5</v>
      </c>
      <c r="B107" s="169" t="s">
        <v>237</v>
      </c>
      <c r="C107" s="157">
        <v>37415069</v>
      </c>
      <c r="D107" s="157">
        <v>38375000</v>
      </c>
      <c r="E107" s="157">
        <f t="shared" si="4"/>
        <v>959931</v>
      </c>
      <c r="F107" s="161">
        <f t="shared" si="5"/>
        <v>2.5656266997663428E-2</v>
      </c>
    </row>
    <row r="108" spans="1:6" ht="15" customHeight="1" x14ac:dyDescent="0.25">
      <c r="A108" s="147">
        <v>6</v>
      </c>
      <c r="B108" s="169" t="s">
        <v>238</v>
      </c>
      <c r="C108" s="157">
        <v>3068795</v>
      </c>
      <c r="D108" s="157">
        <v>3336000</v>
      </c>
      <c r="E108" s="157">
        <f t="shared" si="4"/>
        <v>267205</v>
      </c>
      <c r="F108" s="161">
        <f t="shared" si="5"/>
        <v>8.707163560941672E-2</v>
      </c>
    </row>
    <row r="109" spans="1:6" ht="15" customHeight="1" x14ac:dyDescent="0.25">
      <c r="A109" s="147">
        <v>7</v>
      </c>
      <c r="B109" s="169" t="s">
        <v>239</v>
      </c>
      <c r="C109" s="157">
        <v>4058476</v>
      </c>
      <c r="D109" s="157">
        <v>2006000</v>
      </c>
      <c r="E109" s="157">
        <f t="shared" si="4"/>
        <v>-2052476</v>
      </c>
      <c r="F109" s="161">
        <f t="shared" si="5"/>
        <v>-0.50572579460861666</v>
      </c>
    </row>
    <row r="110" spans="1:6" ht="15" customHeight="1" x14ac:dyDescent="0.25">
      <c r="A110" s="147">
        <v>8</v>
      </c>
      <c r="B110" s="169" t="s">
        <v>240</v>
      </c>
      <c r="C110" s="157">
        <v>0</v>
      </c>
      <c r="D110" s="157">
        <v>0</v>
      </c>
      <c r="E110" s="157">
        <f t="shared" si="4"/>
        <v>0</v>
      </c>
      <c r="F110" s="161">
        <f t="shared" si="5"/>
        <v>0</v>
      </c>
    </row>
    <row r="111" spans="1:6" ht="15" customHeight="1" x14ac:dyDescent="0.25">
      <c r="A111" s="147">
        <v>9</v>
      </c>
      <c r="B111" s="169" t="s">
        <v>241</v>
      </c>
      <c r="C111" s="157">
        <v>2185869</v>
      </c>
      <c r="D111" s="157">
        <v>3541000</v>
      </c>
      <c r="E111" s="157">
        <f t="shared" si="4"/>
        <v>1355131</v>
      </c>
      <c r="F111" s="161">
        <f t="shared" si="5"/>
        <v>0.61995069237909495</v>
      </c>
    </row>
    <row r="112" spans="1:6" ht="15" customHeight="1" x14ac:dyDescent="0.25">
      <c r="A112" s="147">
        <v>10</v>
      </c>
      <c r="B112" s="169" t="s">
        <v>242</v>
      </c>
      <c r="C112" s="157">
        <v>7239483</v>
      </c>
      <c r="D112" s="157">
        <v>7302000</v>
      </c>
      <c r="E112" s="157">
        <f t="shared" si="4"/>
        <v>62517</v>
      </c>
      <c r="F112" s="161">
        <f t="shared" si="5"/>
        <v>8.6355614068021162E-3</v>
      </c>
    </row>
    <row r="113" spans="1:6" ht="15" customHeight="1" x14ac:dyDescent="0.25">
      <c r="A113" s="147">
        <v>11</v>
      </c>
      <c r="B113" s="169" t="s">
        <v>243</v>
      </c>
      <c r="C113" s="157">
        <v>6930491</v>
      </c>
      <c r="D113" s="157">
        <v>7659000</v>
      </c>
      <c r="E113" s="157">
        <f t="shared" si="4"/>
        <v>728509</v>
      </c>
      <c r="F113" s="161">
        <f t="shared" si="5"/>
        <v>0.10511650617539219</v>
      </c>
    </row>
    <row r="114" spans="1:6" ht="15" customHeight="1" x14ac:dyDescent="0.25">
      <c r="A114" s="147">
        <v>12</v>
      </c>
      <c r="B114" s="169" t="s">
        <v>244</v>
      </c>
      <c r="C114" s="157">
        <v>252614</v>
      </c>
      <c r="D114" s="157">
        <v>275000</v>
      </c>
      <c r="E114" s="157">
        <f t="shared" si="4"/>
        <v>22386</v>
      </c>
      <c r="F114" s="161">
        <f t="shared" si="5"/>
        <v>8.8617416295217202E-2</v>
      </c>
    </row>
    <row r="115" spans="1:6" ht="15" customHeight="1" x14ac:dyDescent="0.25">
      <c r="A115" s="147">
        <v>13</v>
      </c>
      <c r="B115" s="169" t="s">
        <v>245</v>
      </c>
      <c r="C115" s="157">
        <v>15568283</v>
      </c>
      <c r="D115" s="157">
        <v>16007000</v>
      </c>
      <c r="E115" s="157">
        <f t="shared" si="4"/>
        <v>438717</v>
      </c>
      <c r="F115" s="161">
        <f t="shared" si="5"/>
        <v>2.8180178893202287E-2</v>
      </c>
    </row>
    <row r="116" spans="1:6" ht="15" customHeight="1" x14ac:dyDescent="0.25">
      <c r="A116" s="147">
        <v>14</v>
      </c>
      <c r="B116" s="169" t="s">
        <v>246</v>
      </c>
      <c r="C116" s="157">
        <v>8988004</v>
      </c>
      <c r="D116" s="157">
        <v>8431000</v>
      </c>
      <c r="E116" s="157">
        <f t="shared" si="4"/>
        <v>-557004</v>
      </c>
      <c r="F116" s="161">
        <f t="shared" si="5"/>
        <v>-6.1971935036967053E-2</v>
      </c>
    </row>
    <row r="117" spans="1:6" ht="15" customHeight="1" x14ac:dyDescent="0.25">
      <c r="A117" s="147">
        <v>15</v>
      </c>
      <c r="B117" s="169" t="s">
        <v>203</v>
      </c>
      <c r="C117" s="157">
        <v>5038487</v>
      </c>
      <c r="D117" s="157">
        <v>5987000</v>
      </c>
      <c r="E117" s="157">
        <f t="shared" si="4"/>
        <v>948513</v>
      </c>
      <c r="F117" s="161">
        <f t="shared" si="5"/>
        <v>0.1882535372225829</v>
      </c>
    </row>
    <row r="118" spans="1:6" ht="15" customHeight="1" x14ac:dyDescent="0.25">
      <c r="A118" s="147">
        <v>16</v>
      </c>
      <c r="B118" s="169" t="s">
        <v>247</v>
      </c>
      <c r="C118" s="157">
        <v>4038023</v>
      </c>
      <c r="D118" s="157">
        <v>5351000</v>
      </c>
      <c r="E118" s="157">
        <f t="shared" si="4"/>
        <v>1312977</v>
      </c>
      <c r="F118" s="161">
        <f t="shared" si="5"/>
        <v>0.32515342285073662</v>
      </c>
    </row>
    <row r="119" spans="1:6" ht="15" customHeight="1" x14ac:dyDescent="0.25">
      <c r="A119" s="147">
        <v>17</v>
      </c>
      <c r="B119" s="169" t="s">
        <v>248</v>
      </c>
      <c r="C119" s="157">
        <v>12558376</v>
      </c>
      <c r="D119" s="157">
        <v>12717000</v>
      </c>
      <c r="E119" s="157">
        <f t="shared" si="4"/>
        <v>158624</v>
      </c>
      <c r="F119" s="161">
        <f t="shared" si="5"/>
        <v>1.2630932534588867E-2</v>
      </c>
    </row>
    <row r="120" spans="1:6" ht="15" customHeight="1" x14ac:dyDescent="0.25">
      <c r="A120" s="147">
        <v>18</v>
      </c>
      <c r="B120" s="169" t="s">
        <v>249</v>
      </c>
      <c r="C120" s="157">
        <v>270000</v>
      </c>
      <c r="D120" s="157">
        <v>269000</v>
      </c>
      <c r="E120" s="157">
        <f t="shared" si="4"/>
        <v>-1000</v>
      </c>
      <c r="F120" s="161">
        <f t="shared" si="5"/>
        <v>-3.7037037037037038E-3</v>
      </c>
    </row>
    <row r="121" spans="1:6" ht="15.75" customHeight="1" x14ac:dyDescent="0.3">
      <c r="A121" s="147"/>
      <c r="B121" s="165" t="s">
        <v>250</v>
      </c>
      <c r="C121" s="158">
        <f>SUM(C103:C120)</f>
        <v>196169064</v>
      </c>
      <c r="D121" s="158">
        <f>SUM(D103:D120)</f>
        <v>213582000</v>
      </c>
      <c r="E121" s="158">
        <f t="shared" si="4"/>
        <v>17412936</v>
      </c>
      <c r="F121" s="159">
        <f t="shared" si="5"/>
        <v>8.8764944099442716E-2</v>
      </c>
    </row>
    <row r="122" spans="1:6" ht="15.75" customHeight="1" x14ac:dyDescent="0.3">
      <c r="A122" s="147"/>
      <c r="B122" s="170"/>
      <c r="C122" s="157"/>
      <c r="D122" s="157"/>
      <c r="E122" s="158"/>
      <c r="F122" s="151"/>
    </row>
    <row r="123" spans="1:6" ht="15.75" customHeight="1" x14ac:dyDescent="0.3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5">
      <c r="A124" s="147">
        <v>1</v>
      </c>
      <c r="B124" s="169" t="s">
        <v>252</v>
      </c>
      <c r="C124" s="157">
        <v>0</v>
      </c>
      <c r="D124" s="157">
        <v>0</v>
      </c>
      <c r="E124" s="157">
        <f t="shared" ref="E124:E130" si="6">D124-C124</f>
        <v>0</v>
      </c>
      <c r="F124" s="161">
        <f t="shared" ref="F124:F130" si="7">IF(C124=0,0,E124/C124)</f>
        <v>0</v>
      </c>
    </row>
    <row r="125" spans="1:6" ht="15" customHeight="1" x14ac:dyDescent="0.25">
      <c r="A125" s="147">
        <v>2</v>
      </c>
      <c r="B125" s="169" t="s">
        <v>253</v>
      </c>
      <c r="C125" s="157">
        <v>14683409</v>
      </c>
      <c r="D125" s="157">
        <v>14433000</v>
      </c>
      <c r="E125" s="157">
        <f t="shared" si="6"/>
        <v>-250409</v>
      </c>
      <c r="F125" s="161">
        <f t="shared" si="7"/>
        <v>-1.7053873524874232E-2</v>
      </c>
    </row>
    <row r="126" spans="1:6" ht="15" customHeight="1" x14ac:dyDescent="0.25">
      <c r="A126" s="147">
        <v>3</v>
      </c>
      <c r="B126" s="169" t="s">
        <v>254</v>
      </c>
      <c r="C126" s="157">
        <v>8533968</v>
      </c>
      <c r="D126" s="157">
        <v>9428000</v>
      </c>
      <c r="E126" s="157">
        <f t="shared" si="6"/>
        <v>894032</v>
      </c>
      <c r="F126" s="161">
        <f t="shared" si="7"/>
        <v>0.1047615833572378</v>
      </c>
    </row>
    <row r="127" spans="1:6" ht="15" customHeight="1" x14ac:dyDescent="0.25">
      <c r="A127" s="147">
        <v>4</v>
      </c>
      <c r="B127" s="169" t="s">
        <v>255</v>
      </c>
      <c r="C127" s="157">
        <v>2599652</v>
      </c>
      <c r="D127" s="157">
        <v>2354000</v>
      </c>
      <c r="E127" s="157">
        <f t="shared" si="6"/>
        <v>-245652</v>
      </c>
      <c r="F127" s="161">
        <f t="shared" si="7"/>
        <v>-9.4494186144914782E-2</v>
      </c>
    </row>
    <row r="128" spans="1:6" ht="15" customHeight="1" x14ac:dyDescent="0.25">
      <c r="A128" s="147">
        <v>5</v>
      </c>
      <c r="B128" s="169" t="s">
        <v>256</v>
      </c>
      <c r="C128" s="157">
        <v>4918017</v>
      </c>
      <c r="D128" s="157">
        <v>5202000</v>
      </c>
      <c r="E128" s="157">
        <f t="shared" si="6"/>
        <v>283983</v>
      </c>
      <c r="F128" s="161">
        <f t="shared" si="7"/>
        <v>5.774339535629909E-2</v>
      </c>
    </row>
    <row r="129" spans="1:6" ht="15" customHeight="1" x14ac:dyDescent="0.25">
      <c r="A129" s="147">
        <v>6</v>
      </c>
      <c r="B129" s="169" t="s">
        <v>257</v>
      </c>
      <c r="C129" s="157">
        <v>0</v>
      </c>
      <c r="D129" s="157">
        <v>0</v>
      </c>
      <c r="E129" s="157">
        <f t="shared" si="6"/>
        <v>0</v>
      </c>
      <c r="F129" s="161">
        <f t="shared" si="7"/>
        <v>0</v>
      </c>
    </row>
    <row r="130" spans="1:6" ht="15.75" customHeight="1" x14ac:dyDescent="0.3">
      <c r="A130" s="147"/>
      <c r="B130" s="165" t="s">
        <v>258</v>
      </c>
      <c r="C130" s="158">
        <f>SUM(C124:C129)</f>
        <v>30735046</v>
      </c>
      <c r="D130" s="158">
        <f>SUM(D124:D129)</f>
        <v>31417000</v>
      </c>
      <c r="E130" s="158">
        <f t="shared" si="6"/>
        <v>681954</v>
      </c>
      <c r="F130" s="159">
        <f t="shared" si="7"/>
        <v>2.2188156152426128E-2</v>
      </c>
    </row>
    <row r="131" spans="1:6" ht="15.75" customHeight="1" x14ac:dyDescent="0.3">
      <c r="A131" s="147"/>
      <c r="B131" s="170"/>
      <c r="C131" s="157"/>
      <c r="D131" s="157"/>
      <c r="E131" s="158"/>
      <c r="F131" s="151"/>
    </row>
    <row r="132" spans="1:6" ht="15.75" customHeight="1" x14ac:dyDescent="0.3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5">
      <c r="A133" s="147">
        <v>1</v>
      </c>
      <c r="B133" s="169" t="s">
        <v>260</v>
      </c>
      <c r="C133" s="157">
        <v>53458393</v>
      </c>
      <c r="D133" s="157">
        <v>49168000</v>
      </c>
      <c r="E133" s="157">
        <f t="shared" ref="E133:E167" si="8">D133-C133</f>
        <v>-4290393</v>
      </c>
      <c r="F133" s="161">
        <f t="shared" ref="F133:F167" si="9">IF(C133=0,0,E133/C133)</f>
        <v>-8.0256677375243959E-2</v>
      </c>
    </row>
    <row r="134" spans="1:6" ht="15" customHeight="1" x14ac:dyDescent="0.25">
      <c r="A134" s="147">
        <v>2</v>
      </c>
      <c r="B134" s="169" t="s">
        <v>261</v>
      </c>
      <c r="C134" s="157">
        <v>3864778</v>
      </c>
      <c r="D134" s="157">
        <v>3719000</v>
      </c>
      <c r="E134" s="157">
        <f t="shared" si="8"/>
        <v>-145778</v>
      </c>
      <c r="F134" s="161">
        <f t="shared" si="9"/>
        <v>-3.7719630985272631E-2</v>
      </c>
    </row>
    <row r="135" spans="1:6" ht="15" customHeight="1" x14ac:dyDescent="0.25">
      <c r="A135" s="147">
        <v>3</v>
      </c>
      <c r="B135" s="169" t="s">
        <v>262</v>
      </c>
      <c r="C135" s="157">
        <v>6318696</v>
      </c>
      <c r="D135" s="157">
        <v>5454000</v>
      </c>
      <c r="E135" s="157">
        <f t="shared" si="8"/>
        <v>-864696</v>
      </c>
      <c r="F135" s="161">
        <f t="shared" si="9"/>
        <v>-0.13684722290801773</v>
      </c>
    </row>
    <row r="136" spans="1:6" ht="15" customHeight="1" x14ac:dyDescent="0.25">
      <c r="A136" s="147">
        <v>4</v>
      </c>
      <c r="B136" s="169" t="s">
        <v>263</v>
      </c>
      <c r="C136" s="157">
        <v>5648422</v>
      </c>
      <c r="D136" s="157">
        <v>5868000</v>
      </c>
      <c r="E136" s="157">
        <f t="shared" si="8"/>
        <v>219578</v>
      </c>
      <c r="F136" s="161">
        <f t="shared" si="9"/>
        <v>3.8874220091912395E-2</v>
      </c>
    </row>
    <row r="137" spans="1:6" ht="15" customHeight="1" x14ac:dyDescent="0.25">
      <c r="A137" s="147">
        <v>5</v>
      </c>
      <c r="B137" s="169" t="s">
        <v>264</v>
      </c>
      <c r="C137" s="157">
        <v>11286889</v>
      </c>
      <c r="D137" s="157">
        <v>10742000</v>
      </c>
      <c r="E137" s="157">
        <f t="shared" si="8"/>
        <v>-544889</v>
      </c>
      <c r="F137" s="161">
        <f t="shared" si="9"/>
        <v>-4.8276278786829566E-2</v>
      </c>
    </row>
    <row r="138" spans="1:6" ht="15" customHeight="1" x14ac:dyDescent="0.25">
      <c r="A138" s="147">
        <v>6</v>
      </c>
      <c r="B138" s="169" t="s">
        <v>265</v>
      </c>
      <c r="C138" s="157">
        <v>1368737</v>
      </c>
      <c r="D138" s="157">
        <v>1514000</v>
      </c>
      <c r="E138" s="157">
        <f t="shared" si="8"/>
        <v>145263</v>
      </c>
      <c r="F138" s="161">
        <f t="shared" si="9"/>
        <v>0.10612922716343608</v>
      </c>
    </row>
    <row r="139" spans="1:6" ht="15" customHeight="1" x14ac:dyDescent="0.25">
      <c r="A139" s="147">
        <v>7</v>
      </c>
      <c r="B139" s="169" t="s">
        <v>266</v>
      </c>
      <c r="C139" s="157">
        <v>6025702</v>
      </c>
      <c r="D139" s="157">
        <v>6646000</v>
      </c>
      <c r="E139" s="157">
        <f t="shared" si="8"/>
        <v>620298</v>
      </c>
      <c r="F139" s="161">
        <f t="shared" si="9"/>
        <v>0.10294203065468555</v>
      </c>
    </row>
    <row r="140" spans="1:6" ht="15" customHeight="1" x14ac:dyDescent="0.25">
      <c r="A140" s="147">
        <v>8</v>
      </c>
      <c r="B140" s="169" t="s">
        <v>267</v>
      </c>
      <c r="C140" s="157">
        <v>2299630</v>
      </c>
      <c r="D140" s="157">
        <v>2075000</v>
      </c>
      <c r="E140" s="157">
        <f t="shared" si="8"/>
        <v>-224630</v>
      </c>
      <c r="F140" s="161">
        <f t="shared" si="9"/>
        <v>-9.7680931280249433E-2</v>
      </c>
    </row>
    <row r="141" spans="1:6" ht="15" customHeight="1" x14ac:dyDescent="0.25">
      <c r="A141" s="147">
        <v>9</v>
      </c>
      <c r="B141" s="169" t="s">
        <v>268</v>
      </c>
      <c r="C141" s="157">
        <v>2565024</v>
      </c>
      <c r="D141" s="157">
        <v>2350000</v>
      </c>
      <c r="E141" s="157">
        <f t="shared" si="8"/>
        <v>-215024</v>
      </c>
      <c r="F141" s="161">
        <f t="shared" si="9"/>
        <v>-8.3829235126065091E-2</v>
      </c>
    </row>
    <row r="142" spans="1:6" ht="15" customHeight="1" x14ac:dyDescent="0.25">
      <c r="A142" s="147">
        <v>10</v>
      </c>
      <c r="B142" s="169" t="s">
        <v>269</v>
      </c>
      <c r="C142" s="157">
        <v>26530787</v>
      </c>
      <c r="D142" s="157">
        <v>26282000</v>
      </c>
      <c r="E142" s="157">
        <f t="shared" si="8"/>
        <v>-248787</v>
      </c>
      <c r="F142" s="161">
        <f t="shared" si="9"/>
        <v>-9.3772943863293622E-3</v>
      </c>
    </row>
    <row r="143" spans="1:6" ht="15" customHeight="1" x14ac:dyDescent="0.25">
      <c r="A143" s="147">
        <v>11</v>
      </c>
      <c r="B143" s="169" t="s">
        <v>270</v>
      </c>
      <c r="C143" s="157">
        <v>0</v>
      </c>
      <c r="D143" s="157">
        <v>0</v>
      </c>
      <c r="E143" s="157">
        <f t="shared" si="8"/>
        <v>0</v>
      </c>
      <c r="F143" s="161">
        <f t="shared" si="9"/>
        <v>0</v>
      </c>
    </row>
    <row r="144" spans="1:6" ht="15" customHeight="1" x14ac:dyDescent="0.25">
      <c r="A144" s="147">
        <v>12</v>
      </c>
      <c r="B144" s="169" t="s">
        <v>271</v>
      </c>
      <c r="C144" s="157">
        <v>16049717</v>
      </c>
      <c r="D144" s="157">
        <v>15307000</v>
      </c>
      <c r="E144" s="157">
        <f t="shared" si="8"/>
        <v>-742717</v>
      </c>
      <c r="F144" s="161">
        <f t="shared" si="9"/>
        <v>-4.6276018449421884E-2</v>
      </c>
    </row>
    <row r="145" spans="1:6" ht="15" customHeight="1" x14ac:dyDescent="0.25">
      <c r="A145" s="147">
        <v>13</v>
      </c>
      <c r="B145" s="169" t="s">
        <v>272</v>
      </c>
      <c r="C145" s="157">
        <v>198550</v>
      </c>
      <c r="D145" s="157">
        <v>225000</v>
      </c>
      <c r="E145" s="157">
        <f t="shared" si="8"/>
        <v>26450</v>
      </c>
      <c r="F145" s="161">
        <f t="shared" si="9"/>
        <v>0.13321581465625787</v>
      </c>
    </row>
    <row r="146" spans="1:6" ht="15" customHeight="1" x14ac:dyDescent="0.25">
      <c r="A146" s="147">
        <v>14</v>
      </c>
      <c r="B146" s="169" t="s">
        <v>273</v>
      </c>
      <c r="C146" s="157">
        <v>78921</v>
      </c>
      <c r="D146" s="157">
        <v>100000</v>
      </c>
      <c r="E146" s="157">
        <f t="shared" si="8"/>
        <v>21079</v>
      </c>
      <c r="F146" s="161">
        <f t="shared" si="9"/>
        <v>0.26708987468481138</v>
      </c>
    </row>
    <row r="147" spans="1:6" ht="15" customHeight="1" x14ac:dyDescent="0.25">
      <c r="A147" s="147">
        <v>15</v>
      </c>
      <c r="B147" s="169" t="s">
        <v>274</v>
      </c>
      <c r="C147" s="157">
        <v>0</v>
      </c>
      <c r="D147" s="157">
        <v>0</v>
      </c>
      <c r="E147" s="157">
        <f t="shared" si="8"/>
        <v>0</v>
      </c>
      <c r="F147" s="161">
        <f t="shared" si="9"/>
        <v>0</v>
      </c>
    </row>
    <row r="148" spans="1:6" ht="15" customHeight="1" x14ac:dyDescent="0.25">
      <c r="A148" s="147">
        <v>16</v>
      </c>
      <c r="B148" s="169" t="s">
        <v>275</v>
      </c>
      <c r="C148" s="157">
        <v>0</v>
      </c>
      <c r="D148" s="157">
        <v>0</v>
      </c>
      <c r="E148" s="157">
        <f t="shared" si="8"/>
        <v>0</v>
      </c>
      <c r="F148" s="161">
        <f t="shared" si="9"/>
        <v>0</v>
      </c>
    </row>
    <row r="149" spans="1:6" ht="15" customHeight="1" x14ac:dyDescent="0.25">
      <c r="A149" s="147">
        <v>17</v>
      </c>
      <c r="B149" s="169" t="s">
        <v>276</v>
      </c>
      <c r="C149" s="157">
        <v>0</v>
      </c>
      <c r="D149" s="157">
        <v>0</v>
      </c>
      <c r="E149" s="157">
        <f t="shared" si="8"/>
        <v>0</v>
      </c>
      <c r="F149" s="161">
        <f t="shared" si="9"/>
        <v>0</v>
      </c>
    </row>
    <row r="150" spans="1:6" ht="15" customHeight="1" x14ac:dyDescent="0.25">
      <c r="A150" s="147">
        <v>18</v>
      </c>
      <c r="B150" s="169" t="s">
        <v>277</v>
      </c>
      <c r="C150" s="157">
        <v>4710201</v>
      </c>
      <c r="D150" s="157">
        <v>4454000</v>
      </c>
      <c r="E150" s="157">
        <f t="shared" si="8"/>
        <v>-256201</v>
      </c>
      <c r="F150" s="161">
        <f t="shared" si="9"/>
        <v>-5.439279555161234E-2</v>
      </c>
    </row>
    <row r="151" spans="1:6" ht="15" customHeight="1" x14ac:dyDescent="0.25">
      <c r="A151" s="147">
        <v>19</v>
      </c>
      <c r="B151" s="169" t="s">
        <v>278</v>
      </c>
      <c r="C151" s="157">
        <v>1647636</v>
      </c>
      <c r="D151" s="157">
        <v>1401000</v>
      </c>
      <c r="E151" s="157">
        <f t="shared" si="8"/>
        <v>-246636</v>
      </c>
      <c r="F151" s="161">
        <f t="shared" si="9"/>
        <v>-0.14969082977065323</v>
      </c>
    </row>
    <row r="152" spans="1:6" ht="15" customHeight="1" x14ac:dyDescent="0.25">
      <c r="A152" s="147">
        <v>20</v>
      </c>
      <c r="B152" s="169" t="s">
        <v>279</v>
      </c>
      <c r="C152" s="157">
        <v>30400909</v>
      </c>
      <c r="D152" s="157">
        <v>36196000</v>
      </c>
      <c r="E152" s="157">
        <f t="shared" si="8"/>
        <v>5795091</v>
      </c>
      <c r="F152" s="161">
        <f t="shared" si="9"/>
        <v>0.19062229356365626</v>
      </c>
    </row>
    <row r="153" spans="1:6" ht="15" customHeight="1" x14ac:dyDescent="0.25">
      <c r="A153" s="147">
        <v>21</v>
      </c>
      <c r="B153" s="169" t="s">
        <v>280</v>
      </c>
      <c r="C153" s="157">
        <v>220325</v>
      </c>
      <c r="D153" s="157">
        <v>200000</v>
      </c>
      <c r="E153" s="157">
        <f t="shared" si="8"/>
        <v>-20325</v>
      </c>
      <c r="F153" s="161">
        <f t="shared" si="9"/>
        <v>-9.2250085101554524E-2</v>
      </c>
    </row>
    <row r="154" spans="1:6" ht="15" customHeight="1" x14ac:dyDescent="0.25">
      <c r="A154" s="147">
        <v>22</v>
      </c>
      <c r="B154" s="169" t="s">
        <v>281</v>
      </c>
      <c r="C154" s="157">
        <v>4048549</v>
      </c>
      <c r="D154" s="157">
        <v>4206000</v>
      </c>
      <c r="E154" s="157">
        <f t="shared" si="8"/>
        <v>157451</v>
      </c>
      <c r="F154" s="161">
        <f t="shared" si="9"/>
        <v>3.889072356540578E-2</v>
      </c>
    </row>
    <row r="155" spans="1:6" ht="15" customHeight="1" x14ac:dyDescent="0.25">
      <c r="A155" s="147">
        <v>23</v>
      </c>
      <c r="B155" s="169" t="s">
        <v>282</v>
      </c>
      <c r="C155" s="157">
        <v>747357</v>
      </c>
      <c r="D155" s="157">
        <v>723000</v>
      </c>
      <c r="E155" s="157">
        <f t="shared" si="8"/>
        <v>-24357</v>
      </c>
      <c r="F155" s="161">
        <f t="shared" si="9"/>
        <v>-3.2590850155949563E-2</v>
      </c>
    </row>
    <row r="156" spans="1:6" ht="15" customHeight="1" x14ac:dyDescent="0.25">
      <c r="A156" s="147">
        <v>24</v>
      </c>
      <c r="B156" s="169" t="s">
        <v>283</v>
      </c>
      <c r="C156" s="157">
        <v>39264999</v>
      </c>
      <c r="D156" s="157">
        <v>39174000</v>
      </c>
      <c r="E156" s="157">
        <f t="shared" si="8"/>
        <v>-90999</v>
      </c>
      <c r="F156" s="161">
        <f t="shared" si="9"/>
        <v>-2.3175602271121921E-3</v>
      </c>
    </row>
    <row r="157" spans="1:6" ht="15" customHeight="1" x14ac:dyDescent="0.25">
      <c r="A157" s="147">
        <v>25</v>
      </c>
      <c r="B157" s="169" t="s">
        <v>284</v>
      </c>
      <c r="C157" s="157">
        <v>2599653</v>
      </c>
      <c r="D157" s="157">
        <v>2641000</v>
      </c>
      <c r="E157" s="157">
        <f t="shared" si="8"/>
        <v>41347</v>
      </c>
      <c r="F157" s="161">
        <f t="shared" si="9"/>
        <v>1.5904814988769656E-2</v>
      </c>
    </row>
    <row r="158" spans="1:6" ht="15" customHeight="1" x14ac:dyDescent="0.25">
      <c r="A158" s="147">
        <v>26</v>
      </c>
      <c r="B158" s="169" t="s">
        <v>285</v>
      </c>
      <c r="C158" s="157">
        <v>936400</v>
      </c>
      <c r="D158" s="157">
        <v>891000</v>
      </c>
      <c r="E158" s="157">
        <f t="shared" si="8"/>
        <v>-45400</v>
      </c>
      <c r="F158" s="161">
        <f t="shared" si="9"/>
        <v>-4.8483554036736438E-2</v>
      </c>
    </row>
    <row r="159" spans="1:6" ht="15" customHeight="1" x14ac:dyDescent="0.25">
      <c r="A159" s="147">
        <v>27</v>
      </c>
      <c r="B159" s="169" t="s">
        <v>286</v>
      </c>
      <c r="C159" s="157">
        <v>0</v>
      </c>
      <c r="D159" s="157">
        <v>0</v>
      </c>
      <c r="E159" s="157">
        <f t="shared" si="8"/>
        <v>0</v>
      </c>
      <c r="F159" s="161">
        <f t="shared" si="9"/>
        <v>0</v>
      </c>
    </row>
    <row r="160" spans="1:6" ht="15" customHeight="1" x14ac:dyDescent="0.25">
      <c r="A160" s="147">
        <v>28</v>
      </c>
      <c r="B160" s="169" t="s">
        <v>287</v>
      </c>
      <c r="C160" s="157">
        <v>7100365</v>
      </c>
      <c r="D160" s="157">
        <v>7232000</v>
      </c>
      <c r="E160" s="157">
        <f t="shared" si="8"/>
        <v>131635</v>
      </c>
      <c r="F160" s="161">
        <f t="shared" si="9"/>
        <v>1.8539187774149639E-2</v>
      </c>
    </row>
    <row r="161" spans="1:6" ht="15" customHeight="1" x14ac:dyDescent="0.25">
      <c r="A161" s="147">
        <v>29</v>
      </c>
      <c r="B161" s="169" t="s">
        <v>288</v>
      </c>
      <c r="C161" s="157">
        <v>1285579</v>
      </c>
      <c r="D161" s="157">
        <v>1296000</v>
      </c>
      <c r="E161" s="157">
        <f t="shared" si="8"/>
        <v>10421</v>
      </c>
      <c r="F161" s="161">
        <f t="shared" si="9"/>
        <v>8.1060751614642126E-3</v>
      </c>
    </row>
    <row r="162" spans="1:6" ht="15" customHeight="1" x14ac:dyDescent="0.25">
      <c r="A162" s="147">
        <v>30</v>
      </c>
      <c r="B162" s="169" t="s">
        <v>289</v>
      </c>
      <c r="C162" s="157">
        <v>0</v>
      </c>
      <c r="D162" s="157">
        <v>0</v>
      </c>
      <c r="E162" s="157">
        <f t="shared" si="8"/>
        <v>0</v>
      </c>
      <c r="F162" s="161">
        <f t="shared" si="9"/>
        <v>0</v>
      </c>
    </row>
    <row r="163" spans="1:6" ht="15" customHeight="1" x14ac:dyDescent="0.25">
      <c r="A163" s="147">
        <v>31</v>
      </c>
      <c r="B163" s="169" t="s">
        <v>290</v>
      </c>
      <c r="C163" s="157">
        <v>724791</v>
      </c>
      <c r="D163" s="157">
        <v>729000</v>
      </c>
      <c r="E163" s="157">
        <f t="shared" si="8"/>
        <v>4209</v>
      </c>
      <c r="F163" s="161">
        <f t="shared" si="9"/>
        <v>5.8071913144616865E-3</v>
      </c>
    </row>
    <row r="164" spans="1:6" ht="15" customHeight="1" x14ac:dyDescent="0.25">
      <c r="A164" s="147">
        <v>32</v>
      </c>
      <c r="B164" s="169" t="s">
        <v>291</v>
      </c>
      <c r="C164" s="157">
        <v>8567088</v>
      </c>
      <c r="D164" s="157">
        <v>8996000</v>
      </c>
      <c r="E164" s="157">
        <f t="shared" si="8"/>
        <v>428912</v>
      </c>
      <c r="F164" s="161">
        <f t="shared" si="9"/>
        <v>5.0065086293032128E-2</v>
      </c>
    </row>
    <row r="165" spans="1:6" ht="15" customHeight="1" x14ac:dyDescent="0.25">
      <c r="A165" s="147">
        <v>33</v>
      </c>
      <c r="B165" s="169" t="s">
        <v>292</v>
      </c>
      <c r="C165" s="157">
        <v>1692373</v>
      </c>
      <c r="D165" s="157">
        <v>1781000</v>
      </c>
      <c r="E165" s="157">
        <f t="shared" si="8"/>
        <v>88627</v>
      </c>
      <c r="F165" s="161">
        <f t="shared" si="9"/>
        <v>5.2368479052785646E-2</v>
      </c>
    </row>
    <row r="166" spans="1:6" ht="15" customHeight="1" x14ac:dyDescent="0.25">
      <c r="A166" s="147">
        <v>34</v>
      </c>
      <c r="B166" s="169" t="s">
        <v>293</v>
      </c>
      <c r="C166" s="157">
        <v>5945312</v>
      </c>
      <c r="D166" s="157">
        <v>5730000</v>
      </c>
      <c r="E166" s="157">
        <f t="shared" si="8"/>
        <v>-215312</v>
      </c>
      <c r="F166" s="161">
        <f t="shared" si="9"/>
        <v>-3.6215424859115886E-2</v>
      </c>
    </row>
    <row r="167" spans="1:6" ht="15.75" customHeight="1" x14ac:dyDescent="0.3">
      <c r="A167" s="147"/>
      <c r="B167" s="165" t="s">
        <v>294</v>
      </c>
      <c r="C167" s="158">
        <f>SUM(C133:C166)</f>
        <v>245585783</v>
      </c>
      <c r="D167" s="158">
        <f>SUM(D133:D166)</f>
        <v>245100000</v>
      </c>
      <c r="E167" s="158">
        <f t="shared" si="8"/>
        <v>-485783</v>
      </c>
      <c r="F167" s="159">
        <f t="shared" si="9"/>
        <v>-1.9780583145564252E-3</v>
      </c>
    </row>
    <row r="168" spans="1:6" ht="15.75" customHeight="1" x14ac:dyDescent="0.3">
      <c r="A168" s="147"/>
      <c r="B168" s="170"/>
      <c r="C168" s="157"/>
      <c r="D168" s="157"/>
      <c r="E168" s="158"/>
      <c r="F168" s="151"/>
    </row>
    <row r="169" spans="1:6" ht="15.75" customHeight="1" x14ac:dyDescent="0.3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5">
      <c r="A170" s="147">
        <v>1</v>
      </c>
      <c r="B170" s="169" t="s">
        <v>296</v>
      </c>
      <c r="C170" s="157">
        <v>61943188</v>
      </c>
      <c r="D170" s="157">
        <v>60105000</v>
      </c>
      <c r="E170" s="157">
        <f t="shared" ref="E170:E183" si="10">D170-C170</f>
        <v>-1838188</v>
      </c>
      <c r="F170" s="161">
        <f t="shared" ref="F170:F183" si="11">IF(C170=0,0,E170/C170)</f>
        <v>-2.9675385774461591E-2</v>
      </c>
    </row>
    <row r="171" spans="1:6" ht="15" customHeight="1" x14ac:dyDescent="0.25">
      <c r="A171" s="147">
        <v>2</v>
      </c>
      <c r="B171" s="169" t="s">
        <v>297</v>
      </c>
      <c r="C171" s="157">
        <v>8941962</v>
      </c>
      <c r="D171" s="157">
        <v>7836000</v>
      </c>
      <c r="E171" s="157">
        <f t="shared" si="10"/>
        <v>-1105962</v>
      </c>
      <c r="F171" s="161">
        <f t="shared" si="11"/>
        <v>-0.12368225228423024</v>
      </c>
    </row>
    <row r="172" spans="1:6" ht="15" customHeight="1" x14ac:dyDescent="0.25">
      <c r="A172" s="147">
        <v>3</v>
      </c>
      <c r="B172" s="169" t="s">
        <v>298</v>
      </c>
      <c r="C172" s="157">
        <v>0</v>
      </c>
      <c r="D172" s="157">
        <v>0</v>
      </c>
      <c r="E172" s="157">
        <f t="shared" si="10"/>
        <v>0</v>
      </c>
      <c r="F172" s="161">
        <f t="shared" si="11"/>
        <v>0</v>
      </c>
    </row>
    <row r="173" spans="1:6" ht="15" customHeight="1" x14ac:dyDescent="0.25">
      <c r="A173" s="147">
        <v>4</v>
      </c>
      <c r="B173" s="169" t="s">
        <v>299</v>
      </c>
      <c r="C173" s="157">
        <v>5105273</v>
      </c>
      <c r="D173" s="157">
        <v>4772000</v>
      </c>
      <c r="E173" s="157">
        <f t="shared" si="10"/>
        <v>-333273</v>
      </c>
      <c r="F173" s="161">
        <f t="shared" si="11"/>
        <v>-6.5280152501149297E-2</v>
      </c>
    </row>
    <row r="174" spans="1:6" ht="15" customHeight="1" x14ac:dyDescent="0.25">
      <c r="A174" s="147">
        <v>5</v>
      </c>
      <c r="B174" s="169" t="s">
        <v>300</v>
      </c>
      <c r="C174" s="157">
        <v>2124024</v>
      </c>
      <c r="D174" s="157">
        <v>1591000</v>
      </c>
      <c r="E174" s="157">
        <f t="shared" si="10"/>
        <v>-533024</v>
      </c>
      <c r="F174" s="161">
        <f t="shared" si="11"/>
        <v>-0.25095008342655262</v>
      </c>
    </row>
    <row r="175" spans="1:6" ht="15" customHeight="1" x14ac:dyDescent="0.25">
      <c r="A175" s="147">
        <v>6</v>
      </c>
      <c r="B175" s="169" t="s">
        <v>301</v>
      </c>
      <c r="C175" s="157">
        <v>4824329</v>
      </c>
      <c r="D175" s="157">
        <v>5035000</v>
      </c>
      <c r="E175" s="157">
        <f t="shared" si="10"/>
        <v>210671</v>
      </c>
      <c r="F175" s="161">
        <f t="shared" si="11"/>
        <v>4.3668456276510163E-2</v>
      </c>
    </row>
    <row r="176" spans="1:6" ht="15" customHeight="1" x14ac:dyDescent="0.25">
      <c r="A176" s="147">
        <v>7</v>
      </c>
      <c r="B176" s="169" t="s">
        <v>302</v>
      </c>
      <c r="C176" s="157">
        <v>0</v>
      </c>
      <c r="D176" s="157">
        <v>0</v>
      </c>
      <c r="E176" s="157">
        <f t="shared" si="10"/>
        <v>0</v>
      </c>
      <c r="F176" s="161">
        <f t="shared" si="11"/>
        <v>0</v>
      </c>
    </row>
    <row r="177" spans="1:6" ht="15" customHeight="1" x14ac:dyDescent="0.25">
      <c r="A177" s="147">
        <v>8</v>
      </c>
      <c r="B177" s="169" t="s">
        <v>303</v>
      </c>
      <c r="C177" s="157">
        <v>4677109</v>
      </c>
      <c r="D177" s="157">
        <v>5124000</v>
      </c>
      <c r="E177" s="157">
        <f t="shared" si="10"/>
        <v>446891</v>
      </c>
      <c r="F177" s="161">
        <f t="shared" si="11"/>
        <v>9.554855360437399E-2</v>
      </c>
    </row>
    <row r="178" spans="1:6" ht="15" customHeight="1" x14ac:dyDescent="0.25">
      <c r="A178" s="147">
        <v>9</v>
      </c>
      <c r="B178" s="169" t="s">
        <v>304</v>
      </c>
      <c r="C178" s="157">
        <v>3280088</v>
      </c>
      <c r="D178" s="157">
        <v>3168000</v>
      </c>
      <c r="E178" s="157">
        <f t="shared" si="10"/>
        <v>-112088</v>
      </c>
      <c r="F178" s="161">
        <f t="shared" si="11"/>
        <v>-3.417225391513886E-2</v>
      </c>
    </row>
    <row r="179" spans="1:6" ht="15" customHeight="1" x14ac:dyDescent="0.25">
      <c r="A179" s="147">
        <v>10</v>
      </c>
      <c r="B179" s="169" t="s">
        <v>305</v>
      </c>
      <c r="C179" s="157">
        <v>9237493</v>
      </c>
      <c r="D179" s="157">
        <v>8737000</v>
      </c>
      <c r="E179" s="157">
        <f t="shared" si="10"/>
        <v>-500493</v>
      </c>
      <c r="F179" s="161">
        <f t="shared" si="11"/>
        <v>-5.4180609392613342E-2</v>
      </c>
    </row>
    <row r="180" spans="1:6" ht="15" customHeight="1" x14ac:dyDescent="0.25">
      <c r="A180" s="147">
        <v>11</v>
      </c>
      <c r="B180" s="169" t="s">
        <v>306</v>
      </c>
      <c r="C180" s="157">
        <v>0</v>
      </c>
      <c r="D180" s="157">
        <v>0</v>
      </c>
      <c r="E180" s="157">
        <f t="shared" si="10"/>
        <v>0</v>
      </c>
      <c r="F180" s="161">
        <f t="shared" si="11"/>
        <v>0</v>
      </c>
    </row>
    <row r="181" spans="1:6" ht="15" customHeight="1" x14ac:dyDescent="0.25">
      <c r="A181" s="147">
        <v>12</v>
      </c>
      <c r="B181" s="169" t="s">
        <v>307</v>
      </c>
      <c r="C181" s="157">
        <v>5916386</v>
      </c>
      <c r="D181" s="157">
        <v>5699000</v>
      </c>
      <c r="E181" s="157">
        <f t="shared" si="10"/>
        <v>-217386</v>
      </c>
      <c r="F181" s="161">
        <f t="shared" si="11"/>
        <v>-3.6743038740203904E-2</v>
      </c>
    </row>
    <row r="182" spans="1:6" ht="15" customHeight="1" x14ac:dyDescent="0.25">
      <c r="A182" s="147">
        <v>13</v>
      </c>
      <c r="B182" s="169" t="s">
        <v>308</v>
      </c>
      <c r="C182" s="157">
        <v>0</v>
      </c>
      <c r="D182" s="157">
        <v>0</v>
      </c>
      <c r="E182" s="157">
        <f t="shared" si="10"/>
        <v>0</v>
      </c>
      <c r="F182" s="161">
        <f t="shared" si="11"/>
        <v>0</v>
      </c>
    </row>
    <row r="183" spans="1:6" ht="15.75" customHeight="1" x14ac:dyDescent="0.3">
      <c r="A183" s="147"/>
      <c r="B183" s="165" t="s">
        <v>309</v>
      </c>
      <c r="C183" s="158">
        <f>SUM(C170:C182)</f>
        <v>106049852</v>
      </c>
      <c r="D183" s="158">
        <f>SUM(D170:D182)</f>
        <v>102067000</v>
      </c>
      <c r="E183" s="158">
        <f t="shared" si="10"/>
        <v>-3982852</v>
      </c>
      <c r="F183" s="159">
        <f t="shared" si="11"/>
        <v>-3.7556412619981779E-2</v>
      </c>
    </row>
    <row r="184" spans="1:6" ht="15.75" customHeight="1" x14ac:dyDescent="0.3">
      <c r="A184" s="147"/>
      <c r="B184" s="170"/>
      <c r="C184" s="157"/>
      <c r="D184" s="157"/>
      <c r="E184" s="158"/>
      <c r="F184" s="151"/>
    </row>
    <row r="185" spans="1:6" ht="15.75" customHeight="1" x14ac:dyDescent="0.3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5">
      <c r="A186" s="147">
        <v>1</v>
      </c>
      <c r="B186" s="169" t="s">
        <v>311</v>
      </c>
      <c r="C186" s="157">
        <v>45798255</v>
      </c>
      <c r="D186" s="157">
        <v>52804000</v>
      </c>
      <c r="E186" s="157">
        <f>D186-C186</f>
        <v>7005745</v>
      </c>
      <c r="F186" s="161">
        <f>IF(C186=0,0,E186/C186)</f>
        <v>0.15296969284091719</v>
      </c>
    </row>
    <row r="187" spans="1:6" ht="15.75" customHeight="1" x14ac:dyDescent="0.3">
      <c r="A187" s="147"/>
      <c r="B187" s="170"/>
      <c r="C187" s="157"/>
      <c r="D187" s="157"/>
      <c r="E187" s="158"/>
      <c r="F187" s="151"/>
    </row>
    <row r="188" spans="1:6" ht="15.75" customHeight="1" x14ac:dyDescent="0.3">
      <c r="A188" s="164"/>
      <c r="B188" s="165" t="s">
        <v>312</v>
      </c>
      <c r="C188" s="158">
        <f>+C186+C183+C167+C130+C121</f>
        <v>624338000</v>
      </c>
      <c r="D188" s="158">
        <f>+D186+D183+D167+D130+D121</f>
        <v>644970000</v>
      </c>
      <c r="E188" s="158">
        <f>D188-C188</f>
        <v>20632000</v>
      </c>
      <c r="F188" s="159">
        <f>IF(C188=0,0,E188/C188)</f>
        <v>3.3046202537727963E-2</v>
      </c>
    </row>
    <row r="189" spans="1:6" ht="15.75" customHeight="1" x14ac:dyDescent="0.3">
      <c r="A189" s="164"/>
      <c r="B189" s="170"/>
      <c r="C189" s="157"/>
      <c r="D189" s="157"/>
      <c r="E189" s="158"/>
      <c r="F189" s="159"/>
    </row>
    <row r="190" spans="1:6" ht="15.75" customHeight="1" x14ac:dyDescent="0.3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5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FILING&amp;RDANBURY HOSPITAL</oddHeader>
    <oddFooter>&amp;LREPORT 100&amp;CPAGE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2"/>
  <sheetViews>
    <sheetView zoomScale="75" zoomScaleSheetLayoutView="75" workbookViewId="0">
      <selection sqref="A1:F1"/>
    </sheetView>
  </sheetViews>
  <sheetFormatPr defaultColWidth="9.109375" defaultRowHeight="24" customHeight="1" x14ac:dyDescent="0.25"/>
  <cols>
    <col min="1" max="1" width="8.6640625" style="70" customWidth="1"/>
    <col min="2" max="2" width="60.88671875" style="70" customWidth="1"/>
    <col min="3" max="3" width="21.88671875" style="70" customWidth="1"/>
    <col min="4" max="5" width="21.88671875" style="222" customWidth="1"/>
    <col min="6" max="16384" width="9.109375" style="70"/>
  </cols>
  <sheetData>
    <row r="1" spans="1:6" ht="24" customHeight="1" x14ac:dyDescent="0.3">
      <c r="A1" s="173"/>
      <c r="B1" s="174" t="s">
        <v>0</v>
      </c>
      <c r="C1" s="174"/>
      <c r="D1" s="174"/>
      <c r="E1" s="175"/>
      <c r="F1" s="176"/>
    </row>
    <row r="2" spans="1:6" ht="24" customHeight="1" x14ac:dyDescent="0.3">
      <c r="A2" s="177"/>
      <c r="B2" s="174" t="s">
        <v>1</v>
      </c>
      <c r="C2" s="174"/>
      <c r="D2" s="174"/>
      <c r="E2" s="175"/>
      <c r="F2" s="176"/>
    </row>
    <row r="3" spans="1:6" ht="24" customHeight="1" x14ac:dyDescent="0.3">
      <c r="A3" s="177"/>
      <c r="B3" s="174" t="s">
        <v>314</v>
      </c>
      <c r="C3" s="174"/>
      <c r="D3" s="174"/>
      <c r="E3" s="175"/>
      <c r="F3" s="176"/>
    </row>
    <row r="4" spans="1:6" ht="24" customHeight="1" x14ac:dyDescent="0.3">
      <c r="A4" s="177"/>
      <c r="B4" s="174" t="s">
        <v>315</v>
      </c>
      <c r="C4" s="175"/>
      <c r="D4" s="175"/>
      <c r="E4" s="175"/>
      <c r="F4" s="176"/>
    </row>
    <row r="5" spans="1:6" ht="24" customHeight="1" x14ac:dyDescent="0.3">
      <c r="A5" s="177"/>
      <c r="B5" s="174"/>
      <c r="C5" s="174"/>
      <c r="D5" s="174"/>
      <c r="E5" s="175"/>
      <c r="F5" s="176"/>
    </row>
    <row r="6" spans="1:6" ht="24" customHeight="1" x14ac:dyDescent="0.3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3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3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3">
      <c r="A9" s="181"/>
      <c r="B9" s="182"/>
      <c r="C9" s="181"/>
      <c r="D9" s="181"/>
      <c r="E9" s="181"/>
      <c r="F9" s="181"/>
    </row>
    <row r="10" spans="1:6" ht="24" customHeight="1" x14ac:dyDescent="0.3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3">
      <c r="A11" s="85">
        <v>1</v>
      </c>
      <c r="B11" s="75" t="s">
        <v>75</v>
      </c>
      <c r="C11" s="76">
        <v>506353775</v>
      </c>
      <c r="D11" s="183">
        <v>592876000</v>
      </c>
      <c r="E11" s="76">
        <v>621214000</v>
      </c>
      <c r="F11" s="181"/>
    </row>
    <row r="12" spans="1:6" ht="24" customHeight="1" x14ac:dyDescent="0.3">
      <c r="A12" s="85">
        <v>2</v>
      </c>
      <c r="B12" s="184" t="s">
        <v>320</v>
      </c>
      <c r="C12" s="185">
        <v>15495383</v>
      </c>
      <c r="D12" s="185">
        <v>16591000</v>
      </c>
      <c r="E12" s="185">
        <v>19327000</v>
      </c>
      <c r="F12" s="181"/>
    </row>
    <row r="13" spans="1:6" ht="24" customHeight="1" x14ac:dyDescent="0.3">
      <c r="A13" s="85">
        <v>3</v>
      </c>
      <c r="B13" s="75" t="s">
        <v>80</v>
      </c>
      <c r="C13" s="76">
        <f>+C11+C12</f>
        <v>521849158</v>
      </c>
      <c r="D13" s="76">
        <f>+D11+D12</f>
        <v>609467000</v>
      </c>
      <c r="E13" s="76">
        <f>+E11+E12</f>
        <v>640541000</v>
      </c>
      <c r="F13" s="181"/>
    </row>
    <row r="14" spans="1:6" ht="24" customHeight="1" x14ac:dyDescent="0.3">
      <c r="A14" s="85">
        <v>4</v>
      </c>
      <c r="B14" s="186" t="s">
        <v>91</v>
      </c>
      <c r="C14" s="185">
        <v>502208728</v>
      </c>
      <c r="D14" s="185">
        <v>624338000</v>
      </c>
      <c r="E14" s="185">
        <v>644970000</v>
      </c>
      <c r="F14" s="181"/>
    </row>
    <row r="15" spans="1:6" ht="24" customHeight="1" x14ac:dyDescent="0.3">
      <c r="A15" s="85">
        <v>5</v>
      </c>
      <c r="B15" s="75" t="s">
        <v>92</v>
      </c>
      <c r="C15" s="76">
        <f>+C13-C14</f>
        <v>19640430</v>
      </c>
      <c r="D15" s="76">
        <f>+D13-D14</f>
        <v>-14871000</v>
      </c>
      <c r="E15" s="76">
        <f>+E13-E14</f>
        <v>-4429000</v>
      </c>
      <c r="F15" s="181"/>
    </row>
    <row r="16" spans="1:6" ht="24" customHeight="1" x14ac:dyDescent="0.3">
      <c r="A16" s="85">
        <v>6</v>
      </c>
      <c r="B16" s="186" t="s">
        <v>97</v>
      </c>
      <c r="C16" s="185">
        <v>31445240</v>
      </c>
      <c r="D16" s="185">
        <v>9265000</v>
      </c>
      <c r="E16" s="185">
        <v>29126000</v>
      </c>
      <c r="F16" s="181"/>
    </row>
    <row r="17" spans="1:6" ht="24" customHeight="1" x14ac:dyDescent="0.3">
      <c r="A17" s="85">
        <v>7</v>
      </c>
      <c r="B17" s="82" t="s">
        <v>321</v>
      </c>
      <c r="C17" s="76">
        <f>C15+C16</f>
        <v>51085670</v>
      </c>
      <c r="D17" s="76">
        <f>D15+D16</f>
        <v>-5606000</v>
      </c>
      <c r="E17" s="76">
        <f>E15+E16</f>
        <v>24697000</v>
      </c>
      <c r="F17" s="181"/>
    </row>
    <row r="18" spans="1:6" ht="24" customHeight="1" x14ac:dyDescent="0.3">
      <c r="A18" s="85"/>
      <c r="B18" s="72"/>
      <c r="C18" s="187"/>
      <c r="D18" s="187"/>
      <c r="E18" s="188"/>
      <c r="F18" s="181"/>
    </row>
    <row r="19" spans="1:6" ht="24" customHeight="1" x14ac:dyDescent="0.3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3">
      <c r="A20" s="74">
        <v>1</v>
      </c>
      <c r="B20" s="75" t="s">
        <v>323</v>
      </c>
      <c r="C20" s="189">
        <f>IF(+C27=0,0,+C24/+C27)</f>
        <v>3.5497250778237593E-2</v>
      </c>
      <c r="D20" s="189">
        <f>IF(+D27=0,0,+D24/+D27)</f>
        <v>-2.4034638583425458E-2</v>
      </c>
      <c r="E20" s="189">
        <f>IF(+E27=0,0,+E24/+E27)</f>
        <v>-6.6137348861449044E-3</v>
      </c>
      <c r="F20" s="181"/>
    </row>
    <row r="21" spans="1:6" ht="24" customHeight="1" x14ac:dyDescent="0.3">
      <c r="A21" s="74">
        <v>2</v>
      </c>
      <c r="B21" s="75" t="s">
        <v>324</v>
      </c>
      <c r="C21" s="189">
        <f>IF(C27=0,0,+C26/C27)</f>
        <v>5.6832746027549695E-2</v>
      </c>
      <c r="D21" s="189">
        <f>IF(D27=0,0,+D26/D27)</f>
        <v>1.4974172986042422E-2</v>
      </c>
      <c r="E21" s="189">
        <f>IF(E27=0,0,+E26/E27)</f>
        <v>4.3493258589716977E-2</v>
      </c>
      <c r="F21" s="181"/>
    </row>
    <row r="22" spans="1:6" ht="24" customHeight="1" x14ac:dyDescent="0.3">
      <c r="A22" s="74">
        <v>3</v>
      </c>
      <c r="B22" s="75" t="s">
        <v>325</v>
      </c>
      <c r="C22" s="189">
        <f>IF(C27=0,0,+C28/C27)</f>
        <v>9.2329996805787282E-2</v>
      </c>
      <c r="D22" s="189">
        <f>IF(D27=0,0,+D28/D27)</f>
        <v>-9.0604655973830356E-3</v>
      </c>
      <c r="E22" s="189">
        <f>IF(E27=0,0,+E28/E27)</f>
        <v>3.6879523703572073E-2</v>
      </c>
      <c r="F22" s="181"/>
    </row>
    <row r="23" spans="1:6" ht="24" customHeight="1" x14ac:dyDescent="0.3">
      <c r="A23" s="173"/>
      <c r="B23" s="75"/>
      <c r="C23" s="189"/>
      <c r="D23" s="189"/>
      <c r="E23" s="189"/>
      <c r="F23" s="181"/>
    </row>
    <row r="24" spans="1:6" ht="24" customHeight="1" x14ac:dyDescent="0.3">
      <c r="A24" s="173">
        <v>4</v>
      </c>
      <c r="B24" s="75" t="s">
        <v>92</v>
      </c>
      <c r="C24" s="76">
        <f>+C15</f>
        <v>19640430</v>
      </c>
      <c r="D24" s="76">
        <f>+D15</f>
        <v>-14871000</v>
      </c>
      <c r="E24" s="76">
        <f>+E15</f>
        <v>-4429000</v>
      </c>
      <c r="F24" s="181"/>
    </row>
    <row r="25" spans="1:6" ht="24" customHeight="1" x14ac:dyDescent="0.3">
      <c r="A25" s="173">
        <v>5</v>
      </c>
      <c r="B25" s="75" t="s">
        <v>80</v>
      </c>
      <c r="C25" s="76">
        <f>+C13</f>
        <v>521849158</v>
      </c>
      <c r="D25" s="76">
        <f>+D13</f>
        <v>609467000</v>
      </c>
      <c r="E25" s="76">
        <f>+E13</f>
        <v>640541000</v>
      </c>
      <c r="F25" s="181"/>
    </row>
    <row r="26" spans="1:6" ht="24" customHeight="1" x14ac:dyDescent="0.3">
      <c r="A26" s="173">
        <v>6</v>
      </c>
      <c r="B26" s="75" t="s">
        <v>97</v>
      </c>
      <c r="C26" s="76">
        <f>+C16</f>
        <v>31445240</v>
      </c>
      <c r="D26" s="76">
        <f>+D16</f>
        <v>9265000</v>
      </c>
      <c r="E26" s="76">
        <f>+E16</f>
        <v>29126000</v>
      </c>
      <c r="F26" s="181"/>
    </row>
    <row r="27" spans="1:6" ht="24" customHeight="1" x14ac:dyDescent="0.3">
      <c r="A27" s="173">
        <v>7</v>
      </c>
      <c r="B27" s="75" t="s">
        <v>326</v>
      </c>
      <c r="C27" s="76">
        <f>+C25+C26</f>
        <v>553294398</v>
      </c>
      <c r="D27" s="76">
        <f>+D25+D26</f>
        <v>618732000</v>
      </c>
      <c r="E27" s="76">
        <f>+E25+E26</f>
        <v>669667000</v>
      </c>
      <c r="F27" s="181"/>
    </row>
    <row r="28" spans="1:6" ht="24" customHeight="1" x14ac:dyDescent="0.3">
      <c r="A28" s="173">
        <v>8</v>
      </c>
      <c r="B28" s="82" t="s">
        <v>321</v>
      </c>
      <c r="C28" s="76">
        <f>+C17</f>
        <v>51085670</v>
      </c>
      <c r="D28" s="76">
        <f>+D17</f>
        <v>-5606000</v>
      </c>
      <c r="E28" s="76">
        <f>+E17</f>
        <v>24697000</v>
      </c>
      <c r="F28" s="181"/>
    </row>
    <row r="29" spans="1:6" ht="24" customHeight="1" x14ac:dyDescent="0.3">
      <c r="A29" s="190"/>
      <c r="B29" s="75"/>
      <c r="C29" s="76"/>
      <c r="D29" s="76"/>
      <c r="E29" s="76"/>
      <c r="F29" s="181"/>
    </row>
    <row r="30" spans="1:6" ht="24" customHeight="1" x14ac:dyDescent="0.3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3">
      <c r="A31" s="74">
        <v>1</v>
      </c>
      <c r="B31" s="192" t="s">
        <v>328</v>
      </c>
      <c r="C31" s="76">
        <v>412096873</v>
      </c>
      <c r="D31" s="76">
        <v>406110000</v>
      </c>
      <c r="E31" s="76">
        <v>392151000</v>
      </c>
      <c r="F31" s="181"/>
    </row>
    <row r="32" spans="1:6" ht="24" customHeight="1" x14ac:dyDescent="0.3">
      <c r="A32" s="74">
        <v>2</v>
      </c>
      <c r="B32" s="75" t="s">
        <v>329</v>
      </c>
      <c r="C32" s="76">
        <v>489293538</v>
      </c>
      <c r="D32" s="76">
        <v>476736000</v>
      </c>
      <c r="E32" s="76">
        <v>453355000</v>
      </c>
      <c r="F32" s="181"/>
    </row>
    <row r="33" spans="1:6" ht="24" customHeight="1" x14ac:dyDescent="0.25">
      <c r="A33" s="74">
        <v>3</v>
      </c>
      <c r="B33" s="75" t="s">
        <v>330</v>
      </c>
      <c r="C33" s="76">
        <v>2646427</v>
      </c>
      <c r="D33" s="76">
        <f>+D32-C32</f>
        <v>-12557538</v>
      </c>
      <c r="E33" s="76">
        <f>+E32-D32</f>
        <v>-23381000</v>
      </c>
      <c r="F33" s="176"/>
    </row>
    <row r="34" spans="1:6" ht="24" customHeight="1" x14ac:dyDescent="0.25">
      <c r="A34" s="74">
        <v>4</v>
      </c>
      <c r="B34" s="75" t="s">
        <v>331</v>
      </c>
      <c r="C34" s="193">
        <v>1.0054000000000001</v>
      </c>
      <c r="D34" s="193">
        <f>IF(C32=0,0,+D33/C32)</f>
        <v>-2.5664630788563573E-2</v>
      </c>
      <c r="E34" s="193">
        <f>IF(D32=0,0,+E33/D32)</f>
        <v>-4.9043915290643038E-2</v>
      </c>
      <c r="F34" s="176"/>
    </row>
    <row r="35" spans="1:6" ht="24" customHeight="1" x14ac:dyDescent="0.3">
      <c r="A35" s="190"/>
      <c r="B35" s="194"/>
      <c r="C35" s="79"/>
      <c r="D35" s="79"/>
      <c r="E35" s="88"/>
      <c r="F35" s="176"/>
    </row>
    <row r="36" spans="1:6" ht="24" customHeight="1" x14ac:dyDescent="0.3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3">
      <c r="A37" s="83"/>
      <c r="B37" s="191"/>
      <c r="C37" s="175"/>
      <c r="D37" s="175"/>
      <c r="E37" s="175"/>
      <c r="F37" s="176"/>
    </row>
    <row r="38" spans="1:6" ht="24" customHeight="1" x14ac:dyDescent="0.3">
      <c r="A38" s="71">
        <v>1</v>
      </c>
      <c r="B38" s="72" t="s">
        <v>333</v>
      </c>
      <c r="C38" s="195">
        <f>IF((C40+C41)=0,0,+C39/(C40+C41))</f>
        <v>0.38424379467098391</v>
      </c>
      <c r="D38" s="195">
        <f>IF((D40+D41)=0,0,+D39/(D40+D41))</f>
        <v>0.39998112829253973</v>
      </c>
      <c r="E38" s="195">
        <f>IF((E40+E41)=0,0,+E39/(E40+E41))</f>
        <v>0.38991194888997149</v>
      </c>
      <c r="F38" s="176"/>
    </row>
    <row r="39" spans="1:6" ht="24" customHeight="1" x14ac:dyDescent="0.25">
      <c r="A39" s="173">
        <v>2</v>
      </c>
      <c r="B39" s="75" t="s">
        <v>334</v>
      </c>
      <c r="C39" s="76">
        <v>502208728</v>
      </c>
      <c r="D39" s="76">
        <v>624338000</v>
      </c>
      <c r="E39" s="196">
        <v>644970000</v>
      </c>
      <c r="F39" s="176"/>
    </row>
    <row r="40" spans="1:6" ht="24" customHeight="1" x14ac:dyDescent="0.25">
      <c r="A40" s="173">
        <v>3</v>
      </c>
      <c r="B40" s="75" t="s">
        <v>335</v>
      </c>
      <c r="C40" s="76">
        <v>1291510052</v>
      </c>
      <c r="D40" s="76">
        <v>1544327256</v>
      </c>
      <c r="E40" s="196">
        <v>1634814963</v>
      </c>
      <c r="F40" s="176"/>
    </row>
    <row r="41" spans="1:6" ht="24" customHeight="1" x14ac:dyDescent="0.25">
      <c r="A41" s="173">
        <v>4</v>
      </c>
      <c r="B41" s="75" t="s">
        <v>336</v>
      </c>
      <c r="C41" s="76">
        <v>15495383</v>
      </c>
      <c r="D41" s="76">
        <v>16591387</v>
      </c>
      <c r="E41" s="196">
        <v>19327727</v>
      </c>
      <c r="F41" s="176"/>
    </row>
    <row r="42" spans="1:6" ht="24" customHeight="1" x14ac:dyDescent="0.3">
      <c r="A42" s="190"/>
      <c r="B42" s="75"/>
      <c r="C42" s="174"/>
      <c r="D42" s="174"/>
      <c r="E42" s="175"/>
      <c r="F42" s="176"/>
    </row>
    <row r="43" spans="1:6" ht="24" customHeight="1" x14ac:dyDescent="0.3">
      <c r="A43" s="71">
        <v>5</v>
      </c>
      <c r="B43" s="72" t="s">
        <v>337</v>
      </c>
      <c r="C43" s="197">
        <f>IF(C38=0,0,IF((C46-C47)=0,0,((+C44-C45)/(C46-C47)/C38)))</f>
        <v>1.5348272539024674</v>
      </c>
      <c r="D43" s="197">
        <f>IF(D38=0,0,IF((D46-D47)=0,0,((+D44-D45)/(D46-D47)/D38)))</f>
        <v>1.4109590772155616</v>
      </c>
      <c r="E43" s="197">
        <f>IF(E38=0,0,IF((E46-E47)=0,0,((+E44-E45)/(E46-E47)/E38)))</f>
        <v>1.4108413493508338</v>
      </c>
      <c r="F43" s="176"/>
    </row>
    <row r="44" spans="1:6" ht="24" customHeight="1" x14ac:dyDescent="0.25">
      <c r="A44" s="173">
        <v>6</v>
      </c>
      <c r="B44" s="75" t="s">
        <v>338</v>
      </c>
      <c r="C44" s="76">
        <v>305487429</v>
      </c>
      <c r="D44" s="76">
        <v>331438914</v>
      </c>
      <c r="E44" s="196">
        <v>349734699</v>
      </c>
      <c r="F44" s="176"/>
    </row>
    <row r="45" spans="1:6" ht="24" customHeight="1" x14ac:dyDescent="0.25">
      <c r="A45" s="173">
        <v>7</v>
      </c>
      <c r="B45" s="75" t="s">
        <v>339</v>
      </c>
      <c r="C45" s="76">
        <v>9161068</v>
      </c>
      <c r="D45" s="76">
        <v>10127415</v>
      </c>
      <c r="E45" s="196">
        <v>11186048</v>
      </c>
      <c r="F45" s="176"/>
    </row>
    <row r="46" spans="1:6" ht="24" customHeight="1" x14ac:dyDescent="0.25">
      <c r="A46" s="173">
        <v>8</v>
      </c>
      <c r="B46" s="75" t="s">
        <v>340</v>
      </c>
      <c r="C46" s="76">
        <v>534946896</v>
      </c>
      <c r="D46" s="76">
        <v>611529552</v>
      </c>
      <c r="E46" s="196">
        <v>655886703</v>
      </c>
      <c r="F46" s="176"/>
    </row>
    <row r="47" spans="1:6" ht="24" customHeight="1" x14ac:dyDescent="0.25">
      <c r="A47" s="173">
        <v>9</v>
      </c>
      <c r="B47" s="75" t="s">
        <v>341</v>
      </c>
      <c r="C47" s="76">
        <v>32484086</v>
      </c>
      <c r="D47" s="76">
        <v>42188697</v>
      </c>
      <c r="E47" s="76">
        <v>40459961</v>
      </c>
      <c r="F47" s="176"/>
    </row>
    <row r="48" spans="1:6" ht="24" customHeight="1" x14ac:dyDescent="0.3">
      <c r="A48" s="190"/>
      <c r="B48" s="75"/>
      <c r="C48" s="174"/>
      <c r="D48" s="174"/>
      <c r="E48" s="175"/>
      <c r="F48" s="176"/>
    </row>
    <row r="49" spans="1:6" ht="24" customHeight="1" x14ac:dyDescent="0.3">
      <c r="A49" s="71">
        <v>10</v>
      </c>
      <c r="B49" s="72" t="s">
        <v>342</v>
      </c>
      <c r="C49" s="198">
        <f>IF(C38=0,0,IF(C51=0,0,(C50/C51)/C38))</f>
        <v>0.82110958594770023</v>
      </c>
      <c r="D49" s="198">
        <f>IF(D38=0,0,IF(D51=0,0,(D50/D51)/D38))</f>
        <v>0.77125790258052551</v>
      </c>
      <c r="E49" s="198">
        <f>IF(E38=0,0,IF(E51=0,0,(E50/E51)/E38))</f>
        <v>0.76364854106016633</v>
      </c>
      <c r="F49" s="178"/>
    </row>
    <row r="50" spans="1:6" ht="24" customHeight="1" x14ac:dyDescent="0.3">
      <c r="A50" s="173">
        <v>11</v>
      </c>
      <c r="B50" s="75" t="s">
        <v>343</v>
      </c>
      <c r="C50" s="199">
        <v>182401310</v>
      </c>
      <c r="D50" s="199">
        <v>221632373</v>
      </c>
      <c r="E50" s="199">
        <v>222788150</v>
      </c>
      <c r="F50" s="179"/>
    </row>
    <row r="51" spans="1:6" ht="24" customHeight="1" x14ac:dyDescent="0.3">
      <c r="A51" s="173">
        <v>12</v>
      </c>
      <c r="B51" s="75" t="s">
        <v>344</v>
      </c>
      <c r="C51" s="199">
        <v>578122628</v>
      </c>
      <c r="D51" s="199">
        <v>718445896</v>
      </c>
      <c r="E51" s="199">
        <v>748224658</v>
      </c>
      <c r="F51" s="179"/>
    </row>
    <row r="52" spans="1:6" ht="24" customHeight="1" x14ac:dyDescent="0.3">
      <c r="A52" s="190"/>
      <c r="B52" s="75"/>
      <c r="C52" s="179"/>
      <c r="D52" s="179"/>
      <c r="E52" s="179"/>
      <c r="F52" s="179"/>
    </row>
    <row r="53" spans="1:6" ht="24" customHeight="1" x14ac:dyDescent="0.3">
      <c r="A53" s="71">
        <v>13</v>
      </c>
      <c r="B53" s="72" t="s">
        <v>345</v>
      </c>
      <c r="C53" s="198">
        <f>IF(C38=0,0,IF(C55=0,0,(C54/C55)/C38))</f>
        <v>0.50657483545490556</v>
      </c>
      <c r="D53" s="198">
        <f>IF(D38=0,0,IF(D55=0,0,(D54/D55)/D38))</f>
        <v>0.50955439833276017</v>
      </c>
      <c r="E53" s="198">
        <f>IF(E38=0,0,IF(E55=0,0,(E54/E55)/E38))</f>
        <v>0.54791393979926239</v>
      </c>
      <c r="F53" s="181"/>
    </row>
    <row r="54" spans="1:6" ht="24" customHeight="1" x14ac:dyDescent="0.3">
      <c r="A54" s="173">
        <v>14</v>
      </c>
      <c r="B54" s="75" t="s">
        <v>346</v>
      </c>
      <c r="C54" s="199">
        <v>33894822</v>
      </c>
      <c r="D54" s="199">
        <v>42358047</v>
      </c>
      <c r="E54" s="199">
        <v>47847918</v>
      </c>
      <c r="F54" s="181"/>
    </row>
    <row r="55" spans="1:6" ht="24" customHeight="1" x14ac:dyDescent="0.3">
      <c r="A55" s="173">
        <v>15</v>
      </c>
      <c r="B55" s="75" t="s">
        <v>347</v>
      </c>
      <c r="C55" s="199">
        <v>174133722</v>
      </c>
      <c r="D55" s="199">
        <v>207828868</v>
      </c>
      <c r="E55" s="199">
        <v>223967061</v>
      </c>
      <c r="F55" s="181"/>
    </row>
    <row r="56" spans="1:6" ht="24" customHeight="1" x14ac:dyDescent="0.3">
      <c r="A56" s="190"/>
      <c r="B56" s="200"/>
      <c r="C56" s="181"/>
      <c r="D56" s="181"/>
      <c r="E56" s="181"/>
      <c r="F56" s="181"/>
    </row>
    <row r="57" spans="1:6" ht="24" customHeight="1" x14ac:dyDescent="0.3">
      <c r="A57" s="71">
        <v>16</v>
      </c>
      <c r="B57" s="72" t="s">
        <v>348</v>
      </c>
      <c r="C57" s="88">
        <f>+C60*C38</f>
        <v>10653214.154115668</v>
      </c>
      <c r="D57" s="88">
        <f>+D60*D38</f>
        <v>14970995.646049185</v>
      </c>
      <c r="E57" s="88">
        <f>+E60*E38</f>
        <v>14462155.081862979</v>
      </c>
      <c r="F57" s="181"/>
    </row>
    <row r="58" spans="1:6" ht="24" customHeight="1" x14ac:dyDescent="0.3">
      <c r="A58" s="173">
        <v>17</v>
      </c>
      <c r="B58" s="75" t="s">
        <v>349</v>
      </c>
      <c r="C58" s="199">
        <v>12601255</v>
      </c>
      <c r="D58" s="199">
        <v>16274798</v>
      </c>
      <c r="E58" s="199">
        <v>18294245</v>
      </c>
      <c r="F58" s="181"/>
    </row>
    <row r="59" spans="1:6" ht="24" customHeight="1" x14ac:dyDescent="0.3">
      <c r="A59" s="173">
        <v>18</v>
      </c>
      <c r="B59" s="75" t="s">
        <v>87</v>
      </c>
      <c r="C59" s="199">
        <v>15123888</v>
      </c>
      <c r="D59" s="199">
        <v>21154457</v>
      </c>
      <c r="E59" s="199">
        <v>18796578</v>
      </c>
      <c r="F59" s="181"/>
    </row>
    <row r="60" spans="1:6" ht="24" customHeight="1" x14ac:dyDescent="0.3">
      <c r="A60" s="173">
        <v>19</v>
      </c>
      <c r="B60" s="75" t="s">
        <v>350</v>
      </c>
      <c r="C60" s="76">
        <v>27725143</v>
      </c>
      <c r="D60" s="76">
        <v>37429255</v>
      </c>
      <c r="E60" s="201">
        <v>37090823</v>
      </c>
      <c r="F60" s="80"/>
    </row>
    <row r="61" spans="1:6" ht="24" customHeight="1" x14ac:dyDescent="0.3">
      <c r="A61" s="190"/>
      <c r="B61" s="182"/>
      <c r="C61" s="181"/>
      <c r="D61" s="181"/>
      <c r="E61" s="181"/>
      <c r="F61" s="181"/>
    </row>
    <row r="62" spans="1:6" ht="24" customHeight="1" x14ac:dyDescent="0.3">
      <c r="A62" s="71">
        <v>20</v>
      </c>
      <c r="B62" s="72" t="s">
        <v>351</v>
      </c>
      <c r="C62" s="202">
        <f>IF(C63=0,0,+C57/C63)</f>
        <v>2.1212722041970701E-2</v>
      </c>
      <c r="D62" s="202">
        <f>IF(D63=0,0,+D57/D63)</f>
        <v>2.3978991581561887E-2</v>
      </c>
      <c r="E62" s="202">
        <f>IF(E63=0,0,+E57/E63)</f>
        <v>2.2422988793064761E-2</v>
      </c>
      <c r="F62" s="181"/>
    </row>
    <row r="63" spans="1:6" ht="24" customHeight="1" x14ac:dyDescent="0.3">
      <c r="A63" s="173">
        <v>21</v>
      </c>
      <c r="B63" s="82" t="s">
        <v>334</v>
      </c>
      <c r="C63" s="199">
        <v>502208728</v>
      </c>
      <c r="D63" s="199">
        <v>624338000</v>
      </c>
      <c r="E63" s="199">
        <v>644970000</v>
      </c>
      <c r="F63" s="181"/>
    </row>
    <row r="64" spans="1:6" ht="24" customHeight="1" x14ac:dyDescent="0.3">
      <c r="A64" s="190"/>
      <c r="B64" s="75"/>
      <c r="C64" s="85"/>
      <c r="D64" s="85"/>
      <c r="E64" s="85"/>
      <c r="F64" s="181"/>
    </row>
    <row r="65" spans="1:6" ht="24" customHeight="1" x14ac:dyDescent="0.3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3">
      <c r="A66" s="71"/>
      <c r="B66" s="191"/>
      <c r="C66" s="79"/>
      <c r="D66" s="79"/>
      <c r="E66" s="88"/>
      <c r="F66" s="80"/>
    </row>
    <row r="67" spans="1:6" ht="24" customHeight="1" x14ac:dyDescent="0.3">
      <c r="A67" s="71">
        <v>1</v>
      </c>
      <c r="B67" s="72" t="s">
        <v>353</v>
      </c>
      <c r="C67" s="203">
        <f>IF(C69=0,0,C68/C69)</f>
        <v>1.5368262310467879</v>
      </c>
      <c r="D67" s="203">
        <f>IF(D69=0,0,D68/D69)</f>
        <v>1.2704480065762433</v>
      </c>
      <c r="E67" s="203">
        <f>IF(E69=0,0,E68/E69)</f>
        <v>1.4773817211700315</v>
      </c>
      <c r="F67" s="80"/>
    </row>
    <row r="68" spans="1:6" ht="24" customHeight="1" x14ac:dyDescent="0.3">
      <c r="A68" s="173">
        <v>2</v>
      </c>
      <c r="B68" s="75" t="s">
        <v>25</v>
      </c>
      <c r="C68" s="204">
        <v>137232555</v>
      </c>
      <c r="D68" s="204">
        <v>123640000</v>
      </c>
      <c r="E68" s="204">
        <v>139552000</v>
      </c>
      <c r="F68" s="80"/>
    </row>
    <row r="69" spans="1:6" ht="24" customHeight="1" x14ac:dyDescent="0.3">
      <c r="A69" s="173">
        <v>3</v>
      </c>
      <c r="B69" s="75" t="s">
        <v>54</v>
      </c>
      <c r="C69" s="204">
        <v>89296078</v>
      </c>
      <c r="D69" s="204">
        <v>97320000</v>
      </c>
      <c r="E69" s="204">
        <v>94459000</v>
      </c>
      <c r="F69" s="80"/>
    </row>
    <row r="70" spans="1:6" ht="24" customHeight="1" x14ac:dyDescent="0.3">
      <c r="A70" s="173"/>
      <c r="B70" s="194"/>
      <c r="C70" s="79"/>
      <c r="D70" s="79"/>
      <c r="E70" s="88"/>
      <c r="F70" s="80"/>
    </row>
    <row r="71" spans="1:6" ht="24" customHeight="1" x14ac:dyDescent="0.3">
      <c r="A71" s="71">
        <v>4</v>
      </c>
      <c r="B71" s="72" t="s">
        <v>354</v>
      </c>
      <c r="C71" s="203">
        <f>IF((C77/365)=0,0,+C74/(C77/365))</f>
        <v>36.156263801226729</v>
      </c>
      <c r="D71" s="203">
        <f>IF((D77/365)=0,0,+D74/(D77/365))</f>
        <v>13.291491353521117</v>
      </c>
      <c r="E71" s="203">
        <f>IF((E77/365)=0,0,+E74/(E77/365))</f>
        <v>23.995737567906392</v>
      </c>
      <c r="F71" s="80"/>
    </row>
    <row r="72" spans="1:6" ht="24" customHeight="1" x14ac:dyDescent="0.3">
      <c r="A72" s="173">
        <v>5</v>
      </c>
      <c r="B72" s="192" t="s">
        <v>16</v>
      </c>
      <c r="C72" s="183">
        <v>46609541</v>
      </c>
      <c r="D72" s="183">
        <v>21083000</v>
      </c>
      <c r="E72" s="183">
        <v>24232000</v>
      </c>
      <c r="F72" s="80"/>
    </row>
    <row r="73" spans="1:6" ht="24" customHeight="1" x14ac:dyDescent="0.3">
      <c r="A73" s="173">
        <v>6</v>
      </c>
      <c r="B73" s="205" t="s">
        <v>17</v>
      </c>
      <c r="C73" s="206">
        <v>0</v>
      </c>
      <c r="D73" s="206">
        <v>0</v>
      </c>
      <c r="E73" s="206">
        <v>15098000</v>
      </c>
      <c r="F73" s="80"/>
    </row>
    <row r="74" spans="1:6" ht="24" customHeight="1" x14ac:dyDescent="0.3">
      <c r="A74" s="173">
        <v>7</v>
      </c>
      <c r="B74" s="75" t="s">
        <v>355</v>
      </c>
      <c r="C74" s="204">
        <f>+C72+C73</f>
        <v>46609541</v>
      </c>
      <c r="D74" s="204">
        <f>+D72+D73</f>
        <v>21083000</v>
      </c>
      <c r="E74" s="204">
        <f>+E72+E73</f>
        <v>39330000</v>
      </c>
      <c r="F74" s="80"/>
    </row>
    <row r="75" spans="1:6" ht="24" customHeight="1" x14ac:dyDescent="0.3">
      <c r="A75" s="173">
        <v>8</v>
      </c>
      <c r="B75" s="75" t="s">
        <v>334</v>
      </c>
      <c r="C75" s="204">
        <f>+C14</f>
        <v>502208728</v>
      </c>
      <c r="D75" s="204">
        <f>+D14</f>
        <v>624338000</v>
      </c>
      <c r="E75" s="204">
        <f>+E14</f>
        <v>644970000</v>
      </c>
      <c r="F75" s="80"/>
    </row>
    <row r="76" spans="1:6" ht="24" customHeight="1" x14ac:dyDescent="0.3">
      <c r="A76" s="173">
        <v>9</v>
      </c>
      <c r="B76" s="82" t="s">
        <v>356</v>
      </c>
      <c r="C76" s="204">
        <v>31682167</v>
      </c>
      <c r="D76" s="204">
        <v>45374000</v>
      </c>
      <c r="E76" s="204">
        <v>46720000</v>
      </c>
      <c r="F76" s="80"/>
    </row>
    <row r="77" spans="1:6" ht="24" customHeight="1" x14ac:dyDescent="0.3">
      <c r="A77" s="173">
        <v>10</v>
      </c>
      <c r="B77" s="82" t="s">
        <v>357</v>
      </c>
      <c r="C77" s="204">
        <f>+C75-C76</f>
        <v>470526561</v>
      </c>
      <c r="D77" s="204">
        <f>+D75-D76</f>
        <v>578964000</v>
      </c>
      <c r="E77" s="204">
        <f>+E75-E76</f>
        <v>598250000</v>
      </c>
      <c r="F77" s="80"/>
    </row>
    <row r="78" spans="1:6" ht="24" customHeight="1" x14ac:dyDescent="0.3">
      <c r="A78" s="190"/>
      <c r="B78" s="207"/>
      <c r="C78" s="208"/>
      <c r="D78" s="208"/>
      <c r="E78" s="209"/>
      <c r="F78" s="80"/>
    </row>
    <row r="79" spans="1:6" ht="24" customHeight="1" x14ac:dyDescent="0.3">
      <c r="A79" s="71">
        <v>11</v>
      </c>
      <c r="B79" s="210" t="s">
        <v>358</v>
      </c>
      <c r="C79" s="203">
        <f>IF((C84/365)=0,0,+C83/(C84/365))</f>
        <v>35.276812195189024</v>
      </c>
      <c r="D79" s="203">
        <f>IF((D84/365)=0,0,+D83/(D84/365))</f>
        <v>36.141941991242689</v>
      </c>
      <c r="E79" s="203">
        <f>IF((E84/365)=0,0,+E83/(E84/365))</f>
        <v>29.250459583975893</v>
      </c>
      <c r="F79" s="80"/>
    </row>
    <row r="80" spans="1:6" ht="24" customHeight="1" x14ac:dyDescent="0.3">
      <c r="A80" s="173">
        <v>12</v>
      </c>
      <c r="B80" s="211" t="s">
        <v>359</v>
      </c>
      <c r="C80" s="212">
        <v>63595267</v>
      </c>
      <c r="D80" s="212">
        <v>76938000</v>
      </c>
      <c r="E80" s="212">
        <v>67983000</v>
      </c>
      <c r="F80" s="80"/>
    </row>
    <row r="81" spans="1:6" ht="24" customHeight="1" x14ac:dyDescent="0.3">
      <c r="A81" s="173">
        <v>13</v>
      </c>
      <c r="B81" s="211" t="s">
        <v>21</v>
      </c>
      <c r="C81" s="212">
        <v>0</v>
      </c>
      <c r="D81" s="212">
        <v>0</v>
      </c>
      <c r="E81" s="212">
        <v>0</v>
      </c>
      <c r="F81" s="80"/>
    </row>
    <row r="82" spans="1:6" ht="24" customHeight="1" x14ac:dyDescent="0.3">
      <c r="A82" s="173">
        <v>14</v>
      </c>
      <c r="B82" s="211" t="s">
        <v>49</v>
      </c>
      <c r="C82" s="212">
        <v>14656782</v>
      </c>
      <c r="D82" s="212">
        <v>18232000</v>
      </c>
      <c r="E82" s="212">
        <v>18200000</v>
      </c>
      <c r="F82" s="80"/>
    </row>
    <row r="83" spans="1:6" ht="33.9" customHeight="1" x14ac:dyDescent="0.3">
      <c r="A83" s="173">
        <v>15</v>
      </c>
      <c r="B83" s="82" t="s">
        <v>360</v>
      </c>
      <c r="C83" s="212">
        <f>+C80+C81-C82</f>
        <v>48938485</v>
      </c>
      <c r="D83" s="212">
        <f>+D80+D81-D82</f>
        <v>58706000</v>
      </c>
      <c r="E83" s="212">
        <f>+E80+E81-E82</f>
        <v>49783000</v>
      </c>
      <c r="F83" s="80"/>
    </row>
    <row r="84" spans="1:6" ht="24" customHeight="1" x14ac:dyDescent="0.3">
      <c r="A84" s="173">
        <v>16</v>
      </c>
      <c r="B84" s="75" t="s">
        <v>75</v>
      </c>
      <c r="C84" s="204">
        <f>+C11</f>
        <v>506353775</v>
      </c>
      <c r="D84" s="204">
        <f>+D11</f>
        <v>592876000</v>
      </c>
      <c r="E84" s="204">
        <f>+E11</f>
        <v>621214000</v>
      </c>
      <c r="F84" s="80"/>
    </row>
    <row r="85" spans="1:6" ht="24" customHeight="1" x14ac:dyDescent="0.3">
      <c r="A85" s="190"/>
      <c r="B85" s="75"/>
      <c r="C85" s="76"/>
      <c r="D85" s="213"/>
      <c r="E85" s="213"/>
      <c r="F85" s="80"/>
    </row>
    <row r="86" spans="1:6" ht="24" customHeight="1" x14ac:dyDescent="0.3">
      <c r="A86" s="71">
        <v>17</v>
      </c>
      <c r="B86" s="72" t="s">
        <v>361</v>
      </c>
      <c r="C86" s="203">
        <f>IF((C90/365)=0,0,+C87/(C90/365))</f>
        <v>69.269348792405367</v>
      </c>
      <c r="D86" s="203">
        <f>IF((D90/365)=0,0,+D87/(D90/365))</f>
        <v>61.354073828424561</v>
      </c>
      <c r="E86" s="203">
        <f>IF((E90/365)=0,0,+E87/(E90/365))</f>
        <v>57.630647722524031</v>
      </c>
      <c r="F86" s="181"/>
    </row>
    <row r="87" spans="1:6" ht="24" customHeight="1" x14ac:dyDescent="0.3">
      <c r="A87" s="173">
        <v>18</v>
      </c>
      <c r="B87" s="75" t="s">
        <v>54</v>
      </c>
      <c r="C87" s="76">
        <f>+C69</f>
        <v>89296078</v>
      </c>
      <c r="D87" s="76">
        <f>+D69</f>
        <v>97320000</v>
      </c>
      <c r="E87" s="76">
        <f>+E69</f>
        <v>94459000</v>
      </c>
      <c r="F87" s="80"/>
    </row>
    <row r="88" spans="1:6" ht="24" customHeight="1" x14ac:dyDescent="0.3">
      <c r="A88" s="173">
        <v>19</v>
      </c>
      <c r="B88" s="75" t="s">
        <v>334</v>
      </c>
      <c r="C88" s="76">
        <f t="shared" ref="C88:E89" si="0">+C75</f>
        <v>502208728</v>
      </c>
      <c r="D88" s="76">
        <f t="shared" si="0"/>
        <v>624338000</v>
      </c>
      <c r="E88" s="76">
        <f t="shared" si="0"/>
        <v>644970000</v>
      </c>
      <c r="F88" s="80"/>
    </row>
    <row r="89" spans="1:6" ht="24" customHeight="1" x14ac:dyDescent="0.3">
      <c r="A89" s="173">
        <v>20</v>
      </c>
      <c r="B89" s="75" t="s">
        <v>356</v>
      </c>
      <c r="C89" s="201">
        <f t="shared" si="0"/>
        <v>31682167</v>
      </c>
      <c r="D89" s="201">
        <f t="shared" si="0"/>
        <v>45374000</v>
      </c>
      <c r="E89" s="201">
        <f t="shared" si="0"/>
        <v>46720000</v>
      </c>
      <c r="F89" s="80"/>
    </row>
    <row r="90" spans="1:6" ht="24" customHeight="1" x14ac:dyDescent="0.3">
      <c r="A90" s="173">
        <v>21</v>
      </c>
      <c r="B90" s="75" t="s">
        <v>362</v>
      </c>
      <c r="C90" s="76">
        <f>+C88-C89</f>
        <v>470526561</v>
      </c>
      <c r="D90" s="76">
        <f>+D88-D89</f>
        <v>578964000</v>
      </c>
      <c r="E90" s="76">
        <f>+E88-E89</f>
        <v>598250000</v>
      </c>
      <c r="F90" s="80"/>
    </row>
    <row r="91" spans="1:6" ht="24" customHeight="1" x14ac:dyDescent="0.3">
      <c r="A91" s="190"/>
      <c r="B91" s="75"/>
      <c r="C91" s="76"/>
      <c r="D91" s="76"/>
      <c r="E91" s="88"/>
      <c r="F91" s="80"/>
    </row>
    <row r="92" spans="1:6" ht="24" customHeight="1" x14ac:dyDescent="0.3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3">
      <c r="A93" s="71"/>
      <c r="B93" s="191"/>
      <c r="C93" s="76"/>
      <c r="D93" s="76"/>
      <c r="E93" s="88"/>
      <c r="F93" s="80"/>
    </row>
    <row r="94" spans="1:6" ht="24" customHeight="1" x14ac:dyDescent="0.3">
      <c r="A94" s="71">
        <v>1</v>
      </c>
      <c r="B94" s="72" t="s">
        <v>364</v>
      </c>
      <c r="C94" s="214">
        <f>IF(C96=0,0,(C95/C96)*100)</f>
        <v>58.338104719268166</v>
      </c>
      <c r="D94" s="214">
        <f>IF(D96=0,0,(D95/D96)*100)</f>
        <v>56.929955290611019</v>
      </c>
      <c r="E94" s="214">
        <f>IF(E96=0,0,(E95/E96)*100)</f>
        <v>55.132689122434932</v>
      </c>
      <c r="F94" s="80"/>
    </row>
    <row r="95" spans="1:6" ht="24" customHeight="1" x14ac:dyDescent="0.3">
      <c r="A95" s="173">
        <v>2</v>
      </c>
      <c r="B95" s="75" t="s">
        <v>67</v>
      </c>
      <c r="C95" s="76">
        <f>+C32</f>
        <v>489293538</v>
      </c>
      <c r="D95" s="76">
        <f>+D32</f>
        <v>476736000</v>
      </c>
      <c r="E95" s="76">
        <f>+E32</f>
        <v>453355000</v>
      </c>
      <c r="F95" s="80"/>
    </row>
    <row r="96" spans="1:6" ht="24" customHeight="1" x14ac:dyDescent="0.3">
      <c r="A96" s="173">
        <v>3</v>
      </c>
      <c r="B96" s="75" t="s">
        <v>43</v>
      </c>
      <c r="C96" s="76">
        <v>838720319</v>
      </c>
      <c r="D96" s="76">
        <v>837408000</v>
      </c>
      <c r="E96" s="76">
        <v>822298000</v>
      </c>
      <c r="F96" s="80"/>
    </row>
    <row r="97" spans="1:6" ht="24" customHeight="1" x14ac:dyDescent="0.3">
      <c r="A97" s="190"/>
      <c r="B97" s="72"/>
      <c r="C97" s="215"/>
      <c r="D97" s="215"/>
      <c r="E97" s="88"/>
      <c r="F97" s="80"/>
    </row>
    <row r="98" spans="1:6" ht="24" customHeight="1" x14ac:dyDescent="0.3">
      <c r="A98" s="71">
        <v>4</v>
      </c>
      <c r="B98" s="72" t="s">
        <v>365</v>
      </c>
      <c r="C98" s="214">
        <f>IF(C104=0,0,(C101/C104)*100)</f>
        <v>25.000020388371102</v>
      </c>
      <c r="D98" s="214">
        <f>IF(D104=0,0,(D101/D104)*100)</f>
        <v>11.676208931559941</v>
      </c>
      <c r="E98" s="214">
        <f>IF(E104=0,0,(E101/E104)*100)</f>
        <v>21.249430954300795</v>
      </c>
      <c r="F98" s="80"/>
    </row>
    <row r="99" spans="1:6" ht="24" customHeight="1" x14ac:dyDescent="0.3">
      <c r="A99" s="173">
        <v>5</v>
      </c>
      <c r="B99" s="75" t="s">
        <v>366</v>
      </c>
      <c r="C99" s="76">
        <f>+C28</f>
        <v>51085670</v>
      </c>
      <c r="D99" s="76">
        <f>+D28</f>
        <v>-5606000</v>
      </c>
      <c r="E99" s="76">
        <f>+E28</f>
        <v>24697000</v>
      </c>
      <c r="F99" s="80"/>
    </row>
    <row r="100" spans="1:6" ht="24" customHeight="1" x14ac:dyDescent="0.3">
      <c r="A100" s="173">
        <v>6</v>
      </c>
      <c r="B100" s="75" t="s">
        <v>356</v>
      </c>
      <c r="C100" s="201">
        <f>+C76</f>
        <v>31682167</v>
      </c>
      <c r="D100" s="201">
        <f>+D76</f>
        <v>45374000</v>
      </c>
      <c r="E100" s="201">
        <f>+E76</f>
        <v>46720000</v>
      </c>
      <c r="F100" s="80"/>
    </row>
    <row r="101" spans="1:6" ht="24" customHeight="1" x14ac:dyDescent="0.3">
      <c r="A101" s="173">
        <v>7</v>
      </c>
      <c r="B101" s="75" t="s">
        <v>367</v>
      </c>
      <c r="C101" s="76">
        <f>+C99+C100</f>
        <v>82767837</v>
      </c>
      <c r="D101" s="76">
        <f>+D99+D100</f>
        <v>39768000</v>
      </c>
      <c r="E101" s="76">
        <f>+E99+E100</f>
        <v>71417000</v>
      </c>
      <c r="F101" s="80"/>
    </row>
    <row r="102" spans="1:6" ht="24" customHeight="1" x14ac:dyDescent="0.3">
      <c r="A102" s="173">
        <v>8</v>
      </c>
      <c r="B102" s="75" t="s">
        <v>54</v>
      </c>
      <c r="C102" s="204">
        <f>+C69</f>
        <v>89296078</v>
      </c>
      <c r="D102" s="204">
        <f>+D69</f>
        <v>97320000</v>
      </c>
      <c r="E102" s="204">
        <f>+E69</f>
        <v>94459000</v>
      </c>
      <c r="F102" s="80"/>
    </row>
    <row r="103" spans="1:6" ht="24" customHeight="1" x14ac:dyDescent="0.3">
      <c r="A103" s="173">
        <v>9</v>
      </c>
      <c r="B103" s="75" t="s">
        <v>58</v>
      </c>
      <c r="C103" s="216">
        <v>241775000</v>
      </c>
      <c r="D103" s="216">
        <v>243270000</v>
      </c>
      <c r="E103" s="216">
        <v>241630000</v>
      </c>
      <c r="F103" s="80"/>
    </row>
    <row r="104" spans="1:6" ht="24" customHeight="1" x14ac:dyDescent="0.3">
      <c r="A104" s="173">
        <v>10</v>
      </c>
      <c r="B104" s="91" t="s">
        <v>368</v>
      </c>
      <c r="C104" s="204">
        <f>+C102+C103</f>
        <v>331071078</v>
      </c>
      <c r="D104" s="204">
        <f>+D102+D103</f>
        <v>340590000</v>
      </c>
      <c r="E104" s="204">
        <f>+E102+E103</f>
        <v>336089000</v>
      </c>
      <c r="F104" s="80"/>
    </row>
    <row r="105" spans="1:6" ht="24" customHeight="1" x14ac:dyDescent="0.3">
      <c r="A105" s="190"/>
      <c r="B105" s="72"/>
      <c r="C105" s="215"/>
      <c r="D105" s="215"/>
      <c r="E105" s="209"/>
      <c r="F105" s="80"/>
    </row>
    <row r="106" spans="1:6" ht="24" customHeight="1" x14ac:dyDescent="0.3">
      <c r="A106" s="83">
        <v>11</v>
      </c>
      <c r="B106" s="72" t="s">
        <v>369</v>
      </c>
      <c r="C106" s="214">
        <f>IF(C109=0,0,(C107/C109)*100)</f>
        <v>33.07145464930403</v>
      </c>
      <c r="D106" s="214">
        <f>IF(D109=0,0,(D107/D109)*100)</f>
        <v>33.787218439846335</v>
      </c>
      <c r="E106" s="214">
        <f>IF(E109=0,0,(E107/E109)*100)</f>
        <v>34.767656855903368</v>
      </c>
      <c r="F106" s="80"/>
    </row>
    <row r="107" spans="1:6" ht="24" customHeight="1" x14ac:dyDescent="0.3">
      <c r="A107" s="217">
        <v>12</v>
      </c>
      <c r="B107" s="75" t="s">
        <v>58</v>
      </c>
      <c r="C107" s="204">
        <f>+C103</f>
        <v>241775000</v>
      </c>
      <c r="D107" s="204">
        <f>+D103</f>
        <v>243270000</v>
      </c>
      <c r="E107" s="204">
        <f>+E103</f>
        <v>241630000</v>
      </c>
      <c r="F107" s="80"/>
    </row>
    <row r="108" spans="1:6" ht="24" customHeight="1" x14ac:dyDescent="0.3">
      <c r="A108" s="217">
        <v>13</v>
      </c>
      <c r="B108" s="75" t="s">
        <v>67</v>
      </c>
      <c r="C108" s="204">
        <f>+C32</f>
        <v>489293538</v>
      </c>
      <c r="D108" s="204">
        <f>+D32</f>
        <v>476736000</v>
      </c>
      <c r="E108" s="204">
        <f>+E32</f>
        <v>453355000</v>
      </c>
      <c r="F108" s="80"/>
    </row>
    <row r="109" spans="1:6" ht="24" customHeight="1" x14ac:dyDescent="0.3">
      <c r="A109" s="217">
        <v>14</v>
      </c>
      <c r="B109" s="75" t="s">
        <v>370</v>
      </c>
      <c r="C109" s="204">
        <f>+C107+C108</f>
        <v>731068538</v>
      </c>
      <c r="D109" s="204">
        <f>+D107+D108</f>
        <v>720006000</v>
      </c>
      <c r="E109" s="204">
        <f>+E107+E108</f>
        <v>694985000</v>
      </c>
      <c r="F109" s="80"/>
    </row>
    <row r="110" spans="1:6" ht="24" customHeight="1" x14ac:dyDescent="0.3">
      <c r="A110" s="190"/>
      <c r="B110" s="75"/>
      <c r="C110" s="76"/>
      <c r="D110" s="76"/>
      <c r="E110" s="88"/>
      <c r="F110" s="80"/>
    </row>
    <row r="111" spans="1:6" ht="24" customHeight="1" x14ac:dyDescent="0.3">
      <c r="A111" s="83" t="s">
        <v>371</v>
      </c>
      <c r="B111" s="72" t="s">
        <v>372</v>
      </c>
      <c r="C111" s="214">
        <f>IF((+C113+C115)=0,0,((+C112+C113+C114)/(+C113+C115)))</f>
        <v>11.741903486177543</v>
      </c>
      <c r="D111" s="214">
        <f>IF((+D113+D115)=0,0,((+D112+D113+D114)/(+D113+D115)))</f>
        <v>0.35557999231748377</v>
      </c>
      <c r="E111" s="214">
        <f>IF((+E113+E115)=0,0,((+E112+E113+E114)/(+E113+E115)))</f>
        <v>8.7694020710388596</v>
      </c>
    </row>
    <row r="112" spans="1:6" ht="24" customHeight="1" x14ac:dyDescent="0.25">
      <c r="A112" s="85">
        <v>16</v>
      </c>
      <c r="B112" s="75" t="s">
        <v>373</v>
      </c>
      <c r="C112" s="218">
        <f>+C17</f>
        <v>51085670</v>
      </c>
      <c r="D112" s="76">
        <f>+D17</f>
        <v>-5606000</v>
      </c>
      <c r="E112" s="76">
        <f>+E17</f>
        <v>24697000</v>
      </c>
    </row>
    <row r="113" spans="1:8" ht="24" customHeight="1" x14ac:dyDescent="0.25">
      <c r="A113" s="85">
        <v>17</v>
      </c>
      <c r="B113" s="75" t="s">
        <v>88</v>
      </c>
      <c r="C113" s="218">
        <v>4557028</v>
      </c>
      <c r="D113" s="76">
        <v>7442000</v>
      </c>
      <c r="E113" s="76">
        <v>7341000</v>
      </c>
    </row>
    <row r="114" spans="1:8" ht="24" customHeight="1" x14ac:dyDescent="0.25">
      <c r="A114" s="85">
        <v>18</v>
      </c>
      <c r="B114" s="75" t="s">
        <v>374</v>
      </c>
      <c r="C114" s="218">
        <v>31682167</v>
      </c>
      <c r="D114" s="76">
        <v>45374000</v>
      </c>
      <c r="E114" s="76">
        <v>46720000</v>
      </c>
    </row>
    <row r="115" spans="1:8" ht="24" customHeight="1" x14ac:dyDescent="0.25">
      <c r="A115" s="85">
        <v>19</v>
      </c>
      <c r="B115" s="75" t="s">
        <v>104</v>
      </c>
      <c r="C115" s="218">
        <v>2880000</v>
      </c>
      <c r="D115" s="76">
        <v>125327000</v>
      </c>
      <c r="E115" s="76">
        <v>1640000</v>
      </c>
    </row>
    <row r="116" spans="1:8" ht="24" customHeight="1" x14ac:dyDescent="0.3">
      <c r="A116" s="190"/>
      <c r="B116" s="75"/>
      <c r="C116" s="76"/>
      <c r="D116" s="76"/>
      <c r="E116" s="88"/>
      <c r="F116" s="80"/>
    </row>
    <row r="117" spans="1:8" ht="24" customHeight="1" x14ac:dyDescent="0.3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3">
      <c r="A118" s="190"/>
      <c r="B118" s="75"/>
      <c r="C118" s="76"/>
      <c r="D118" s="76"/>
      <c r="E118" s="88"/>
      <c r="F118" s="80"/>
    </row>
    <row r="119" spans="1:8" ht="24" customHeight="1" x14ac:dyDescent="0.3">
      <c r="A119" s="83" t="s">
        <v>376</v>
      </c>
      <c r="B119" s="72" t="s">
        <v>377</v>
      </c>
      <c r="C119" s="214">
        <f>IF(+C121=0,0,(+C120)/(+C121))</f>
        <v>11.251372167819202</v>
      </c>
      <c r="D119" s="214">
        <f>IF(+D121=0,0,(+D120)/(+D121))</f>
        <v>9.9673381231542297</v>
      </c>
      <c r="E119" s="214">
        <f>IF(+E121=0,0,(+E120)/(+E121))</f>
        <v>10.530693493150684</v>
      </c>
    </row>
    <row r="120" spans="1:8" ht="24" customHeight="1" x14ac:dyDescent="0.25">
      <c r="A120" s="85">
        <v>21</v>
      </c>
      <c r="B120" s="75" t="s">
        <v>378</v>
      </c>
      <c r="C120" s="218">
        <v>356467852</v>
      </c>
      <c r="D120" s="218">
        <v>452258000</v>
      </c>
      <c r="E120" s="218">
        <v>491994000</v>
      </c>
    </row>
    <row r="121" spans="1:8" ht="24" customHeight="1" x14ac:dyDescent="0.25">
      <c r="A121" s="85">
        <v>22</v>
      </c>
      <c r="B121" s="75" t="s">
        <v>374</v>
      </c>
      <c r="C121" s="218">
        <v>31682167</v>
      </c>
      <c r="D121" s="218">
        <v>45374000</v>
      </c>
      <c r="E121" s="218">
        <v>46720000</v>
      </c>
    </row>
    <row r="122" spans="1:8" ht="24" customHeight="1" x14ac:dyDescent="0.3">
      <c r="A122" s="190"/>
      <c r="B122" s="75"/>
      <c r="C122" s="76"/>
      <c r="D122" s="76"/>
      <c r="E122" s="88"/>
      <c r="F122" s="80"/>
    </row>
    <row r="123" spans="1:8" ht="24" customHeight="1" x14ac:dyDescent="0.3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5">
      <c r="A124" s="85">
        <v>1</v>
      </c>
      <c r="B124" s="75" t="s">
        <v>380</v>
      </c>
      <c r="C124" s="218">
        <v>92169</v>
      </c>
      <c r="D124" s="218">
        <v>103461</v>
      </c>
      <c r="E124" s="218">
        <v>96624</v>
      </c>
    </row>
    <row r="125" spans="1:8" ht="24" customHeight="1" x14ac:dyDescent="0.25">
      <c r="A125" s="85">
        <v>2</v>
      </c>
      <c r="B125" s="75" t="s">
        <v>381</v>
      </c>
      <c r="C125" s="218">
        <v>18299</v>
      </c>
      <c r="D125" s="218">
        <v>20558</v>
      </c>
      <c r="E125" s="218">
        <v>21011</v>
      </c>
    </row>
    <row r="126" spans="1:8" ht="24" customHeight="1" x14ac:dyDescent="0.25">
      <c r="A126" s="85">
        <v>3</v>
      </c>
      <c r="B126" s="75" t="s">
        <v>382</v>
      </c>
      <c r="C126" s="219">
        <f>IF(C125=0,0,C124/C125)</f>
        <v>5.0368326138040329</v>
      </c>
      <c r="D126" s="219">
        <f>IF(D125=0,0,D124/D125)</f>
        <v>5.0326393618056233</v>
      </c>
      <c r="E126" s="219">
        <f>IF(E125=0,0,E124/E125)</f>
        <v>4.5987339964780354</v>
      </c>
    </row>
    <row r="127" spans="1:8" ht="24" customHeight="1" x14ac:dyDescent="0.25">
      <c r="A127" s="85">
        <v>4</v>
      </c>
      <c r="B127" s="75" t="s">
        <v>383</v>
      </c>
      <c r="C127" s="218">
        <v>273</v>
      </c>
      <c r="D127" s="218">
        <v>296</v>
      </c>
      <c r="E127" s="218">
        <v>300</v>
      </c>
    </row>
    <row r="128" spans="1:8" ht="24" customHeight="1" x14ac:dyDescent="0.25">
      <c r="A128" s="85">
        <v>5</v>
      </c>
      <c r="B128" s="75" t="s">
        <v>384</v>
      </c>
      <c r="C128" s="218">
        <v>0</v>
      </c>
      <c r="D128" s="218">
        <v>456</v>
      </c>
      <c r="E128" s="218">
        <v>456</v>
      </c>
      <c r="G128" s="220"/>
      <c r="H128" s="221"/>
    </row>
    <row r="129" spans="1:7" ht="24" customHeight="1" x14ac:dyDescent="0.25">
      <c r="A129" s="85">
        <v>6</v>
      </c>
      <c r="B129" s="75" t="s">
        <v>385</v>
      </c>
      <c r="C129" s="218">
        <v>371</v>
      </c>
      <c r="D129" s="218">
        <v>456</v>
      </c>
      <c r="E129" s="218">
        <v>456</v>
      </c>
    </row>
    <row r="130" spans="1:7" ht="24" customHeight="1" x14ac:dyDescent="0.25">
      <c r="A130" s="85">
        <v>7</v>
      </c>
      <c r="B130" s="75" t="s">
        <v>386</v>
      </c>
      <c r="C130" s="193">
        <v>0.92490000000000006</v>
      </c>
      <c r="D130" s="193">
        <v>0.95760000000000001</v>
      </c>
      <c r="E130" s="193">
        <v>0.88239999999999996</v>
      </c>
    </row>
    <row r="131" spans="1:7" ht="24" customHeight="1" x14ac:dyDescent="0.25">
      <c r="A131" s="85">
        <v>8</v>
      </c>
      <c r="B131" s="75" t="s">
        <v>387</v>
      </c>
      <c r="C131" s="193">
        <v>0.68059999999999998</v>
      </c>
      <c r="D131" s="193">
        <v>0.62160000000000004</v>
      </c>
      <c r="E131" s="193">
        <v>0.58050000000000002</v>
      </c>
    </row>
    <row r="132" spans="1:7" ht="24" customHeight="1" x14ac:dyDescent="0.25">
      <c r="A132" s="85">
        <v>9</v>
      </c>
      <c r="B132" s="75" t="s">
        <v>388</v>
      </c>
      <c r="C132" s="219">
        <v>2351.1</v>
      </c>
      <c r="D132" s="219">
        <v>2718.9</v>
      </c>
      <c r="E132" s="219">
        <v>2690.1</v>
      </c>
    </row>
    <row r="133" spans="1:7" ht="24" customHeight="1" x14ac:dyDescent="0.25">
      <c r="B133" s="56"/>
    </row>
    <row r="134" spans="1:7" ht="20.100000000000001" customHeight="1" x14ac:dyDescent="0.3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5">
      <c r="A135" s="226">
        <v>1</v>
      </c>
      <c r="B135" s="91" t="s">
        <v>390</v>
      </c>
      <c r="C135" s="227">
        <f>IF(C149=0,0,C143/C149)</f>
        <v>0.38905063822143598</v>
      </c>
      <c r="D135" s="227">
        <f>IF(D149=0,0,D143/D149)</f>
        <v>0.36866593708555256</v>
      </c>
      <c r="E135" s="227">
        <f>IF(E149=0,0,E143/E149)</f>
        <v>0.37645039709610245</v>
      </c>
      <c r="G135" s="220"/>
    </row>
    <row r="136" spans="1:7" ht="20.100000000000001" customHeight="1" x14ac:dyDescent="0.25">
      <c r="A136" s="226">
        <v>2</v>
      </c>
      <c r="B136" s="91" t="s">
        <v>391</v>
      </c>
      <c r="C136" s="227">
        <f>IF(C149=0,0,C144/C149)</f>
        <v>0.44763308431454624</v>
      </c>
      <c r="D136" s="227">
        <f>IF(D149=0,0,D144/D149)</f>
        <v>0.46521609536366298</v>
      </c>
      <c r="E136" s="227">
        <f>IF(E149=0,0,E144/E149)</f>
        <v>0.45768155720018328</v>
      </c>
    </row>
    <row r="137" spans="1:7" ht="20.100000000000001" customHeight="1" x14ac:dyDescent="0.25">
      <c r="A137" s="226">
        <v>3</v>
      </c>
      <c r="B137" s="91" t="s">
        <v>392</v>
      </c>
      <c r="C137" s="227">
        <f>IF(C149=0,0,C145/C149)</f>
        <v>0.13482955222093773</v>
      </c>
      <c r="D137" s="227">
        <f>IF(D149=0,0,D145/D149)</f>
        <v>0.13457566535366516</v>
      </c>
      <c r="E137" s="227">
        <f>IF(E149=0,0,E145/E149)</f>
        <v>0.13699841637674073</v>
      </c>
      <c r="G137" s="220"/>
    </row>
    <row r="138" spans="1:7" ht="20.100000000000001" customHeight="1" x14ac:dyDescent="0.25">
      <c r="A138" s="226">
        <v>4</v>
      </c>
      <c r="B138" s="91" t="s">
        <v>393</v>
      </c>
      <c r="C138" s="227">
        <f>IF(C149=0,0,C146/C149)</f>
        <v>2.1603471035160013E-3</v>
      </c>
      <c r="D138" s="227">
        <f>IF(D149=0,0,D146/D149)</f>
        <v>3.1409871069451615E-3</v>
      </c>
      <c r="E138" s="227">
        <f>IF(E149=0,0,E146/E149)</f>
        <v>2.7687891917098878E-3</v>
      </c>
      <c r="G138" s="220"/>
    </row>
    <row r="139" spans="1:7" ht="20.100000000000001" customHeight="1" x14ac:dyDescent="0.25">
      <c r="A139" s="226">
        <v>5</v>
      </c>
      <c r="B139" s="91" t="s">
        <v>394</v>
      </c>
      <c r="C139" s="227">
        <f>IF(C149=0,0,C147/C149)</f>
        <v>2.5152019490437539E-2</v>
      </c>
      <c r="D139" s="227">
        <f>IF(D149=0,0,D147/D149)</f>
        <v>2.7318495374661703E-2</v>
      </c>
      <c r="E139" s="227">
        <f>IF(E149=0,0,E147/E149)</f>
        <v>2.4748954417295726E-2</v>
      </c>
    </row>
    <row r="140" spans="1:7" ht="20.100000000000001" customHeight="1" x14ac:dyDescent="0.25">
      <c r="A140" s="226">
        <v>6</v>
      </c>
      <c r="B140" s="91" t="s">
        <v>395</v>
      </c>
      <c r="C140" s="227">
        <f>IF(C149=0,0,C148/C149)</f>
        <v>1.1743586491264877E-3</v>
      </c>
      <c r="D140" s="227">
        <f>IF(D149=0,0,D148/D149)</f>
        <v>1.0828197155124224E-3</v>
      </c>
      <c r="E140" s="227">
        <f>IF(E149=0,0,E148/E149)</f>
        <v>1.3518857179679485E-3</v>
      </c>
    </row>
    <row r="141" spans="1:7" ht="20.100000000000001" customHeight="1" x14ac:dyDescent="0.25">
      <c r="A141" s="226">
        <v>7</v>
      </c>
      <c r="B141" s="91" t="s">
        <v>396</v>
      </c>
      <c r="C141" s="227">
        <f>SUM(C135:C140)</f>
        <v>1</v>
      </c>
      <c r="D141" s="227">
        <f>SUM(D135:D140)</f>
        <v>1</v>
      </c>
      <c r="E141" s="227">
        <f>SUM(E135:E140)</f>
        <v>1</v>
      </c>
    </row>
    <row r="142" spans="1:7" ht="20.100000000000001" customHeight="1" x14ac:dyDescent="0.25">
      <c r="A142" s="56"/>
      <c r="B142" s="56"/>
      <c r="C142" s="224"/>
      <c r="D142" s="224"/>
      <c r="E142" s="224"/>
    </row>
    <row r="143" spans="1:7" ht="20.100000000000001" customHeight="1" x14ac:dyDescent="0.25">
      <c r="A143" s="226">
        <v>8</v>
      </c>
      <c r="B143" s="224" t="s">
        <v>397</v>
      </c>
      <c r="C143" s="228">
        <f>+C46-C147</f>
        <v>502462810</v>
      </c>
      <c r="D143" s="229">
        <f>+D46-D147</f>
        <v>569340855</v>
      </c>
      <c r="E143" s="229">
        <f>+E46-E147</f>
        <v>615426742</v>
      </c>
    </row>
    <row r="144" spans="1:7" ht="20.100000000000001" customHeight="1" x14ac:dyDescent="0.25">
      <c r="A144" s="226">
        <v>9</v>
      </c>
      <c r="B144" s="224" t="s">
        <v>398</v>
      </c>
      <c r="C144" s="230">
        <f>+C51</f>
        <v>578122628</v>
      </c>
      <c r="D144" s="229">
        <f>+D51</f>
        <v>718445896</v>
      </c>
      <c r="E144" s="229">
        <f>+E51</f>
        <v>748224658</v>
      </c>
    </row>
    <row r="145" spans="1:7" ht="20.100000000000001" customHeight="1" x14ac:dyDescent="0.25">
      <c r="A145" s="226">
        <v>10</v>
      </c>
      <c r="B145" s="224" t="s">
        <v>399</v>
      </c>
      <c r="C145" s="230">
        <f>+C55</f>
        <v>174133722</v>
      </c>
      <c r="D145" s="229">
        <f>+D55</f>
        <v>207828868</v>
      </c>
      <c r="E145" s="229">
        <f>+E55</f>
        <v>223967061</v>
      </c>
    </row>
    <row r="146" spans="1:7" ht="20.100000000000001" customHeight="1" x14ac:dyDescent="0.25">
      <c r="A146" s="226">
        <v>11</v>
      </c>
      <c r="B146" s="224" t="s">
        <v>400</v>
      </c>
      <c r="C146" s="228">
        <v>2790110</v>
      </c>
      <c r="D146" s="229">
        <v>4850712</v>
      </c>
      <c r="E146" s="229">
        <v>4526458</v>
      </c>
    </row>
    <row r="147" spans="1:7" ht="20.100000000000001" customHeight="1" x14ac:dyDescent="0.25">
      <c r="A147" s="226">
        <v>12</v>
      </c>
      <c r="B147" s="224" t="s">
        <v>401</v>
      </c>
      <c r="C147" s="230">
        <f>+C47</f>
        <v>32484086</v>
      </c>
      <c r="D147" s="229">
        <f>+D47</f>
        <v>42188697</v>
      </c>
      <c r="E147" s="229">
        <f>+E47</f>
        <v>40459961</v>
      </c>
    </row>
    <row r="148" spans="1:7" ht="20.100000000000001" customHeight="1" x14ac:dyDescent="0.25">
      <c r="A148" s="226">
        <v>13</v>
      </c>
      <c r="B148" s="224" t="s">
        <v>402</v>
      </c>
      <c r="C148" s="230">
        <v>1516696</v>
      </c>
      <c r="D148" s="229">
        <v>1672228</v>
      </c>
      <c r="E148" s="229">
        <v>2210083</v>
      </c>
    </row>
    <row r="149" spans="1:7" ht="20.100000000000001" customHeight="1" x14ac:dyDescent="0.25">
      <c r="A149" s="226">
        <v>14</v>
      </c>
      <c r="B149" s="224" t="s">
        <v>403</v>
      </c>
      <c r="C149" s="228">
        <f>SUM(C143:C148)</f>
        <v>1291510052</v>
      </c>
      <c r="D149" s="229">
        <f>SUM(D143:D148)</f>
        <v>1544327256</v>
      </c>
      <c r="E149" s="229">
        <f>SUM(E143:E148)</f>
        <v>1634814963</v>
      </c>
    </row>
    <row r="150" spans="1:7" ht="20.100000000000001" customHeight="1" x14ac:dyDescent="0.25">
      <c r="A150" s="56"/>
      <c r="B150" s="56"/>
      <c r="C150" s="224"/>
      <c r="D150" s="224"/>
      <c r="E150" s="224"/>
    </row>
    <row r="151" spans="1:7" ht="20.100000000000001" customHeight="1" x14ac:dyDescent="0.3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5">
      <c r="A152" s="226">
        <v>1</v>
      </c>
      <c r="B152" s="91" t="s">
        <v>405</v>
      </c>
      <c r="C152" s="227">
        <f>IF(C166=0,0,C160/C166)</f>
        <v>0.56679805960528329</v>
      </c>
      <c r="D152" s="227">
        <f>IF(D166=0,0,D160/D166)</f>
        <v>0.53835116128393412</v>
      </c>
      <c r="E152" s="227">
        <f>IF(E166=0,0,E160/E166)</f>
        <v>0.54461665844295726</v>
      </c>
    </row>
    <row r="153" spans="1:7" ht="20.100000000000001" customHeight="1" x14ac:dyDescent="0.25">
      <c r="A153" s="226">
        <v>2</v>
      </c>
      <c r="B153" s="91" t="s">
        <v>406</v>
      </c>
      <c r="C153" s="227">
        <f>IF(C166=0,0,C161/C166)</f>
        <v>0.34888799035149543</v>
      </c>
      <c r="D153" s="227">
        <f>IF(D166=0,0,D161/D166)</f>
        <v>0.37134072622363273</v>
      </c>
      <c r="E153" s="227">
        <f>IF(E166=0,0,E161/E166)</f>
        <v>0.35839498233206168</v>
      </c>
    </row>
    <row r="154" spans="1:7" ht="20.100000000000001" customHeight="1" x14ac:dyDescent="0.25">
      <c r="A154" s="226">
        <v>3</v>
      </c>
      <c r="B154" s="91" t="s">
        <v>407</v>
      </c>
      <c r="C154" s="227">
        <f>IF(C166=0,0,C162/C166)</f>
        <v>6.4832299345337241E-2</v>
      </c>
      <c r="D154" s="227">
        <f>IF(D166=0,0,D162/D166)</f>
        <v>7.0970083122264674E-2</v>
      </c>
      <c r="E154" s="227">
        <f>IF(E166=0,0,E162/E166)</f>
        <v>7.697201905144388E-2</v>
      </c>
    </row>
    <row r="155" spans="1:7" ht="20.100000000000001" customHeight="1" x14ac:dyDescent="0.25">
      <c r="A155" s="226">
        <v>4</v>
      </c>
      <c r="B155" s="91" t="s">
        <v>408</v>
      </c>
      <c r="C155" s="227">
        <f>IF(C166=0,0,C163/C166)</f>
        <v>1.1420548286584077E-3</v>
      </c>
      <c r="D155" s="227">
        <f>IF(D166=0,0,D163/D166)</f>
        <v>1.5605325146265262E-3</v>
      </c>
      <c r="E155" s="227">
        <f>IF(E166=0,0,E163/E166)</f>
        <v>8.58972719873162E-4</v>
      </c>
      <c r="G155" s="220"/>
    </row>
    <row r="156" spans="1:7" ht="20.100000000000001" customHeight="1" x14ac:dyDescent="0.25">
      <c r="A156" s="226">
        <v>5</v>
      </c>
      <c r="B156" s="91" t="s">
        <v>409</v>
      </c>
      <c r="C156" s="227">
        <f>IF(C166=0,0,C164/C166)</f>
        <v>1.7522827023519694E-2</v>
      </c>
      <c r="D156" s="227">
        <f>IF(D166=0,0,D164/D166)</f>
        <v>1.6968286672038257E-2</v>
      </c>
      <c r="E156" s="227">
        <f>IF(E166=0,0,E164/E166)</f>
        <v>1.7994778785701097E-2</v>
      </c>
    </row>
    <row r="157" spans="1:7" ht="20.100000000000001" customHeight="1" x14ac:dyDescent="0.25">
      <c r="A157" s="226">
        <v>6</v>
      </c>
      <c r="B157" s="91" t="s">
        <v>410</v>
      </c>
      <c r="C157" s="227">
        <f>IF(C166=0,0,C165/C166)</f>
        <v>8.1676884570600463E-4</v>
      </c>
      <c r="D157" s="227">
        <f>IF(D166=0,0,D165/D166)</f>
        <v>8.0921018350365431E-4</v>
      </c>
      <c r="E157" s="227">
        <f>IF(E166=0,0,E165/E166)</f>
        <v>1.1625886679629683E-3</v>
      </c>
    </row>
    <row r="158" spans="1:7" ht="20.100000000000001" customHeight="1" x14ac:dyDescent="0.25">
      <c r="A158" s="226">
        <v>7</v>
      </c>
      <c r="B158" s="91" t="s">
        <v>411</v>
      </c>
      <c r="C158" s="227">
        <f>SUM(C152:C157)</f>
        <v>1</v>
      </c>
      <c r="D158" s="227">
        <f>SUM(D152:D157)</f>
        <v>0.99999999999999989</v>
      </c>
      <c r="E158" s="227">
        <f>SUM(E152:E157)</f>
        <v>1</v>
      </c>
    </row>
    <row r="159" spans="1:7" ht="20.100000000000001" customHeight="1" x14ac:dyDescent="0.25">
      <c r="A159" s="225"/>
      <c r="B159" s="56"/>
      <c r="C159" s="56"/>
      <c r="D159" s="225"/>
      <c r="E159" s="225"/>
    </row>
    <row r="160" spans="1:7" ht="20.100000000000001" customHeight="1" x14ac:dyDescent="0.25">
      <c r="A160" s="226">
        <v>8</v>
      </c>
      <c r="B160" s="224" t="s">
        <v>412</v>
      </c>
      <c r="C160" s="228">
        <f>+C44-C164</f>
        <v>296326361</v>
      </c>
      <c r="D160" s="229">
        <f>+D44-D164</f>
        <v>321311499</v>
      </c>
      <c r="E160" s="229">
        <f>+E44-E164</f>
        <v>338548651</v>
      </c>
    </row>
    <row r="161" spans="1:6" ht="20.100000000000001" customHeight="1" x14ac:dyDescent="0.25">
      <c r="A161" s="226">
        <v>9</v>
      </c>
      <c r="B161" s="224" t="s">
        <v>413</v>
      </c>
      <c r="C161" s="230">
        <f>+C50</f>
        <v>182401310</v>
      </c>
      <c r="D161" s="229">
        <f>+D50</f>
        <v>221632373</v>
      </c>
      <c r="E161" s="229">
        <f>+E50</f>
        <v>222788150</v>
      </c>
    </row>
    <row r="162" spans="1:6" ht="20.100000000000001" customHeight="1" x14ac:dyDescent="0.25">
      <c r="A162" s="226">
        <v>10</v>
      </c>
      <c r="B162" s="224" t="s">
        <v>414</v>
      </c>
      <c r="C162" s="230">
        <f>+C54</f>
        <v>33894822</v>
      </c>
      <c r="D162" s="229">
        <f>+D54</f>
        <v>42358047</v>
      </c>
      <c r="E162" s="229">
        <f>+E54</f>
        <v>47847918</v>
      </c>
    </row>
    <row r="163" spans="1:6" ht="20.100000000000001" customHeight="1" x14ac:dyDescent="0.25">
      <c r="A163" s="226">
        <v>11</v>
      </c>
      <c r="B163" s="224" t="s">
        <v>415</v>
      </c>
      <c r="C163" s="228">
        <v>597075</v>
      </c>
      <c r="D163" s="229">
        <v>931394</v>
      </c>
      <c r="E163" s="229">
        <v>533961</v>
      </c>
    </row>
    <row r="164" spans="1:6" ht="20.100000000000001" customHeight="1" x14ac:dyDescent="0.25">
      <c r="A164" s="226">
        <v>12</v>
      </c>
      <c r="B164" s="224" t="s">
        <v>416</v>
      </c>
      <c r="C164" s="230">
        <f>+C45</f>
        <v>9161068</v>
      </c>
      <c r="D164" s="229">
        <f>+D45</f>
        <v>10127415</v>
      </c>
      <c r="E164" s="229">
        <f>+E45</f>
        <v>11186048</v>
      </c>
    </row>
    <row r="165" spans="1:6" ht="20.100000000000001" customHeight="1" x14ac:dyDescent="0.25">
      <c r="A165" s="226">
        <v>13</v>
      </c>
      <c r="B165" s="224" t="s">
        <v>417</v>
      </c>
      <c r="C165" s="230">
        <v>427013</v>
      </c>
      <c r="D165" s="229">
        <v>482972</v>
      </c>
      <c r="E165" s="229">
        <v>722697</v>
      </c>
    </row>
    <row r="166" spans="1:6" ht="20.100000000000001" customHeight="1" x14ac:dyDescent="0.25">
      <c r="A166" s="226">
        <v>14</v>
      </c>
      <c r="B166" s="224" t="s">
        <v>418</v>
      </c>
      <c r="C166" s="228">
        <f>SUM(C160:C165)</f>
        <v>522807649</v>
      </c>
      <c r="D166" s="229">
        <f>SUM(D160:D165)</f>
        <v>596843700</v>
      </c>
      <c r="E166" s="229">
        <f>SUM(E160:E165)</f>
        <v>621627425</v>
      </c>
    </row>
    <row r="167" spans="1:6" ht="20.100000000000001" customHeight="1" x14ac:dyDescent="0.25">
      <c r="A167" s="225"/>
      <c r="B167" s="56"/>
      <c r="C167" s="56"/>
      <c r="D167" s="56"/>
      <c r="E167" s="56"/>
      <c r="F167" s="225"/>
    </row>
    <row r="168" spans="1:6" ht="20.100000000000001" customHeight="1" x14ac:dyDescent="0.3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5">
      <c r="A169" s="226">
        <v>1</v>
      </c>
      <c r="B169" s="224" t="s">
        <v>419</v>
      </c>
      <c r="C169" s="218">
        <v>6516</v>
      </c>
      <c r="D169" s="218">
        <v>6907</v>
      </c>
      <c r="E169" s="218">
        <v>7063</v>
      </c>
    </row>
    <row r="170" spans="1:6" ht="20.100000000000001" customHeight="1" x14ac:dyDescent="0.25">
      <c r="A170" s="226">
        <v>2</v>
      </c>
      <c r="B170" s="224" t="s">
        <v>420</v>
      </c>
      <c r="C170" s="218">
        <v>8445</v>
      </c>
      <c r="D170" s="218">
        <v>10031</v>
      </c>
      <c r="E170" s="218">
        <v>10192</v>
      </c>
    </row>
    <row r="171" spans="1:6" ht="20.100000000000001" customHeight="1" x14ac:dyDescent="0.25">
      <c r="A171" s="226">
        <v>3</v>
      </c>
      <c r="B171" s="224" t="s">
        <v>421</v>
      </c>
      <c r="C171" s="218">
        <v>3304</v>
      </c>
      <c r="D171" s="218">
        <v>3594</v>
      </c>
      <c r="E171" s="218">
        <v>3725</v>
      </c>
    </row>
    <row r="172" spans="1:6" ht="20.100000000000001" customHeight="1" x14ac:dyDescent="0.25">
      <c r="A172" s="226">
        <v>4</v>
      </c>
      <c r="B172" s="224" t="s">
        <v>422</v>
      </c>
      <c r="C172" s="218">
        <v>3250</v>
      </c>
      <c r="D172" s="218">
        <v>3528</v>
      </c>
      <c r="E172" s="218">
        <v>3664</v>
      </c>
    </row>
    <row r="173" spans="1:6" ht="20.100000000000001" customHeight="1" x14ac:dyDescent="0.25">
      <c r="A173" s="226">
        <v>5</v>
      </c>
      <c r="B173" s="224" t="s">
        <v>423</v>
      </c>
      <c r="C173" s="218">
        <v>54</v>
      </c>
      <c r="D173" s="218">
        <v>66</v>
      </c>
      <c r="E173" s="218">
        <v>61</v>
      </c>
    </row>
    <row r="174" spans="1:6" ht="20.100000000000001" customHeight="1" x14ac:dyDescent="0.25">
      <c r="A174" s="226">
        <v>6</v>
      </c>
      <c r="B174" s="224" t="s">
        <v>424</v>
      </c>
      <c r="C174" s="218">
        <v>34</v>
      </c>
      <c r="D174" s="218">
        <v>26</v>
      </c>
      <c r="E174" s="218">
        <v>31</v>
      </c>
    </row>
    <row r="175" spans="1:6" ht="20.100000000000001" customHeight="1" x14ac:dyDescent="0.25">
      <c r="A175" s="226">
        <v>7</v>
      </c>
      <c r="B175" s="224" t="s">
        <v>425</v>
      </c>
      <c r="C175" s="218">
        <v>175</v>
      </c>
      <c r="D175" s="218">
        <v>306</v>
      </c>
      <c r="E175" s="218">
        <v>327</v>
      </c>
    </row>
    <row r="176" spans="1:6" ht="20.100000000000001" customHeight="1" x14ac:dyDescent="0.25">
      <c r="A176" s="226">
        <v>8</v>
      </c>
      <c r="B176" s="224" t="s">
        <v>426</v>
      </c>
      <c r="C176" s="218">
        <f>+C169+C170+C171+C174</f>
        <v>18299</v>
      </c>
      <c r="D176" s="218">
        <f>+D169+D170+D171+D174</f>
        <v>20558</v>
      </c>
      <c r="E176" s="218">
        <f>+E169+E170+E171+E174</f>
        <v>21011</v>
      </c>
    </row>
    <row r="177" spans="1:6" ht="20.100000000000001" customHeight="1" x14ac:dyDescent="0.25">
      <c r="A177" s="225"/>
      <c r="B177" s="56"/>
      <c r="C177" s="56"/>
      <c r="D177" s="56"/>
      <c r="E177" s="56"/>
      <c r="F177" s="225"/>
    </row>
    <row r="178" spans="1:6" ht="20.100000000000001" customHeight="1" x14ac:dyDescent="0.3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5">
      <c r="A179" s="226">
        <v>1</v>
      </c>
      <c r="B179" s="224" t="s">
        <v>419</v>
      </c>
      <c r="C179" s="231">
        <v>1.2868299999999999</v>
      </c>
      <c r="D179" s="231">
        <v>1.2779</v>
      </c>
      <c r="E179" s="231">
        <v>1.2867</v>
      </c>
    </row>
    <row r="180" spans="1:6" ht="20.100000000000001" customHeight="1" x14ac:dyDescent="0.25">
      <c r="A180" s="226">
        <v>2</v>
      </c>
      <c r="B180" s="224" t="s">
        <v>420</v>
      </c>
      <c r="C180" s="231">
        <v>1.5812900000000001</v>
      </c>
      <c r="D180" s="231">
        <v>1.5479000000000001</v>
      </c>
      <c r="E180" s="231">
        <v>1.5397000000000001</v>
      </c>
    </row>
    <row r="181" spans="1:6" ht="20.100000000000001" customHeight="1" x14ac:dyDescent="0.25">
      <c r="A181" s="226">
        <v>3</v>
      </c>
      <c r="B181" s="224" t="s">
        <v>421</v>
      </c>
      <c r="C181" s="231">
        <v>1.059971</v>
      </c>
      <c r="D181" s="231">
        <v>1.082803</v>
      </c>
      <c r="E181" s="231">
        <v>1.126789</v>
      </c>
    </row>
    <row r="182" spans="1:6" ht="20.100000000000001" customHeight="1" x14ac:dyDescent="0.25">
      <c r="A182" s="226">
        <v>4</v>
      </c>
      <c r="B182" s="224" t="s">
        <v>422</v>
      </c>
      <c r="C182" s="231">
        <v>1.0599000000000001</v>
      </c>
      <c r="D182" s="231">
        <v>1.0754999999999999</v>
      </c>
      <c r="E182" s="231">
        <v>1.1249</v>
      </c>
    </row>
    <row r="183" spans="1:6" ht="20.100000000000001" customHeight="1" x14ac:dyDescent="0.25">
      <c r="A183" s="226">
        <v>5</v>
      </c>
      <c r="B183" s="224" t="s">
        <v>423</v>
      </c>
      <c r="C183" s="231">
        <v>1.0643</v>
      </c>
      <c r="D183" s="231">
        <v>1.4732000000000001</v>
      </c>
      <c r="E183" s="231">
        <v>1.2403</v>
      </c>
    </row>
    <row r="184" spans="1:6" ht="20.100000000000001" customHeight="1" x14ac:dyDescent="0.25">
      <c r="A184" s="226">
        <v>6</v>
      </c>
      <c r="B184" s="224" t="s">
        <v>424</v>
      </c>
      <c r="C184" s="231">
        <v>0.71519999999999995</v>
      </c>
      <c r="D184" s="231">
        <v>0.64139999999999997</v>
      </c>
      <c r="E184" s="231">
        <v>0.99070000000000003</v>
      </c>
    </row>
    <row r="185" spans="1:6" ht="20.100000000000001" customHeight="1" x14ac:dyDescent="0.25">
      <c r="A185" s="226">
        <v>7</v>
      </c>
      <c r="B185" s="224" t="s">
        <v>425</v>
      </c>
      <c r="C185" s="231">
        <v>1.0898000000000001</v>
      </c>
      <c r="D185" s="231">
        <v>1.2467999999999999</v>
      </c>
      <c r="E185" s="231">
        <v>1.2983</v>
      </c>
    </row>
    <row r="186" spans="1:6" ht="20.100000000000001" customHeight="1" x14ac:dyDescent="0.25">
      <c r="A186" s="226">
        <v>8</v>
      </c>
      <c r="B186" s="224" t="s">
        <v>429</v>
      </c>
      <c r="C186" s="231">
        <v>1.3807</v>
      </c>
      <c r="D186" s="231">
        <v>1.37473</v>
      </c>
      <c r="E186" s="231">
        <v>1.380638</v>
      </c>
    </row>
    <row r="187" spans="1:6" ht="20.100000000000001" customHeight="1" x14ac:dyDescent="0.25">
      <c r="A187" s="225"/>
      <c r="B187" s="56"/>
      <c r="C187" s="56"/>
      <c r="D187" s="56"/>
      <c r="E187" s="56"/>
      <c r="F187" s="225"/>
    </row>
    <row r="188" spans="1:6" ht="20.100000000000001" customHeight="1" x14ac:dyDescent="0.3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5">
      <c r="A189" s="226">
        <v>1</v>
      </c>
      <c r="B189" s="224" t="s">
        <v>432</v>
      </c>
      <c r="C189" s="218">
        <v>11281</v>
      </c>
      <c r="D189" s="218">
        <v>13654</v>
      </c>
      <c r="E189" s="218">
        <v>14054</v>
      </c>
    </row>
    <row r="190" spans="1:6" ht="20.100000000000001" customHeight="1" x14ac:dyDescent="0.25">
      <c r="A190" s="226">
        <v>2</v>
      </c>
      <c r="B190" s="224" t="s">
        <v>433</v>
      </c>
      <c r="C190" s="218">
        <v>54777</v>
      </c>
      <c r="D190" s="218">
        <v>69933</v>
      </c>
      <c r="E190" s="218">
        <v>70142</v>
      </c>
    </row>
    <row r="191" spans="1:6" ht="20.100000000000001" customHeight="1" x14ac:dyDescent="0.25">
      <c r="A191" s="226">
        <v>3</v>
      </c>
      <c r="B191" s="224" t="s">
        <v>434</v>
      </c>
      <c r="C191" s="218">
        <f>+C190+C189</f>
        <v>66058</v>
      </c>
      <c r="D191" s="218">
        <f>+D190+D189</f>
        <v>83587</v>
      </c>
      <c r="E191" s="218">
        <f>+E190+E189</f>
        <v>84196</v>
      </c>
    </row>
    <row r="192" spans="1:6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</sheetData>
  <printOptions gridLines="1"/>
  <pageMargins left="0.25" right="0.25" top="0.5" bottom="0.5" header="0.25" footer="0.25"/>
  <pageSetup scale="76" fitToHeight="0" orientation="portrait" horizontalDpi="1200" verticalDpi="1200" r:id="rId1"/>
  <headerFooter>
    <oddHeader>&amp;LOFFICE OF HEALTH CARE ACCESS&amp;CTWELVE MONTHS ACTUAL FILING&amp;RDANBURY HOSPITAL</oddHeader>
    <oddFooter>&amp;L&amp;8REPORT 185&amp;C&amp;8PAGE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8"/>
  <sheetViews>
    <sheetView zoomScale="75" workbookViewId="0">
      <selection sqref="A1:F1"/>
    </sheetView>
  </sheetViews>
  <sheetFormatPr defaultColWidth="9.109375" defaultRowHeight="20.25" customHeight="1" x14ac:dyDescent="0.35"/>
  <cols>
    <col min="1" max="1" width="10.88671875" style="235" customWidth="1"/>
    <col min="2" max="2" width="77" style="235" customWidth="1"/>
    <col min="3" max="3" width="23.5546875" style="245" customWidth="1"/>
    <col min="4" max="4" width="21.33203125" style="235" customWidth="1"/>
    <col min="5" max="5" width="22.44140625" style="235" customWidth="1"/>
    <col min="6" max="6" width="22.33203125" style="235" bestFit="1" customWidth="1"/>
    <col min="7" max="16384" width="9.109375" style="235"/>
  </cols>
  <sheetData>
    <row r="1" spans="1:7" ht="20.25" customHeight="1" x14ac:dyDescent="0.4">
      <c r="A1" s="232"/>
      <c r="B1" s="232"/>
      <c r="C1" s="233"/>
      <c r="D1" s="234"/>
      <c r="E1" s="234"/>
      <c r="F1" s="234"/>
    </row>
    <row r="2" spans="1:7" ht="20.25" customHeight="1" x14ac:dyDescent="0.4">
      <c r="A2" s="802" t="s">
        <v>0</v>
      </c>
      <c r="B2" s="802"/>
      <c r="C2" s="802"/>
      <c r="D2" s="802"/>
      <c r="E2" s="802"/>
      <c r="F2" s="802"/>
    </row>
    <row r="3" spans="1:7" ht="20.25" customHeight="1" x14ac:dyDescent="0.4">
      <c r="A3" s="802" t="s">
        <v>1</v>
      </c>
      <c r="B3" s="802"/>
      <c r="C3" s="802"/>
      <c r="D3" s="802"/>
      <c r="E3" s="802"/>
      <c r="F3" s="802"/>
    </row>
    <row r="4" spans="1:7" ht="20.25" customHeight="1" x14ac:dyDescent="0.4">
      <c r="A4" s="802" t="s">
        <v>2</v>
      </c>
      <c r="B4" s="802"/>
      <c r="C4" s="802"/>
      <c r="D4" s="802"/>
      <c r="E4" s="802"/>
      <c r="F4" s="802"/>
    </row>
    <row r="5" spans="1:7" ht="20.25" customHeight="1" x14ac:dyDescent="0.4">
      <c r="A5" s="802" t="s">
        <v>435</v>
      </c>
      <c r="B5" s="802"/>
      <c r="C5" s="802"/>
      <c r="D5" s="802"/>
      <c r="E5" s="802"/>
      <c r="F5" s="802"/>
    </row>
    <row r="6" spans="1:7" ht="20.25" customHeight="1" thickBot="1" x14ac:dyDescent="0.45">
      <c r="A6" s="232"/>
      <c r="B6" s="232"/>
      <c r="C6" s="233"/>
    </row>
    <row r="7" spans="1:7" ht="20.25" customHeight="1" x14ac:dyDescent="0.4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4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4">
      <c r="A9" s="246"/>
      <c r="B9" s="247"/>
      <c r="C9" s="803"/>
      <c r="D9" s="804"/>
      <c r="E9" s="804"/>
      <c r="F9" s="805"/>
      <c r="G9" s="245"/>
    </row>
    <row r="10" spans="1:7" ht="20.25" customHeight="1" x14ac:dyDescent="0.35">
      <c r="A10" s="806" t="s">
        <v>12</v>
      </c>
      <c r="B10" s="786" t="s">
        <v>114</v>
      </c>
      <c r="C10" s="788"/>
      <c r="D10" s="789"/>
      <c r="E10" s="789"/>
      <c r="F10" s="790"/>
    </row>
    <row r="11" spans="1:7" ht="20.25" customHeight="1" x14ac:dyDescent="0.35">
      <c r="A11" s="795"/>
      <c r="B11" s="787"/>
      <c r="C11" s="791"/>
      <c r="D11" s="792"/>
      <c r="E11" s="792"/>
      <c r="F11" s="793"/>
    </row>
    <row r="12" spans="1:7" ht="20.25" customHeight="1" x14ac:dyDescent="0.4">
      <c r="A12" s="248"/>
      <c r="B12" s="249"/>
      <c r="C12" s="250"/>
      <c r="D12" s="250"/>
      <c r="E12" s="250"/>
      <c r="F12" s="250"/>
    </row>
    <row r="13" spans="1:7" ht="18.75" customHeight="1" x14ac:dyDescent="0.4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5">
      <c r="A14" s="256">
        <v>1</v>
      </c>
      <c r="B14" s="257" t="s">
        <v>441</v>
      </c>
      <c r="C14" s="258">
        <v>200763</v>
      </c>
      <c r="D14" s="258">
        <v>4643824</v>
      </c>
      <c r="E14" s="258">
        <f t="shared" ref="E14:E24" si="0">D14-C14</f>
        <v>4443061</v>
      </c>
      <c r="F14" s="259">
        <f t="shared" ref="F14:F24" si="1">IF(C14=0,0,E14/C14)</f>
        <v>22.130875709169519</v>
      </c>
    </row>
    <row r="15" spans="1:7" ht="20.25" customHeight="1" x14ac:dyDescent="0.35">
      <c r="A15" s="256">
        <v>2</v>
      </c>
      <c r="B15" s="257" t="s">
        <v>442</v>
      </c>
      <c r="C15" s="258">
        <v>118936</v>
      </c>
      <c r="D15" s="258">
        <v>1215601</v>
      </c>
      <c r="E15" s="258">
        <f t="shared" si="0"/>
        <v>1096665</v>
      </c>
      <c r="F15" s="259">
        <f t="shared" si="1"/>
        <v>9.2206312638730079</v>
      </c>
    </row>
    <row r="16" spans="1:7" ht="20.25" customHeight="1" x14ac:dyDescent="0.35">
      <c r="A16" s="256">
        <v>3</v>
      </c>
      <c r="B16" s="257" t="s">
        <v>443</v>
      </c>
      <c r="C16" s="258">
        <v>33660</v>
      </c>
      <c r="D16" s="258">
        <v>4054434</v>
      </c>
      <c r="E16" s="258">
        <f t="shared" si="0"/>
        <v>4020774</v>
      </c>
      <c r="F16" s="259">
        <f t="shared" si="1"/>
        <v>119.45258467023173</v>
      </c>
    </row>
    <row r="17" spans="1:6" ht="20.25" customHeight="1" x14ac:dyDescent="0.35">
      <c r="A17" s="256">
        <v>4</v>
      </c>
      <c r="B17" s="257" t="s">
        <v>444</v>
      </c>
      <c r="C17" s="258">
        <v>17545</v>
      </c>
      <c r="D17" s="258">
        <v>1078054</v>
      </c>
      <c r="E17" s="258">
        <f t="shared" si="0"/>
        <v>1060509</v>
      </c>
      <c r="F17" s="259">
        <f t="shared" si="1"/>
        <v>60.445084069535483</v>
      </c>
    </row>
    <row r="18" spans="1:6" ht="20.25" customHeight="1" x14ac:dyDescent="0.35">
      <c r="A18" s="256">
        <v>5</v>
      </c>
      <c r="B18" s="257" t="s">
        <v>381</v>
      </c>
      <c r="C18" s="260">
        <v>4</v>
      </c>
      <c r="D18" s="260">
        <v>117</v>
      </c>
      <c r="E18" s="260">
        <f t="shared" si="0"/>
        <v>113</v>
      </c>
      <c r="F18" s="259">
        <f t="shared" si="1"/>
        <v>28.25</v>
      </c>
    </row>
    <row r="19" spans="1:6" ht="20.25" customHeight="1" x14ac:dyDescent="0.35">
      <c r="A19" s="256">
        <v>6</v>
      </c>
      <c r="B19" s="257" t="s">
        <v>380</v>
      </c>
      <c r="C19" s="260">
        <v>33</v>
      </c>
      <c r="D19" s="260">
        <v>636</v>
      </c>
      <c r="E19" s="260">
        <f t="shared" si="0"/>
        <v>603</v>
      </c>
      <c r="F19" s="259">
        <f t="shared" si="1"/>
        <v>18.272727272727273</v>
      </c>
    </row>
    <row r="20" spans="1:6" ht="20.25" customHeight="1" x14ac:dyDescent="0.35">
      <c r="A20" s="256">
        <v>7</v>
      </c>
      <c r="B20" s="257" t="s">
        <v>445</v>
      </c>
      <c r="C20" s="260">
        <v>6</v>
      </c>
      <c r="D20" s="260">
        <v>801</v>
      </c>
      <c r="E20" s="260">
        <f t="shared" si="0"/>
        <v>795</v>
      </c>
      <c r="F20" s="259">
        <f t="shared" si="1"/>
        <v>132.5</v>
      </c>
    </row>
    <row r="21" spans="1:6" ht="20.25" customHeight="1" x14ac:dyDescent="0.35">
      <c r="A21" s="256">
        <v>8</v>
      </c>
      <c r="B21" s="257" t="s">
        <v>446</v>
      </c>
      <c r="C21" s="260">
        <v>6</v>
      </c>
      <c r="D21" s="260">
        <v>282</v>
      </c>
      <c r="E21" s="260">
        <f t="shared" si="0"/>
        <v>276</v>
      </c>
      <c r="F21" s="259">
        <f t="shared" si="1"/>
        <v>46</v>
      </c>
    </row>
    <row r="22" spans="1:6" ht="20.25" customHeight="1" x14ac:dyDescent="0.35">
      <c r="A22" s="256">
        <v>9</v>
      </c>
      <c r="B22" s="257" t="s">
        <v>447</v>
      </c>
      <c r="C22" s="260">
        <v>4</v>
      </c>
      <c r="D22" s="260">
        <v>159</v>
      </c>
      <c r="E22" s="260">
        <f t="shared" si="0"/>
        <v>155</v>
      </c>
      <c r="F22" s="259">
        <f t="shared" si="1"/>
        <v>38.75</v>
      </c>
    </row>
    <row r="23" spans="1:6" s="265" customFormat="1" ht="20.25" customHeight="1" x14ac:dyDescent="0.4">
      <c r="A23" s="261"/>
      <c r="B23" s="262" t="s">
        <v>448</v>
      </c>
      <c r="C23" s="263">
        <f>+C14+C16</f>
        <v>234423</v>
      </c>
      <c r="D23" s="263">
        <f>+D14+D16</f>
        <v>8698258</v>
      </c>
      <c r="E23" s="263">
        <f t="shared" si="0"/>
        <v>8463835</v>
      </c>
      <c r="F23" s="264">
        <f t="shared" si="1"/>
        <v>36.104968369144665</v>
      </c>
    </row>
    <row r="24" spans="1:6" s="265" customFormat="1" ht="20.25" customHeight="1" x14ac:dyDescent="0.4">
      <c r="A24" s="261"/>
      <c r="B24" s="262" t="s">
        <v>449</v>
      </c>
      <c r="C24" s="263">
        <f>+C15+C17</f>
        <v>136481</v>
      </c>
      <c r="D24" s="263">
        <f>+D15+D17</f>
        <v>2293655</v>
      </c>
      <c r="E24" s="263">
        <f t="shared" si="0"/>
        <v>2157174</v>
      </c>
      <c r="F24" s="264">
        <f t="shared" si="1"/>
        <v>15.805672584462306</v>
      </c>
    </row>
    <row r="25" spans="1:6" s="265" customFormat="1" ht="20.25" customHeight="1" x14ac:dyDescent="0.4">
      <c r="A25" s="266"/>
      <c r="B25" s="262"/>
      <c r="C25" s="263"/>
      <c r="D25" s="263"/>
      <c r="E25" s="263"/>
      <c r="F25" s="264"/>
    </row>
    <row r="26" spans="1:6" ht="18.75" customHeight="1" x14ac:dyDescent="0.4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5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5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5">
      <c r="A29" s="256">
        <v>3</v>
      </c>
      <c r="B29" s="257" t="s">
        <v>443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5">
      <c r="A30" s="256">
        <v>4</v>
      </c>
      <c r="B30" s="257" t="s">
        <v>444</v>
      </c>
      <c r="C30" s="258">
        <v>0</v>
      </c>
      <c r="D30" s="258">
        <v>0</v>
      </c>
      <c r="E30" s="258">
        <f t="shared" si="2"/>
        <v>0</v>
      </c>
      <c r="F30" s="259">
        <f t="shared" si="3"/>
        <v>0</v>
      </c>
    </row>
    <row r="31" spans="1:6" ht="20.25" customHeight="1" x14ac:dyDescent="0.35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5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5">
      <c r="A33" s="256">
        <v>7</v>
      </c>
      <c r="B33" s="257" t="s">
        <v>445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5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5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4">
      <c r="A36" s="261"/>
      <c r="B36" s="262" t="s">
        <v>448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s="265" customFormat="1" ht="20.25" customHeight="1" x14ac:dyDescent="0.4">
      <c r="A37" s="261"/>
      <c r="B37" s="262" t="s">
        <v>449</v>
      </c>
      <c r="C37" s="263">
        <f>+C28+C30</f>
        <v>0</v>
      </c>
      <c r="D37" s="263">
        <f>+D28+D30</f>
        <v>0</v>
      </c>
      <c r="E37" s="263">
        <f t="shared" si="2"/>
        <v>0</v>
      </c>
      <c r="F37" s="264">
        <f t="shared" si="3"/>
        <v>0</v>
      </c>
    </row>
    <row r="38" spans="1:6" s="265" customFormat="1" ht="20.25" customHeight="1" x14ac:dyDescent="0.4">
      <c r="A38" s="266"/>
      <c r="B38" s="262"/>
      <c r="C38" s="263"/>
      <c r="D38" s="263"/>
      <c r="E38" s="263"/>
      <c r="F38" s="264"/>
    </row>
    <row r="39" spans="1:6" ht="18.75" customHeight="1" x14ac:dyDescent="0.4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5">
      <c r="A40" s="256">
        <v>1</v>
      </c>
      <c r="B40" s="257" t="s">
        <v>441</v>
      </c>
      <c r="C40" s="258">
        <v>9647750</v>
      </c>
      <c r="D40" s="258">
        <v>9998131</v>
      </c>
      <c r="E40" s="258">
        <f t="shared" ref="E40:E50" si="4">D40-C40</f>
        <v>350381</v>
      </c>
      <c r="F40" s="259">
        <f t="shared" ref="F40:F50" si="5">IF(C40=0,0,E40/C40)</f>
        <v>3.6317379699930034E-2</v>
      </c>
    </row>
    <row r="41" spans="1:6" ht="20.25" customHeight="1" x14ac:dyDescent="0.35">
      <c r="A41" s="256">
        <v>2</v>
      </c>
      <c r="B41" s="257" t="s">
        <v>442</v>
      </c>
      <c r="C41" s="258">
        <v>2880492</v>
      </c>
      <c r="D41" s="258">
        <v>2964822</v>
      </c>
      <c r="E41" s="258">
        <f t="shared" si="4"/>
        <v>84330</v>
      </c>
      <c r="F41" s="259">
        <f t="shared" si="5"/>
        <v>2.9276248640857188E-2</v>
      </c>
    </row>
    <row r="42" spans="1:6" ht="20.25" customHeight="1" x14ac:dyDescent="0.35">
      <c r="A42" s="256">
        <v>3</v>
      </c>
      <c r="B42" s="257" t="s">
        <v>443</v>
      </c>
      <c r="C42" s="258">
        <v>8898678</v>
      </c>
      <c r="D42" s="258">
        <v>10084920</v>
      </c>
      <c r="E42" s="258">
        <f t="shared" si="4"/>
        <v>1186242</v>
      </c>
      <c r="F42" s="259">
        <f t="shared" si="5"/>
        <v>0.13330541907460861</v>
      </c>
    </row>
    <row r="43" spans="1:6" ht="20.25" customHeight="1" x14ac:dyDescent="0.35">
      <c r="A43" s="256">
        <v>4</v>
      </c>
      <c r="B43" s="257" t="s">
        <v>444</v>
      </c>
      <c r="C43" s="258">
        <v>3509321</v>
      </c>
      <c r="D43" s="258">
        <v>2857013</v>
      </c>
      <c r="E43" s="258">
        <f t="shared" si="4"/>
        <v>-652308</v>
      </c>
      <c r="F43" s="259">
        <f t="shared" si="5"/>
        <v>-0.18587869277276145</v>
      </c>
    </row>
    <row r="44" spans="1:6" ht="20.25" customHeight="1" x14ac:dyDescent="0.35">
      <c r="A44" s="256">
        <v>5</v>
      </c>
      <c r="B44" s="257" t="s">
        <v>381</v>
      </c>
      <c r="C44" s="260">
        <v>249</v>
      </c>
      <c r="D44" s="260">
        <v>236</v>
      </c>
      <c r="E44" s="260">
        <f t="shared" si="4"/>
        <v>-13</v>
      </c>
      <c r="F44" s="259">
        <f t="shared" si="5"/>
        <v>-5.2208835341365459E-2</v>
      </c>
    </row>
    <row r="45" spans="1:6" ht="20.25" customHeight="1" x14ac:dyDescent="0.35">
      <c r="A45" s="256">
        <v>6</v>
      </c>
      <c r="B45" s="257" t="s">
        <v>380</v>
      </c>
      <c r="C45" s="260">
        <v>1332</v>
      </c>
      <c r="D45" s="260">
        <v>1220</v>
      </c>
      <c r="E45" s="260">
        <f t="shared" si="4"/>
        <v>-112</v>
      </c>
      <c r="F45" s="259">
        <f t="shared" si="5"/>
        <v>-8.408408408408409E-2</v>
      </c>
    </row>
    <row r="46" spans="1:6" ht="20.25" customHeight="1" x14ac:dyDescent="0.35">
      <c r="A46" s="256">
        <v>7</v>
      </c>
      <c r="B46" s="257" t="s">
        <v>445</v>
      </c>
      <c r="C46" s="260">
        <v>1849</v>
      </c>
      <c r="D46" s="260">
        <v>1992</v>
      </c>
      <c r="E46" s="260">
        <f t="shared" si="4"/>
        <v>143</v>
      </c>
      <c r="F46" s="259">
        <f t="shared" si="5"/>
        <v>7.7339102217414815E-2</v>
      </c>
    </row>
    <row r="47" spans="1:6" ht="20.25" customHeight="1" x14ac:dyDescent="0.35">
      <c r="A47" s="256">
        <v>8</v>
      </c>
      <c r="B47" s="257" t="s">
        <v>446</v>
      </c>
      <c r="C47" s="260">
        <v>340</v>
      </c>
      <c r="D47" s="260">
        <v>348</v>
      </c>
      <c r="E47" s="260">
        <f t="shared" si="4"/>
        <v>8</v>
      </c>
      <c r="F47" s="259">
        <f t="shared" si="5"/>
        <v>2.3529411764705882E-2</v>
      </c>
    </row>
    <row r="48" spans="1:6" ht="20.25" customHeight="1" x14ac:dyDescent="0.35">
      <c r="A48" s="256">
        <v>9</v>
      </c>
      <c r="B48" s="257" t="s">
        <v>447</v>
      </c>
      <c r="C48" s="260">
        <v>196</v>
      </c>
      <c r="D48" s="260">
        <v>198</v>
      </c>
      <c r="E48" s="260">
        <f t="shared" si="4"/>
        <v>2</v>
      </c>
      <c r="F48" s="259">
        <f t="shared" si="5"/>
        <v>1.020408163265306E-2</v>
      </c>
    </row>
    <row r="49" spans="1:6" s="265" customFormat="1" ht="20.25" customHeight="1" x14ac:dyDescent="0.4">
      <c r="A49" s="261"/>
      <c r="B49" s="262" t="s">
        <v>448</v>
      </c>
      <c r="C49" s="263">
        <f>+C40+C42</f>
        <v>18546428</v>
      </c>
      <c r="D49" s="263">
        <f>+D40+D42</f>
        <v>20083051</v>
      </c>
      <c r="E49" s="263">
        <f t="shared" si="4"/>
        <v>1536623</v>
      </c>
      <c r="F49" s="264">
        <f t="shared" si="5"/>
        <v>8.2852773590688197E-2</v>
      </c>
    </row>
    <row r="50" spans="1:6" s="265" customFormat="1" ht="20.25" customHeight="1" x14ac:dyDescent="0.4">
      <c r="A50" s="261"/>
      <c r="B50" s="262" t="s">
        <v>449</v>
      </c>
      <c r="C50" s="263">
        <f>+C41+C43</f>
        <v>6389813</v>
      </c>
      <c r="D50" s="263">
        <f>+D41+D43</f>
        <v>5821835</v>
      </c>
      <c r="E50" s="263">
        <f t="shared" si="4"/>
        <v>-567978</v>
      </c>
      <c r="F50" s="264">
        <f t="shared" si="5"/>
        <v>-8.8888047271492923E-2</v>
      </c>
    </row>
    <row r="51" spans="1:6" s="265" customFormat="1" ht="20.25" customHeight="1" x14ac:dyDescent="0.4">
      <c r="A51" s="266"/>
      <c r="B51" s="262"/>
      <c r="C51" s="263"/>
      <c r="D51" s="263"/>
      <c r="E51" s="263"/>
      <c r="F51" s="264"/>
    </row>
    <row r="52" spans="1:6" ht="18.75" customHeight="1" x14ac:dyDescent="0.4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5">
      <c r="A53" s="256">
        <v>1</v>
      </c>
      <c r="B53" s="257" t="s">
        <v>441</v>
      </c>
      <c r="C53" s="258">
        <v>0</v>
      </c>
      <c r="D53" s="258">
        <v>0</v>
      </c>
      <c r="E53" s="258">
        <f t="shared" ref="E53:E63" si="6">D53-C53</f>
        <v>0</v>
      </c>
      <c r="F53" s="259">
        <f t="shared" ref="F53:F63" si="7">IF(C53=0,0,E53/C53)</f>
        <v>0</v>
      </c>
    </row>
    <row r="54" spans="1:6" ht="20.25" customHeight="1" x14ac:dyDescent="0.35">
      <c r="A54" s="256">
        <v>2</v>
      </c>
      <c r="B54" s="257" t="s">
        <v>442</v>
      </c>
      <c r="C54" s="258">
        <v>0</v>
      </c>
      <c r="D54" s="258">
        <v>0</v>
      </c>
      <c r="E54" s="258">
        <f t="shared" si="6"/>
        <v>0</v>
      </c>
      <c r="F54" s="259">
        <f t="shared" si="7"/>
        <v>0</v>
      </c>
    </row>
    <row r="55" spans="1:6" ht="20.25" customHeight="1" x14ac:dyDescent="0.35">
      <c r="A55" s="256">
        <v>3</v>
      </c>
      <c r="B55" s="257" t="s">
        <v>443</v>
      </c>
      <c r="C55" s="258">
        <v>0</v>
      </c>
      <c r="D55" s="258">
        <v>0</v>
      </c>
      <c r="E55" s="258">
        <f t="shared" si="6"/>
        <v>0</v>
      </c>
      <c r="F55" s="259">
        <f t="shared" si="7"/>
        <v>0</v>
      </c>
    </row>
    <row r="56" spans="1:6" ht="20.25" customHeight="1" x14ac:dyDescent="0.35">
      <c r="A56" s="256">
        <v>4</v>
      </c>
      <c r="B56" s="257" t="s">
        <v>444</v>
      </c>
      <c r="C56" s="258">
        <v>0</v>
      </c>
      <c r="D56" s="258">
        <v>0</v>
      </c>
      <c r="E56" s="258">
        <f t="shared" si="6"/>
        <v>0</v>
      </c>
      <c r="F56" s="259">
        <f t="shared" si="7"/>
        <v>0</v>
      </c>
    </row>
    <row r="57" spans="1:6" ht="20.25" customHeight="1" x14ac:dyDescent="0.35">
      <c r="A57" s="256">
        <v>5</v>
      </c>
      <c r="B57" s="257" t="s">
        <v>381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5">
      <c r="A58" s="256">
        <v>6</v>
      </c>
      <c r="B58" s="257" t="s">
        <v>380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ht="20.25" customHeight="1" x14ac:dyDescent="0.35">
      <c r="A59" s="256">
        <v>7</v>
      </c>
      <c r="B59" s="257" t="s">
        <v>445</v>
      </c>
      <c r="C59" s="260">
        <v>0</v>
      </c>
      <c r="D59" s="260">
        <v>0</v>
      </c>
      <c r="E59" s="260">
        <f t="shared" si="6"/>
        <v>0</v>
      </c>
      <c r="F59" s="259">
        <f t="shared" si="7"/>
        <v>0</v>
      </c>
    </row>
    <row r="60" spans="1:6" ht="20.25" customHeight="1" x14ac:dyDescent="0.35">
      <c r="A60" s="256">
        <v>8</v>
      </c>
      <c r="B60" s="257" t="s">
        <v>446</v>
      </c>
      <c r="C60" s="260">
        <v>0</v>
      </c>
      <c r="D60" s="260">
        <v>0</v>
      </c>
      <c r="E60" s="260">
        <f t="shared" si="6"/>
        <v>0</v>
      </c>
      <c r="F60" s="259">
        <f t="shared" si="7"/>
        <v>0</v>
      </c>
    </row>
    <row r="61" spans="1:6" ht="20.25" customHeight="1" x14ac:dyDescent="0.35">
      <c r="A61" s="256">
        <v>9</v>
      </c>
      <c r="B61" s="257" t="s">
        <v>447</v>
      </c>
      <c r="C61" s="260">
        <v>0</v>
      </c>
      <c r="D61" s="260">
        <v>0</v>
      </c>
      <c r="E61" s="260">
        <f t="shared" si="6"/>
        <v>0</v>
      </c>
      <c r="F61" s="259">
        <f t="shared" si="7"/>
        <v>0</v>
      </c>
    </row>
    <row r="62" spans="1:6" s="265" customFormat="1" ht="20.25" customHeight="1" x14ac:dyDescent="0.4">
      <c r="A62" s="261"/>
      <c r="B62" s="262" t="s">
        <v>448</v>
      </c>
      <c r="C62" s="263">
        <f>+C53+C55</f>
        <v>0</v>
      </c>
      <c r="D62" s="263">
        <f>+D53+D55</f>
        <v>0</v>
      </c>
      <c r="E62" s="263">
        <f t="shared" si="6"/>
        <v>0</v>
      </c>
      <c r="F62" s="264">
        <f t="shared" si="7"/>
        <v>0</v>
      </c>
    </row>
    <row r="63" spans="1:6" s="265" customFormat="1" ht="20.25" customHeight="1" x14ac:dyDescent="0.4">
      <c r="A63" s="261"/>
      <c r="B63" s="262" t="s">
        <v>449</v>
      </c>
      <c r="C63" s="263">
        <f>+C54+C56</f>
        <v>0</v>
      </c>
      <c r="D63" s="263">
        <f>+D54+D56</f>
        <v>0</v>
      </c>
      <c r="E63" s="263">
        <f t="shared" si="6"/>
        <v>0</v>
      </c>
      <c r="F63" s="264">
        <f t="shared" si="7"/>
        <v>0</v>
      </c>
    </row>
    <row r="64" spans="1:6" s="265" customFormat="1" ht="20.25" customHeight="1" x14ac:dyDescent="0.4">
      <c r="A64" s="266"/>
      <c r="B64" s="262"/>
      <c r="C64" s="263"/>
      <c r="D64" s="263"/>
      <c r="E64" s="263"/>
      <c r="F64" s="264"/>
    </row>
    <row r="65" spans="1:6" ht="18.75" customHeight="1" x14ac:dyDescent="0.4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5">
      <c r="A66" s="256">
        <v>1</v>
      </c>
      <c r="B66" s="257" t="s">
        <v>441</v>
      </c>
      <c r="C66" s="258">
        <v>4412703</v>
      </c>
      <c r="D66" s="258">
        <v>2242222</v>
      </c>
      <c r="E66" s="258">
        <f t="shared" ref="E66:E76" si="8">D66-C66</f>
        <v>-2170481</v>
      </c>
      <c r="F66" s="259">
        <f t="shared" ref="F66:F76" si="9">IF(C66=0,0,E66/C66)</f>
        <v>-0.49187108219157283</v>
      </c>
    </row>
    <row r="67" spans="1:6" ht="20.25" customHeight="1" x14ac:dyDescent="0.35">
      <c r="A67" s="256">
        <v>2</v>
      </c>
      <c r="B67" s="257" t="s">
        <v>442</v>
      </c>
      <c r="C67" s="258">
        <v>1158239</v>
      </c>
      <c r="D67" s="258">
        <v>624987</v>
      </c>
      <c r="E67" s="258">
        <f t="shared" si="8"/>
        <v>-533252</v>
      </c>
      <c r="F67" s="259">
        <f t="shared" si="9"/>
        <v>-0.46039893320808573</v>
      </c>
    </row>
    <row r="68" spans="1:6" ht="20.25" customHeight="1" x14ac:dyDescent="0.35">
      <c r="A68" s="256">
        <v>3</v>
      </c>
      <c r="B68" s="257" t="s">
        <v>443</v>
      </c>
      <c r="C68" s="258">
        <v>2614461</v>
      </c>
      <c r="D68" s="258">
        <v>852697</v>
      </c>
      <c r="E68" s="258">
        <f t="shared" si="8"/>
        <v>-1761764</v>
      </c>
      <c r="F68" s="259">
        <f t="shared" si="9"/>
        <v>-0.67385361648156161</v>
      </c>
    </row>
    <row r="69" spans="1:6" ht="20.25" customHeight="1" x14ac:dyDescent="0.35">
      <c r="A69" s="256">
        <v>4</v>
      </c>
      <c r="B69" s="257" t="s">
        <v>444</v>
      </c>
      <c r="C69" s="258">
        <v>742067</v>
      </c>
      <c r="D69" s="258">
        <v>234326</v>
      </c>
      <c r="E69" s="258">
        <f t="shared" si="8"/>
        <v>-507741</v>
      </c>
      <c r="F69" s="259">
        <f t="shared" si="9"/>
        <v>-0.68422527884948392</v>
      </c>
    </row>
    <row r="70" spans="1:6" ht="20.25" customHeight="1" x14ac:dyDescent="0.35">
      <c r="A70" s="256">
        <v>5</v>
      </c>
      <c r="B70" s="257" t="s">
        <v>381</v>
      </c>
      <c r="C70" s="260">
        <v>113</v>
      </c>
      <c r="D70" s="260">
        <v>168</v>
      </c>
      <c r="E70" s="260">
        <f t="shared" si="8"/>
        <v>55</v>
      </c>
      <c r="F70" s="259">
        <f t="shared" si="9"/>
        <v>0.48672566371681414</v>
      </c>
    </row>
    <row r="71" spans="1:6" ht="20.25" customHeight="1" x14ac:dyDescent="0.35">
      <c r="A71" s="256">
        <v>6</v>
      </c>
      <c r="B71" s="257" t="s">
        <v>380</v>
      </c>
      <c r="C71" s="260">
        <v>749</v>
      </c>
      <c r="D71" s="260">
        <v>270</v>
      </c>
      <c r="E71" s="260">
        <f t="shared" si="8"/>
        <v>-479</v>
      </c>
      <c r="F71" s="259">
        <f t="shared" si="9"/>
        <v>-0.63951935914552738</v>
      </c>
    </row>
    <row r="72" spans="1:6" ht="20.25" customHeight="1" x14ac:dyDescent="0.35">
      <c r="A72" s="256">
        <v>7</v>
      </c>
      <c r="B72" s="257" t="s">
        <v>445</v>
      </c>
      <c r="C72" s="260">
        <v>471</v>
      </c>
      <c r="D72" s="260">
        <v>168</v>
      </c>
      <c r="E72" s="260">
        <f t="shared" si="8"/>
        <v>-303</v>
      </c>
      <c r="F72" s="259">
        <f t="shared" si="9"/>
        <v>-0.64331210191082799</v>
      </c>
    </row>
    <row r="73" spans="1:6" ht="20.25" customHeight="1" x14ac:dyDescent="0.35">
      <c r="A73" s="256">
        <v>8</v>
      </c>
      <c r="B73" s="257" t="s">
        <v>446</v>
      </c>
      <c r="C73" s="260">
        <v>220</v>
      </c>
      <c r="D73" s="260">
        <v>4</v>
      </c>
      <c r="E73" s="260">
        <f t="shared" si="8"/>
        <v>-216</v>
      </c>
      <c r="F73" s="259">
        <f t="shared" si="9"/>
        <v>-0.98181818181818181</v>
      </c>
    </row>
    <row r="74" spans="1:6" ht="20.25" customHeight="1" x14ac:dyDescent="0.35">
      <c r="A74" s="256">
        <v>9</v>
      </c>
      <c r="B74" s="257" t="s">
        <v>447</v>
      </c>
      <c r="C74" s="260">
        <v>101</v>
      </c>
      <c r="D74" s="260">
        <v>4</v>
      </c>
      <c r="E74" s="260">
        <f t="shared" si="8"/>
        <v>-97</v>
      </c>
      <c r="F74" s="259">
        <f t="shared" si="9"/>
        <v>-0.96039603960396036</v>
      </c>
    </row>
    <row r="75" spans="1:6" s="265" customFormat="1" ht="20.25" customHeight="1" x14ac:dyDescent="0.4">
      <c r="A75" s="261"/>
      <c r="B75" s="262" t="s">
        <v>448</v>
      </c>
      <c r="C75" s="263">
        <f>+C66+C68</f>
        <v>7027164</v>
      </c>
      <c r="D75" s="263">
        <f>+D66+D68</f>
        <v>3094919</v>
      </c>
      <c r="E75" s="263">
        <f t="shared" si="8"/>
        <v>-3932245</v>
      </c>
      <c r="F75" s="264">
        <f t="shared" si="9"/>
        <v>-0.55957780407572666</v>
      </c>
    </row>
    <row r="76" spans="1:6" s="265" customFormat="1" ht="20.25" customHeight="1" x14ac:dyDescent="0.4">
      <c r="A76" s="261"/>
      <c r="B76" s="262" t="s">
        <v>449</v>
      </c>
      <c r="C76" s="263">
        <f>+C67+C69</f>
        <v>1900306</v>
      </c>
      <c r="D76" s="263">
        <f>+D67+D69</f>
        <v>859313</v>
      </c>
      <c r="E76" s="263">
        <f t="shared" si="8"/>
        <v>-1040993</v>
      </c>
      <c r="F76" s="264">
        <f t="shared" si="9"/>
        <v>-0.54780282754461651</v>
      </c>
    </row>
    <row r="77" spans="1:6" s="265" customFormat="1" ht="20.25" customHeight="1" x14ac:dyDescent="0.4">
      <c r="A77" s="266"/>
      <c r="B77" s="262"/>
      <c r="C77" s="263"/>
      <c r="D77" s="263"/>
      <c r="E77" s="263"/>
      <c r="F77" s="264"/>
    </row>
    <row r="78" spans="1:6" ht="18.75" customHeight="1" x14ac:dyDescent="0.4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5">
      <c r="A79" s="256">
        <v>1</v>
      </c>
      <c r="B79" s="257" t="s">
        <v>441</v>
      </c>
      <c r="C79" s="258">
        <v>0</v>
      </c>
      <c r="D79" s="258">
        <v>0</v>
      </c>
      <c r="E79" s="258">
        <f t="shared" ref="E79:E89" si="10">D79-C79</f>
        <v>0</v>
      </c>
      <c r="F79" s="259">
        <f t="shared" ref="F79:F89" si="11">IF(C79=0,0,E79/C79)</f>
        <v>0</v>
      </c>
    </row>
    <row r="80" spans="1:6" ht="20.25" customHeight="1" x14ac:dyDescent="0.35">
      <c r="A80" s="256">
        <v>2</v>
      </c>
      <c r="B80" s="257" t="s">
        <v>442</v>
      </c>
      <c r="C80" s="258">
        <v>0</v>
      </c>
      <c r="D80" s="258">
        <v>0</v>
      </c>
      <c r="E80" s="258">
        <f t="shared" si="10"/>
        <v>0</v>
      </c>
      <c r="F80" s="259">
        <f t="shared" si="11"/>
        <v>0</v>
      </c>
    </row>
    <row r="81" spans="1:6" ht="20.25" customHeight="1" x14ac:dyDescent="0.35">
      <c r="A81" s="256">
        <v>3</v>
      </c>
      <c r="B81" s="257" t="s">
        <v>443</v>
      </c>
      <c r="C81" s="258">
        <v>0</v>
      </c>
      <c r="D81" s="258">
        <v>0</v>
      </c>
      <c r="E81" s="258">
        <f t="shared" si="10"/>
        <v>0</v>
      </c>
      <c r="F81" s="259">
        <f t="shared" si="11"/>
        <v>0</v>
      </c>
    </row>
    <row r="82" spans="1:6" ht="20.25" customHeight="1" x14ac:dyDescent="0.35">
      <c r="A82" s="256">
        <v>4</v>
      </c>
      <c r="B82" s="257" t="s">
        <v>444</v>
      </c>
      <c r="C82" s="258">
        <v>0</v>
      </c>
      <c r="D82" s="258">
        <v>0</v>
      </c>
      <c r="E82" s="258">
        <f t="shared" si="10"/>
        <v>0</v>
      </c>
      <c r="F82" s="259">
        <f t="shared" si="11"/>
        <v>0</v>
      </c>
    </row>
    <row r="83" spans="1:6" ht="20.25" customHeight="1" x14ac:dyDescent="0.35">
      <c r="A83" s="256">
        <v>5</v>
      </c>
      <c r="B83" s="257" t="s">
        <v>381</v>
      </c>
      <c r="C83" s="260">
        <v>0</v>
      </c>
      <c r="D83" s="260">
        <v>0</v>
      </c>
      <c r="E83" s="260">
        <f t="shared" si="10"/>
        <v>0</v>
      </c>
      <c r="F83" s="259">
        <f t="shared" si="11"/>
        <v>0</v>
      </c>
    </row>
    <row r="84" spans="1:6" ht="20.25" customHeight="1" x14ac:dyDescent="0.35">
      <c r="A84" s="256">
        <v>6</v>
      </c>
      <c r="B84" s="257" t="s">
        <v>380</v>
      </c>
      <c r="C84" s="260">
        <v>0</v>
      </c>
      <c r="D84" s="260">
        <v>0</v>
      </c>
      <c r="E84" s="260">
        <f t="shared" si="10"/>
        <v>0</v>
      </c>
      <c r="F84" s="259">
        <f t="shared" si="11"/>
        <v>0</v>
      </c>
    </row>
    <row r="85" spans="1:6" ht="20.25" customHeight="1" x14ac:dyDescent="0.35">
      <c r="A85" s="256">
        <v>7</v>
      </c>
      <c r="B85" s="257" t="s">
        <v>445</v>
      </c>
      <c r="C85" s="260">
        <v>0</v>
      </c>
      <c r="D85" s="260">
        <v>0</v>
      </c>
      <c r="E85" s="260">
        <f t="shared" si="10"/>
        <v>0</v>
      </c>
      <c r="F85" s="259">
        <f t="shared" si="11"/>
        <v>0</v>
      </c>
    </row>
    <row r="86" spans="1:6" ht="20.25" customHeight="1" x14ac:dyDescent="0.35">
      <c r="A86" s="256">
        <v>8</v>
      </c>
      <c r="B86" s="257" t="s">
        <v>446</v>
      </c>
      <c r="C86" s="260">
        <v>0</v>
      </c>
      <c r="D86" s="260">
        <v>0</v>
      </c>
      <c r="E86" s="260">
        <f t="shared" si="10"/>
        <v>0</v>
      </c>
      <c r="F86" s="259">
        <f t="shared" si="11"/>
        <v>0</v>
      </c>
    </row>
    <row r="87" spans="1:6" ht="20.25" customHeight="1" x14ac:dyDescent="0.35">
      <c r="A87" s="256">
        <v>9</v>
      </c>
      <c r="B87" s="257" t="s">
        <v>447</v>
      </c>
      <c r="C87" s="260">
        <v>0</v>
      </c>
      <c r="D87" s="260">
        <v>0</v>
      </c>
      <c r="E87" s="260">
        <f t="shared" si="10"/>
        <v>0</v>
      </c>
      <c r="F87" s="259">
        <f t="shared" si="11"/>
        <v>0</v>
      </c>
    </row>
    <row r="88" spans="1:6" s="265" customFormat="1" ht="20.25" customHeight="1" x14ac:dyDescent="0.4">
      <c r="A88" s="261"/>
      <c r="B88" s="262" t="s">
        <v>448</v>
      </c>
      <c r="C88" s="263">
        <f>+C79+C81</f>
        <v>0</v>
      </c>
      <c r="D88" s="263">
        <f>+D79+D81</f>
        <v>0</v>
      </c>
      <c r="E88" s="263">
        <f t="shared" si="10"/>
        <v>0</v>
      </c>
      <c r="F88" s="264">
        <f t="shared" si="11"/>
        <v>0</v>
      </c>
    </row>
    <row r="89" spans="1:6" s="265" customFormat="1" ht="20.25" customHeight="1" x14ac:dyDescent="0.4">
      <c r="A89" s="261"/>
      <c r="B89" s="262" t="s">
        <v>449</v>
      </c>
      <c r="C89" s="263">
        <f>+C80+C82</f>
        <v>0</v>
      </c>
      <c r="D89" s="263">
        <f>+D80+D82</f>
        <v>0</v>
      </c>
      <c r="E89" s="263">
        <f t="shared" si="10"/>
        <v>0</v>
      </c>
      <c r="F89" s="264">
        <f t="shared" si="11"/>
        <v>0</v>
      </c>
    </row>
    <row r="90" spans="1:6" s="265" customFormat="1" ht="20.25" customHeight="1" x14ac:dyDescent="0.4">
      <c r="A90" s="266"/>
      <c r="B90" s="262"/>
      <c r="C90" s="263"/>
      <c r="D90" s="263"/>
      <c r="E90" s="263"/>
      <c r="F90" s="264"/>
    </row>
    <row r="91" spans="1:6" ht="18.75" customHeight="1" x14ac:dyDescent="0.4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5">
      <c r="A92" s="256">
        <v>1</v>
      </c>
      <c r="B92" s="257" t="s">
        <v>441</v>
      </c>
      <c r="C92" s="258">
        <v>0</v>
      </c>
      <c r="D92" s="258">
        <v>0</v>
      </c>
      <c r="E92" s="258">
        <f t="shared" ref="E92:E102" si="12">D92-C92</f>
        <v>0</v>
      </c>
      <c r="F92" s="259">
        <f t="shared" ref="F92:F102" si="13">IF(C92=0,0,E92/C92)</f>
        <v>0</v>
      </c>
    </row>
    <row r="93" spans="1:6" ht="20.25" customHeight="1" x14ac:dyDescent="0.35">
      <c r="A93" s="256">
        <v>2</v>
      </c>
      <c r="B93" s="257" t="s">
        <v>442</v>
      </c>
      <c r="C93" s="258">
        <v>0</v>
      </c>
      <c r="D93" s="258">
        <v>0</v>
      </c>
      <c r="E93" s="258">
        <f t="shared" si="12"/>
        <v>0</v>
      </c>
      <c r="F93" s="259">
        <f t="shared" si="13"/>
        <v>0</v>
      </c>
    </row>
    <row r="94" spans="1:6" ht="20.25" customHeight="1" x14ac:dyDescent="0.35">
      <c r="A94" s="256">
        <v>3</v>
      </c>
      <c r="B94" s="257" t="s">
        <v>443</v>
      </c>
      <c r="C94" s="258">
        <v>0</v>
      </c>
      <c r="D94" s="258">
        <v>0</v>
      </c>
      <c r="E94" s="258">
        <f t="shared" si="12"/>
        <v>0</v>
      </c>
      <c r="F94" s="259">
        <f t="shared" si="13"/>
        <v>0</v>
      </c>
    </row>
    <row r="95" spans="1:6" ht="20.25" customHeight="1" x14ac:dyDescent="0.35">
      <c r="A95" s="256">
        <v>4</v>
      </c>
      <c r="B95" s="257" t="s">
        <v>444</v>
      </c>
      <c r="C95" s="258">
        <v>0</v>
      </c>
      <c r="D95" s="258">
        <v>0</v>
      </c>
      <c r="E95" s="258">
        <f t="shared" si="12"/>
        <v>0</v>
      </c>
      <c r="F95" s="259">
        <f t="shared" si="13"/>
        <v>0</v>
      </c>
    </row>
    <row r="96" spans="1:6" ht="20.25" customHeight="1" x14ac:dyDescent="0.35">
      <c r="A96" s="256">
        <v>5</v>
      </c>
      <c r="B96" s="257" t="s">
        <v>381</v>
      </c>
      <c r="C96" s="260">
        <v>0</v>
      </c>
      <c r="D96" s="260">
        <v>0</v>
      </c>
      <c r="E96" s="260">
        <f t="shared" si="12"/>
        <v>0</v>
      </c>
      <c r="F96" s="259">
        <f t="shared" si="13"/>
        <v>0</v>
      </c>
    </row>
    <row r="97" spans="1:6" ht="20.25" customHeight="1" x14ac:dyDescent="0.35">
      <c r="A97" s="256">
        <v>6</v>
      </c>
      <c r="B97" s="257" t="s">
        <v>380</v>
      </c>
      <c r="C97" s="260">
        <v>0</v>
      </c>
      <c r="D97" s="260">
        <v>0</v>
      </c>
      <c r="E97" s="260">
        <f t="shared" si="12"/>
        <v>0</v>
      </c>
      <c r="F97" s="259">
        <f t="shared" si="13"/>
        <v>0</v>
      </c>
    </row>
    <row r="98" spans="1:6" ht="20.25" customHeight="1" x14ac:dyDescent="0.35">
      <c r="A98" s="256">
        <v>7</v>
      </c>
      <c r="B98" s="257" t="s">
        <v>445</v>
      </c>
      <c r="C98" s="260">
        <v>0</v>
      </c>
      <c r="D98" s="260">
        <v>0</v>
      </c>
      <c r="E98" s="260">
        <f t="shared" si="12"/>
        <v>0</v>
      </c>
      <c r="F98" s="259">
        <f t="shared" si="13"/>
        <v>0</v>
      </c>
    </row>
    <row r="99" spans="1:6" ht="20.25" customHeight="1" x14ac:dyDescent="0.35">
      <c r="A99" s="256">
        <v>8</v>
      </c>
      <c r="B99" s="257" t="s">
        <v>446</v>
      </c>
      <c r="C99" s="260">
        <v>0</v>
      </c>
      <c r="D99" s="260">
        <v>0</v>
      </c>
      <c r="E99" s="260">
        <f t="shared" si="12"/>
        <v>0</v>
      </c>
      <c r="F99" s="259">
        <f t="shared" si="13"/>
        <v>0</v>
      </c>
    </row>
    <row r="100" spans="1:6" ht="20.25" customHeight="1" x14ac:dyDescent="0.35">
      <c r="A100" s="256">
        <v>9</v>
      </c>
      <c r="B100" s="257" t="s">
        <v>447</v>
      </c>
      <c r="C100" s="260">
        <v>0</v>
      </c>
      <c r="D100" s="260">
        <v>0</v>
      </c>
      <c r="E100" s="260">
        <f t="shared" si="12"/>
        <v>0</v>
      </c>
      <c r="F100" s="259">
        <f t="shared" si="13"/>
        <v>0</v>
      </c>
    </row>
    <row r="101" spans="1:6" s="265" customFormat="1" ht="20.25" customHeight="1" x14ac:dyDescent="0.4">
      <c r="A101" s="261"/>
      <c r="B101" s="262" t="s">
        <v>448</v>
      </c>
      <c r="C101" s="263">
        <f>+C92+C94</f>
        <v>0</v>
      </c>
      <c r="D101" s="263">
        <f>+D92+D94</f>
        <v>0</v>
      </c>
      <c r="E101" s="263">
        <f t="shared" si="12"/>
        <v>0</v>
      </c>
      <c r="F101" s="264">
        <f t="shared" si="13"/>
        <v>0</v>
      </c>
    </row>
    <row r="102" spans="1:6" s="265" customFormat="1" ht="20.25" customHeight="1" x14ac:dyDescent="0.4">
      <c r="A102" s="261"/>
      <c r="B102" s="262" t="s">
        <v>449</v>
      </c>
      <c r="C102" s="263">
        <f>+C93+C95</f>
        <v>0</v>
      </c>
      <c r="D102" s="263">
        <f>+D93+D95</f>
        <v>0</v>
      </c>
      <c r="E102" s="263">
        <f t="shared" si="12"/>
        <v>0</v>
      </c>
      <c r="F102" s="264">
        <f t="shared" si="13"/>
        <v>0</v>
      </c>
    </row>
    <row r="103" spans="1:6" s="265" customFormat="1" ht="20.25" customHeight="1" x14ac:dyDescent="0.4">
      <c r="A103" s="266"/>
      <c r="B103" s="262"/>
      <c r="C103" s="263"/>
      <c r="D103" s="263"/>
      <c r="E103" s="263"/>
      <c r="F103" s="264"/>
    </row>
    <row r="104" spans="1:6" ht="18.75" customHeight="1" x14ac:dyDescent="0.4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5">
      <c r="A105" s="256">
        <v>1</v>
      </c>
      <c r="B105" s="257" t="s">
        <v>441</v>
      </c>
      <c r="C105" s="258">
        <v>0</v>
      </c>
      <c r="D105" s="258">
        <v>0</v>
      </c>
      <c r="E105" s="258">
        <f t="shared" ref="E105:E115" si="14">D105-C105</f>
        <v>0</v>
      </c>
      <c r="F105" s="259">
        <f t="shared" ref="F105:F115" si="15">IF(C105=0,0,E105/C105)</f>
        <v>0</v>
      </c>
    </row>
    <row r="106" spans="1:6" ht="20.25" customHeight="1" x14ac:dyDescent="0.35">
      <c r="A106" s="256">
        <v>2</v>
      </c>
      <c r="B106" s="257" t="s">
        <v>442</v>
      </c>
      <c r="C106" s="258">
        <v>0</v>
      </c>
      <c r="D106" s="258">
        <v>0</v>
      </c>
      <c r="E106" s="258">
        <f t="shared" si="14"/>
        <v>0</v>
      </c>
      <c r="F106" s="259">
        <f t="shared" si="15"/>
        <v>0</v>
      </c>
    </row>
    <row r="107" spans="1:6" ht="20.25" customHeight="1" x14ac:dyDescent="0.35">
      <c r="A107" s="256">
        <v>3</v>
      </c>
      <c r="B107" s="257" t="s">
        <v>443</v>
      </c>
      <c r="C107" s="258">
        <v>0</v>
      </c>
      <c r="D107" s="258">
        <v>0</v>
      </c>
      <c r="E107" s="258">
        <f t="shared" si="14"/>
        <v>0</v>
      </c>
      <c r="F107" s="259">
        <f t="shared" si="15"/>
        <v>0</v>
      </c>
    </row>
    <row r="108" spans="1:6" ht="20.25" customHeight="1" x14ac:dyDescent="0.35">
      <c r="A108" s="256">
        <v>4</v>
      </c>
      <c r="B108" s="257" t="s">
        <v>444</v>
      </c>
      <c r="C108" s="258">
        <v>0</v>
      </c>
      <c r="D108" s="258">
        <v>0</v>
      </c>
      <c r="E108" s="258">
        <f t="shared" si="14"/>
        <v>0</v>
      </c>
      <c r="F108" s="259">
        <f t="shared" si="15"/>
        <v>0</v>
      </c>
    </row>
    <row r="109" spans="1:6" ht="20.25" customHeight="1" x14ac:dyDescent="0.35">
      <c r="A109" s="256">
        <v>5</v>
      </c>
      <c r="B109" s="257" t="s">
        <v>381</v>
      </c>
      <c r="C109" s="260">
        <v>0</v>
      </c>
      <c r="D109" s="260">
        <v>0</v>
      </c>
      <c r="E109" s="260">
        <f t="shared" si="14"/>
        <v>0</v>
      </c>
      <c r="F109" s="259">
        <f t="shared" si="15"/>
        <v>0</v>
      </c>
    </row>
    <row r="110" spans="1:6" ht="20.25" customHeight="1" x14ac:dyDescent="0.35">
      <c r="A110" s="256">
        <v>6</v>
      </c>
      <c r="B110" s="257" t="s">
        <v>380</v>
      </c>
      <c r="C110" s="260">
        <v>0</v>
      </c>
      <c r="D110" s="260">
        <v>0</v>
      </c>
      <c r="E110" s="260">
        <f t="shared" si="14"/>
        <v>0</v>
      </c>
      <c r="F110" s="259">
        <f t="shared" si="15"/>
        <v>0</v>
      </c>
    </row>
    <row r="111" spans="1:6" ht="20.25" customHeight="1" x14ac:dyDescent="0.35">
      <c r="A111" s="256">
        <v>7</v>
      </c>
      <c r="B111" s="257" t="s">
        <v>445</v>
      </c>
      <c r="C111" s="260">
        <v>0</v>
      </c>
      <c r="D111" s="260">
        <v>0</v>
      </c>
      <c r="E111" s="260">
        <f t="shared" si="14"/>
        <v>0</v>
      </c>
      <c r="F111" s="259">
        <f t="shared" si="15"/>
        <v>0</v>
      </c>
    </row>
    <row r="112" spans="1:6" ht="20.25" customHeight="1" x14ac:dyDescent="0.35">
      <c r="A112" s="256">
        <v>8</v>
      </c>
      <c r="B112" s="257" t="s">
        <v>446</v>
      </c>
      <c r="C112" s="260">
        <v>0</v>
      </c>
      <c r="D112" s="260">
        <v>0</v>
      </c>
      <c r="E112" s="260">
        <f t="shared" si="14"/>
        <v>0</v>
      </c>
      <c r="F112" s="259">
        <f t="shared" si="15"/>
        <v>0</v>
      </c>
    </row>
    <row r="113" spans="1:6" ht="20.25" customHeight="1" x14ac:dyDescent="0.35">
      <c r="A113" s="256">
        <v>9</v>
      </c>
      <c r="B113" s="257" t="s">
        <v>447</v>
      </c>
      <c r="C113" s="260">
        <v>0</v>
      </c>
      <c r="D113" s="260">
        <v>0</v>
      </c>
      <c r="E113" s="260">
        <f t="shared" si="14"/>
        <v>0</v>
      </c>
      <c r="F113" s="259">
        <f t="shared" si="15"/>
        <v>0</v>
      </c>
    </row>
    <row r="114" spans="1:6" s="265" customFormat="1" ht="20.25" customHeight="1" x14ac:dyDescent="0.4">
      <c r="A114" s="261"/>
      <c r="B114" s="262" t="s">
        <v>448</v>
      </c>
      <c r="C114" s="263">
        <f>+C105+C107</f>
        <v>0</v>
      </c>
      <c r="D114" s="263">
        <f>+D105+D107</f>
        <v>0</v>
      </c>
      <c r="E114" s="263">
        <f t="shared" si="14"/>
        <v>0</v>
      </c>
      <c r="F114" s="264">
        <f t="shared" si="15"/>
        <v>0</v>
      </c>
    </row>
    <row r="115" spans="1:6" s="265" customFormat="1" ht="20.25" customHeight="1" x14ac:dyDescent="0.4">
      <c r="A115" s="261"/>
      <c r="B115" s="262" t="s">
        <v>449</v>
      </c>
      <c r="C115" s="263">
        <f>+C106+C108</f>
        <v>0</v>
      </c>
      <c r="D115" s="263">
        <f>+D106+D108</f>
        <v>0</v>
      </c>
      <c r="E115" s="263">
        <f t="shared" si="14"/>
        <v>0</v>
      </c>
      <c r="F115" s="264">
        <f t="shared" si="15"/>
        <v>0</v>
      </c>
    </row>
    <row r="116" spans="1:6" s="265" customFormat="1" ht="20.25" customHeight="1" x14ac:dyDescent="0.4">
      <c r="A116" s="266"/>
      <c r="B116" s="262"/>
      <c r="C116" s="263"/>
      <c r="D116" s="263"/>
      <c r="E116" s="263"/>
      <c r="F116" s="264"/>
    </row>
    <row r="117" spans="1:6" ht="18.75" customHeight="1" x14ac:dyDescent="0.4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5">
      <c r="A118" s="256">
        <v>1</v>
      </c>
      <c r="B118" s="257" t="s">
        <v>441</v>
      </c>
      <c r="C118" s="258">
        <v>24117885</v>
      </c>
      <c r="D118" s="258">
        <v>20631828</v>
      </c>
      <c r="E118" s="258">
        <f t="shared" ref="E118:E128" si="16">D118-C118</f>
        <v>-3486057</v>
      </c>
      <c r="F118" s="259">
        <f t="shared" ref="F118:F128" si="17">IF(C118=0,0,E118/C118)</f>
        <v>-0.14454240079509459</v>
      </c>
    </row>
    <row r="119" spans="1:6" ht="20.25" customHeight="1" x14ac:dyDescent="0.35">
      <c r="A119" s="256">
        <v>2</v>
      </c>
      <c r="B119" s="257" t="s">
        <v>442</v>
      </c>
      <c r="C119" s="258">
        <v>6643219</v>
      </c>
      <c r="D119" s="258">
        <v>5691806</v>
      </c>
      <c r="E119" s="258">
        <f t="shared" si="16"/>
        <v>-951413</v>
      </c>
      <c r="F119" s="259">
        <f t="shared" si="17"/>
        <v>-0.14321566096195232</v>
      </c>
    </row>
    <row r="120" spans="1:6" ht="20.25" customHeight="1" x14ac:dyDescent="0.35">
      <c r="A120" s="256">
        <v>3</v>
      </c>
      <c r="B120" s="257" t="s">
        <v>443</v>
      </c>
      <c r="C120" s="258">
        <v>20396055</v>
      </c>
      <c r="D120" s="258">
        <v>23168006</v>
      </c>
      <c r="E120" s="258">
        <f t="shared" si="16"/>
        <v>2771951</v>
      </c>
      <c r="F120" s="259">
        <f t="shared" si="17"/>
        <v>0.13590623284747957</v>
      </c>
    </row>
    <row r="121" spans="1:6" ht="20.25" customHeight="1" x14ac:dyDescent="0.35">
      <c r="A121" s="256">
        <v>4</v>
      </c>
      <c r="B121" s="257" t="s">
        <v>444</v>
      </c>
      <c r="C121" s="258">
        <v>5779497</v>
      </c>
      <c r="D121" s="258">
        <v>6681865</v>
      </c>
      <c r="E121" s="258">
        <f t="shared" si="16"/>
        <v>902368</v>
      </c>
      <c r="F121" s="259">
        <f t="shared" si="17"/>
        <v>0.15613261846143359</v>
      </c>
    </row>
    <row r="122" spans="1:6" ht="20.25" customHeight="1" x14ac:dyDescent="0.35">
      <c r="A122" s="256">
        <v>5</v>
      </c>
      <c r="B122" s="257" t="s">
        <v>381</v>
      </c>
      <c r="C122" s="260">
        <v>505</v>
      </c>
      <c r="D122" s="260">
        <v>494</v>
      </c>
      <c r="E122" s="260">
        <f t="shared" si="16"/>
        <v>-11</v>
      </c>
      <c r="F122" s="259">
        <f t="shared" si="17"/>
        <v>-2.1782178217821781E-2</v>
      </c>
    </row>
    <row r="123" spans="1:6" ht="20.25" customHeight="1" x14ac:dyDescent="0.35">
      <c r="A123" s="256">
        <v>6</v>
      </c>
      <c r="B123" s="257" t="s">
        <v>380</v>
      </c>
      <c r="C123" s="260">
        <v>3276</v>
      </c>
      <c r="D123" s="260">
        <v>2512</v>
      </c>
      <c r="E123" s="260">
        <f t="shared" si="16"/>
        <v>-764</v>
      </c>
      <c r="F123" s="259">
        <f t="shared" si="17"/>
        <v>-0.23321123321123322</v>
      </c>
    </row>
    <row r="124" spans="1:6" ht="20.25" customHeight="1" x14ac:dyDescent="0.35">
      <c r="A124" s="256">
        <v>7</v>
      </c>
      <c r="B124" s="257" t="s">
        <v>445</v>
      </c>
      <c r="C124" s="260">
        <v>4437</v>
      </c>
      <c r="D124" s="260">
        <v>4578</v>
      </c>
      <c r="E124" s="260">
        <f t="shared" si="16"/>
        <v>141</v>
      </c>
      <c r="F124" s="259">
        <f t="shared" si="17"/>
        <v>3.1778228532792427E-2</v>
      </c>
    </row>
    <row r="125" spans="1:6" ht="20.25" customHeight="1" x14ac:dyDescent="0.35">
      <c r="A125" s="256">
        <v>8</v>
      </c>
      <c r="B125" s="257" t="s">
        <v>446</v>
      </c>
      <c r="C125" s="260">
        <v>590</v>
      </c>
      <c r="D125" s="260">
        <v>735</v>
      </c>
      <c r="E125" s="260">
        <f t="shared" si="16"/>
        <v>145</v>
      </c>
      <c r="F125" s="259">
        <f t="shared" si="17"/>
        <v>0.24576271186440679</v>
      </c>
    </row>
    <row r="126" spans="1:6" ht="20.25" customHeight="1" x14ac:dyDescent="0.35">
      <c r="A126" s="256">
        <v>9</v>
      </c>
      <c r="B126" s="257" t="s">
        <v>447</v>
      </c>
      <c r="C126" s="260">
        <v>379</v>
      </c>
      <c r="D126" s="260">
        <v>420</v>
      </c>
      <c r="E126" s="260">
        <f t="shared" si="16"/>
        <v>41</v>
      </c>
      <c r="F126" s="259">
        <f t="shared" si="17"/>
        <v>0.10817941952506596</v>
      </c>
    </row>
    <row r="127" spans="1:6" s="265" customFormat="1" ht="20.25" customHeight="1" x14ac:dyDescent="0.4">
      <c r="A127" s="261"/>
      <c r="B127" s="262" t="s">
        <v>448</v>
      </c>
      <c r="C127" s="263">
        <f>+C118+C120</f>
        <v>44513940</v>
      </c>
      <c r="D127" s="263">
        <f>+D118+D120</f>
        <v>43799834</v>
      </c>
      <c r="E127" s="263">
        <f t="shared" si="16"/>
        <v>-714106</v>
      </c>
      <c r="F127" s="264">
        <f t="shared" si="17"/>
        <v>-1.6042300456890583E-2</v>
      </c>
    </row>
    <row r="128" spans="1:6" s="265" customFormat="1" ht="20.25" customHeight="1" x14ac:dyDescent="0.4">
      <c r="A128" s="261"/>
      <c r="B128" s="262" t="s">
        <v>449</v>
      </c>
      <c r="C128" s="263">
        <f>+C119+C121</f>
        <v>12422716</v>
      </c>
      <c r="D128" s="263">
        <f>+D119+D121</f>
        <v>12373671</v>
      </c>
      <c r="E128" s="263">
        <f t="shared" si="16"/>
        <v>-49045</v>
      </c>
      <c r="F128" s="264">
        <f t="shared" si="17"/>
        <v>-3.9480094369057457E-3</v>
      </c>
    </row>
    <row r="129" spans="1:6" s="265" customFormat="1" ht="20.25" customHeight="1" x14ac:dyDescent="0.4">
      <c r="A129" s="266"/>
      <c r="B129" s="262"/>
      <c r="C129" s="263"/>
      <c r="D129" s="263"/>
      <c r="E129" s="263"/>
      <c r="F129" s="264"/>
    </row>
    <row r="130" spans="1:6" ht="18.75" customHeight="1" x14ac:dyDescent="0.4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5">
      <c r="A131" s="256">
        <v>1</v>
      </c>
      <c r="B131" s="257" t="s">
        <v>441</v>
      </c>
      <c r="C131" s="258">
        <v>0</v>
      </c>
      <c r="D131" s="258">
        <v>0</v>
      </c>
      <c r="E131" s="258">
        <f t="shared" ref="E131:E141" si="18">D131-C131</f>
        <v>0</v>
      </c>
      <c r="F131" s="259">
        <f t="shared" ref="F131:F141" si="19">IF(C131=0,0,E131/C131)</f>
        <v>0</v>
      </c>
    </row>
    <row r="132" spans="1:6" ht="20.25" customHeight="1" x14ac:dyDescent="0.35">
      <c r="A132" s="256">
        <v>2</v>
      </c>
      <c r="B132" s="257" t="s">
        <v>442</v>
      </c>
      <c r="C132" s="258">
        <v>0</v>
      </c>
      <c r="D132" s="258">
        <v>0</v>
      </c>
      <c r="E132" s="258">
        <f t="shared" si="18"/>
        <v>0</v>
      </c>
      <c r="F132" s="259">
        <f t="shared" si="19"/>
        <v>0</v>
      </c>
    </row>
    <row r="133" spans="1:6" ht="20.25" customHeight="1" x14ac:dyDescent="0.35">
      <c r="A133" s="256">
        <v>3</v>
      </c>
      <c r="B133" s="257" t="s">
        <v>443</v>
      </c>
      <c r="C133" s="258">
        <v>0</v>
      </c>
      <c r="D133" s="258">
        <v>0</v>
      </c>
      <c r="E133" s="258">
        <f t="shared" si="18"/>
        <v>0</v>
      </c>
      <c r="F133" s="259">
        <f t="shared" si="19"/>
        <v>0</v>
      </c>
    </row>
    <row r="134" spans="1:6" ht="20.25" customHeight="1" x14ac:dyDescent="0.35">
      <c r="A134" s="256">
        <v>4</v>
      </c>
      <c r="B134" s="257" t="s">
        <v>444</v>
      </c>
      <c r="C134" s="258">
        <v>0</v>
      </c>
      <c r="D134" s="258">
        <v>0</v>
      </c>
      <c r="E134" s="258">
        <f t="shared" si="18"/>
        <v>0</v>
      </c>
      <c r="F134" s="259">
        <f t="shared" si="19"/>
        <v>0</v>
      </c>
    </row>
    <row r="135" spans="1:6" ht="20.25" customHeight="1" x14ac:dyDescent="0.35">
      <c r="A135" s="256">
        <v>5</v>
      </c>
      <c r="B135" s="257" t="s">
        <v>381</v>
      </c>
      <c r="C135" s="260">
        <v>0</v>
      </c>
      <c r="D135" s="260">
        <v>0</v>
      </c>
      <c r="E135" s="260">
        <f t="shared" si="18"/>
        <v>0</v>
      </c>
      <c r="F135" s="259">
        <f t="shared" si="19"/>
        <v>0</v>
      </c>
    </row>
    <row r="136" spans="1:6" ht="20.25" customHeight="1" x14ac:dyDescent="0.35">
      <c r="A136" s="256">
        <v>6</v>
      </c>
      <c r="B136" s="257" t="s">
        <v>380</v>
      </c>
      <c r="C136" s="260">
        <v>0</v>
      </c>
      <c r="D136" s="260">
        <v>0</v>
      </c>
      <c r="E136" s="260">
        <f t="shared" si="18"/>
        <v>0</v>
      </c>
      <c r="F136" s="259">
        <f t="shared" si="19"/>
        <v>0</v>
      </c>
    </row>
    <row r="137" spans="1:6" ht="20.25" customHeight="1" x14ac:dyDescent="0.35">
      <c r="A137" s="256">
        <v>7</v>
      </c>
      <c r="B137" s="257" t="s">
        <v>445</v>
      </c>
      <c r="C137" s="260">
        <v>0</v>
      </c>
      <c r="D137" s="260">
        <v>0</v>
      </c>
      <c r="E137" s="260">
        <f t="shared" si="18"/>
        <v>0</v>
      </c>
      <c r="F137" s="259">
        <f t="shared" si="19"/>
        <v>0</v>
      </c>
    </row>
    <row r="138" spans="1:6" ht="20.25" customHeight="1" x14ac:dyDescent="0.35">
      <c r="A138" s="256">
        <v>8</v>
      </c>
      <c r="B138" s="257" t="s">
        <v>446</v>
      </c>
      <c r="C138" s="260">
        <v>0</v>
      </c>
      <c r="D138" s="260">
        <v>0</v>
      </c>
      <c r="E138" s="260">
        <f t="shared" si="18"/>
        <v>0</v>
      </c>
      <c r="F138" s="259">
        <f t="shared" si="19"/>
        <v>0</v>
      </c>
    </row>
    <row r="139" spans="1:6" ht="20.25" customHeight="1" x14ac:dyDescent="0.35">
      <c r="A139" s="256">
        <v>9</v>
      </c>
      <c r="B139" s="257" t="s">
        <v>447</v>
      </c>
      <c r="C139" s="260">
        <v>0</v>
      </c>
      <c r="D139" s="260">
        <v>0</v>
      </c>
      <c r="E139" s="260">
        <f t="shared" si="18"/>
        <v>0</v>
      </c>
      <c r="F139" s="259">
        <f t="shared" si="19"/>
        <v>0</v>
      </c>
    </row>
    <row r="140" spans="1:6" s="265" customFormat="1" ht="20.25" customHeight="1" x14ac:dyDescent="0.4">
      <c r="A140" s="261"/>
      <c r="B140" s="262" t="s">
        <v>448</v>
      </c>
      <c r="C140" s="263">
        <f>+C131+C133</f>
        <v>0</v>
      </c>
      <c r="D140" s="263">
        <f>+D131+D133</f>
        <v>0</v>
      </c>
      <c r="E140" s="263">
        <f t="shared" si="18"/>
        <v>0</v>
      </c>
      <c r="F140" s="264">
        <f t="shared" si="19"/>
        <v>0</v>
      </c>
    </row>
    <row r="141" spans="1:6" s="265" customFormat="1" ht="20.25" customHeight="1" x14ac:dyDescent="0.4">
      <c r="A141" s="261"/>
      <c r="B141" s="262" t="s">
        <v>449</v>
      </c>
      <c r="C141" s="263">
        <f>+C132+C134</f>
        <v>0</v>
      </c>
      <c r="D141" s="263">
        <f>+D132+D134</f>
        <v>0</v>
      </c>
      <c r="E141" s="263">
        <f t="shared" si="18"/>
        <v>0</v>
      </c>
      <c r="F141" s="264">
        <f t="shared" si="19"/>
        <v>0</v>
      </c>
    </row>
    <row r="142" spans="1:6" s="265" customFormat="1" ht="20.25" customHeight="1" x14ac:dyDescent="0.4">
      <c r="A142" s="266"/>
      <c r="B142" s="262"/>
      <c r="C142" s="263"/>
      <c r="D142" s="263"/>
      <c r="E142" s="263"/>
      <c r="F142" s="264"/>
    </row>
    <row r="143" spans="1:6" ht="18.75" customHeight="1" x14ac:dyDescent="0.4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5">
      <c r="A144" s="256">
        <v>1</v>
      </c>
      <c r="B144" s="257" t="s">
        <v>441</v>
      </c>
      <c r="C144" s="258">
        <v>22670837</v>
      </c>
      <c r="D144" s="258">
        <v>24463210</v>
      </c>
      <c r="E144" s="258">
        <f t="shared" ref="E144:E154" si="20">D144-C144</f>
        <v>1792373</v>
      </c>
      <c r="F144" s="259">
        <f t="shared" ref="F144:F154" si="21">IF(C144=0,0,E144/C144)</f>
        <v>7.9060733399477043E-2</v>
      </c>
    </row>
    <row r="145" spans="1:6" ht="20.25" customHeight="1" x14ac:dyDescent="0.35">
      <c r="A145" s="256">
        <v>2</v>
      </c>
      <c r="B145" s="257" t="s">
        <v>442</v>
      </c>
      <c r="C145" s="258">
        <v>6307211</v>
      </c>
      <c r="D145" s="258">
        <v>6603600</v>
      </c>
      <c r="E145" s="258">
        <f t="shared" si="20"/>
        <v>296389</v>
      </c>
      <c r="F145" s="259">
        <f t="shared" si="21"/>
        <v>4.699208572537053E-2</v>
      </c>
    </row>
    <row r="146" spans="1:6" ht="20.25" customHeight="1" x14ac:dyDescent="0.35">
      <c r="A146" s="256">
        <v>3</v>
      </c>
      <c r="B146" s="257" t="s">
        <v>443</v>
      </c>
      <c r="C146" s="258">
        <v>21562032</v>
      </c>
      <c r="D146" s="258">
        <v>23130978</v>
      </c>
      <c r="E146" s="258">
        <f t="shared" si="20"/>
        <v>1568946</v>
      </c>
      <c r="F146" s="259">
        <f t="shared" si="21"/>
        <v>7.2764292344988629E-2</v>
      </c>
    </row>
    <row r="147" spans="1:6" ht="20.25" customHeight="1" x14ac:dyDescent="0.35">
      <c r="A147" s="256">
        <v>4</v>
      </c>
      <c r="B147" s="257" t="s">
        <v>444</v>
      </c>
      <c r="C147" s="258">
        <v>4990947</v>
      </c>
      <c r="D147" s="258">
        <v>6067296</v>
      </c>
      <c r="E147" s="258">
        <f t="shared" si="20"/>
        <v>1076349</v>
      </c>
      <c r="F147" s="259">
        <f t="shared" si="21"/>
        <v>0.21566027449299702</v>
      </c>
    </row>
    <row r="148" spans="1:6" ht="20.25" customHeight="1" x14ac:dyDescent="0.35">
      <c r="A148" s="256">
        <v>5</v>
      </c>
      <c r="B148" s="257" t="s">
        <v>381</v>
      </c>
      <c r="C148" s="260">
        <v>551</v>
      </c>
      <c r="D148" s="260">
        <v>582</v>
      </c>
      <c r="E148" s="260">
        <f t="shared" si="20"/>
        <v>31</v>
      </c>
      <c r="F148" s="259">
        <f t="shared" si="21"/>
        <v>5.6261343012704176E-2</v>
      </c>
    </row>
    <row r="149" spans="1:6" ht="20.25" customHeight="1" x14ac:dyDescent="0.35">
      <c r="A149" s="256">
        <v>6</v>
      </c>
      <c r="B149" s="257" t="s">
        <v>380</v>
      </c>
      <c r="C149" s="260">
        <v>3126</v>
      </c>
      <c r="D149" s="260">
        <v>2979</v>
      </c>
      <c r="E149" s="260">
        <f t="shared" si="20"/>
        <v>-147</v>
      </c>
      <c r="F149" s="259">
        <f t="shared" si="21"/>
        <v>-4.7024952015355087E-2</v>
      </c>
    </row>
    <row r="150" spans="1:6" ht="20.25" customHeight="1" x14ac:dyDescent="0.35">
      <c r="A150" s="256">
        <v>7</v>
      </c>
      <c r="B150" s="257" t="s">
        <v>445</v>
      </c>
      <c r="C150" s="260">
        <v>4659</v>
      </c>
      <c r="D150" s="260">
        <v>4570</v>
      </c>
      <c r="E150" s="260">
        <f t="shared" si="20"/>
        <v>-89</v>
      </c>
      <c r="F150" s="259">
        <f t="shared" si="21"/>
        <v>-1.9102811762180726E-2</v>
      </c>
    </row>
    <row r="151" spans="1:6" ht="20.25" customHeight="1" x14ac:dyDescent="0.35">
      <c r="A151" s="256">
        <v>8</v>
      </c>
      <c r="B151" s="257" t="s">
        <v>446</v>
      </c>
      <c r="C151" s="260">
        <v>745</v>
      </c>
      <c r="D151" s="260">
        <v>855</v>
      </c>
      <c r="E151" s="260">
        <f t="shared" si="20"/>
        <v>110</v>
      </c>
      <c r="F151" s="259">
        <f t="shared" si="21"/>
        <v>0.1476510067114094</v>
      </c>
    </row>
    <row r="152" spans="1:6" ht="20.25" customHeight="1" x14ac:dyDescent="0.35">
      <c r="A152" s="256">
        <v>9</v>
      </c>
      <c r="B152" s="257" t="s">
        <v>447</v>
      </c>
      <c r="C152" s="260">
        <v>440</v>
      </c>
      <c r="D152" s="260">
        <v>508</v>
      </c>
      <c r="E152" s="260">
        <f t="shared" si="20"/>
        <v>68</v>
      </c>
      <c r="F152" s="259">
        <f t="shared" si="21"/>
        <v>0.15454545454545454</v>
      </c>
    </row>
    <row r="153" spans="1:6" s="265" customFormat="1" ht="20.25" customHeight="1" x14ac:dyDescent="0.4">
      <c r="A153" s="261"/>
      <c r="B153" s="262" t="s">
        <v>448</v>
      </c>
      <c r="C153" s="263">
        <f>+C144+C146</f>
        <v>44232869</v>
      </c>
      <c r="D153" s="263">
        <f>+D144+D146</f>
        <v>47594188</v>
      </c>
      <c r="E153" s="263">
        <f t="shared" si="20"/>
        <v>3361319</v>
      </c>
      <c r="F153" s="264">
        <f t="shared" si="21"/>
        <v>7.5991430716375194E-2</v>
      </c>
    </row>
    <row r="154" spans="1:6" s="265" customFormat="1" ht="20.25" customHeight="1" x14ac:dyDescent="0.4">
      <c r="A154" s="261"/>
      <c r="B154" s="262" t="s">
        <v>449</v>
      </c>
      <c r="C154" s="263">
        <f>+C145+C147</f>
        <v>11298158</v>
      </c>
      <c r="D154" s="263">
        <f>+D145+D147</f>
        <v>12670896</v>
      </c>
      <c r="E154" s="263">
        <f t="shared" si="20"/>
        <v>1372738</v>
      </c>
      <c r="F154" s="264">
        <f t="shared" si="21"/>
        <v>0.121501044683567</v>
      </c>
    </row>
    <row r="155" spans="1:6" s="265" customFormat="1" ht="20.25" customHeight="1" x14ac:dyDescent="0.4">
      <c r="A155" s="266"/>
      <c r="B155" s="262"/>
      <c r="C155" s="263"/>
      <c r="D155" s="263"/>
      <c r="E155" s="263"/>
      <c r="F155" s="264"/>
    </row>
    <row r="156" spans="1:6" ht="18.75" customHeight="1" x14ac:dyDescent="0.4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5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5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5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5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5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5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5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5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5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4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4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4">
      <c r="A168" s="266"/>
      <c r="B168" s="262"/>
      <c r="C168" s="263"/>
      <c r="D168" s="263"/>
      <c r="E168" s="263"/>
      <c r="F168" s="264"/>
    </row>
    <row r="169" spans="1:6" ht="18.75" customHeight="1" x14ac:dyDescent="0.4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5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5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5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5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5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5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5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5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5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4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4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4">
      <c r="A181" s="266"/>
      <c r="B181" s="262"/>
      <c r="C181" s="263"/>
      <c r="D181" s="263"/>
      <c r="E181" s="263"/>
      <c r="F181" s="264"/>
    </row>
    <row r="182" spans="1:6" ht="18.75" customHeight="1" x14ac:dyDescent="0.4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5">
      <c r="A183" s="256">
        <v>1</v>
      </c>
      <c r="B183" s="257" t="s">
        <v>441</v>
      </c>
      <c r="C183" s="258">
        <v>659478</v>
      </c>
      <c r="D183" s="258">
        <v>0</v>
      </c>
      <c r="E183" s="258">
        <f t="shared" ref="E183:E193" si="26">D183-C183</f>
        <v>-659478</v>
      </c>
      <c r="F183" s="259">
        <f t="shared" ref="F183:F193" si="27">IF(C183=0,0,E183/C183)</f>
        <v>-1</v>
      </c>
    </row>
    <row r="184" spans="1:6" ht="20.25" customHeight="1" x14ac:dyDescent="0.35">
      <c r="A184" s="256">
        <v>2</v>
      </c>
      <c r="B184" s="257" t="s">
        <v>442</v>
      </c>
      <c r="C184" s="258">
        <v>181112</v>
      </c>
      <c r="D184" s="258">
        <v>0</v>
      </c>
      <c r="E184" s="258">
        <f t="shared" si="26"/>
        <v>-181112</v>
      </c>
      <c r="F184" s="259">
        <f t="shared" si="27"/>
        <v>-1</v>
      </c>
    </row>
    <row r="185" spans="1:6" ht="20.25" customHeight="1" x14ac:dyDescent="0.35">
      <c r="A185" s="256">
        <v>3</v>
      </c>
      <c r="B185" s="257" t="s">
        <v>443</v>
      </c>
      <c r="C185" s="258">
        <v>478828</v>
      </c>
      <c r="D185" s="258">
        <v>161937</v>
      </c>
      <c r="E185" s="258">
        <f t="shared" si="26"/>
        <v>-316891</v>
      </c>
      <c r="F185" s="259">
        <f t="shared" si="27"/>
        <v>-0.66180549174233749</v>
      </c>
    </row>
    <row r="186" spans="1:6" ht="20.25" customHeight="1" x14ac:dyDescent="0.35">
      <c r="A186" s="256">
        <v>4</v>
      </c>
      <c r="B186" s="257" t="s">
        <v>444</v>
      </c>
      <c r="C186" s="258">
        <v>85312</v>
      </c>
      <c r="D186" s="258">
        <v>37065</v>
      </c>
      <c r="E186" s="258">
        <f t="shared" si="26"/>
        <v>-48247</v>
      </c>
      <c r="F186" s="259">
        <f t="shared" si="27"/>
        <v>-0.5655359152288072</v>
      </c>
    </row>
    <row r="187" spans="1:6" ht="20.25" customHeight="1" x14ac:dyDescent="0.35">
      <c r="A187" s="256">
        <v>5</v>
      </c>
      <c r="B187" s="257" t="s">
        <v>381</v>
      </c>
      <c r="C187" s="260">
        <v>12</v>
      </c>
      <c r="D187" s="260">
        <v>0</v>
      </c>
      <c r="E187" s="260">
        <f t="shared" si="26"/>
        <v>-12</v>
      </c>
      <c r="F187" s="259">
        <f t="shared" si="27"/>
        <v>-1</v>
      </c>
    </row>
    <row r="188" spans="1:6" ht="20.25" customHeight="1" x14ac:dyDescent="0.35">
      <c r="A188" s="256">
        <v>6</v>
      </c>
      <c r="B188" s="257" t="s">
        <v>380</v>
      </c>
      <c r="C188" s="260">
        <v>67</v>
      </c>
      <c r="D188" s="260">
        <v>0</v>
      </c>
      <c r="E188" s="260">
        <f t="shared" si="26"/>
        <v>-67</v>
      </c>
      <c r="F188" s="259">
        <f t="shared" si="27"/>
        <v>-1</v>
      </c>
    </row>
    <row r="189" spans="1:6" ht="20.25" customHeight="1" x14ac:dyDescent="0.35">
      <c r="A189" s="256">
        <v>7</v>
      </c>
      <c r="B189" s="257" t="s">
        <v>445</v>
      </c>
      <c r="C189" s="260">
        <v>113</v>
      </c>
      <c r="D189" s="260">
        <v>32</v>
      </c>
      <c r="E189" s="260">
        <f t="shared" si="26"/>
        <v>-81</v>
      </c>
      <c r="F189" s="259">
        <f t="shared" si="27"/>
        <v>-0.7168141592920354</v>
      </c>
    </row>
    <row r="190" spans="1:6" ht="20.25" customHeight="1" x14ac:dyDescent="0.35">
      <c r="A190" s="256">
        <v>8</v>
      </c>
      <c r="B190" s="257" t="s">
        <v>446</v>
      </c>
      <c r="C190" s="260">
        <v>32</v>
      </c>
      <c r="D190" s="260">
        <v>3</v>
      </c>
      <c r="E190" s="260">
        <f t="shared" si="26"/>
        <v>-29</v>
      </c>
      <c r="F190" s="259">
        <f t="shared" si="27"/>
        <v>-0.90625</v>
      </c>
    </row>
    <row r="191" spans="1:6" ht="20.25" customHeight="1" x14ac:dyDescent="0.35">
      <c r="A191" s="256">
        <v>9</v>
      </c>
      <c r="B191" s="257" t="s">
        <v>447</v>
      </c>
      <c r="C191" s="260">
        <v>10</v>
      </c>
      <c r="D191" s="260">
        <v>0</v>
      </c>
      <c r="E191" s="260">
        <f t="shared" si="26"/>
        <v>-10</v>
      </c>
      <c r="F191" s="259">
        <f t="shared" si="27"/>
        <v>-1</v>
      </c>
    </row>
    <row r="192" spans="1:6" s="265" customFormat="1" ht="20.25" customHeight="1" x14ac:dyDescent="0.4">
      <c r="A192" s="261"/>
      <c r="B192" s="262" t="s">
        <v>448</v>
      </c>
      <c r="C192" s="263">
        <f>+C183+C185</f>
        <v>1138306</v>
      </c>
      <c r="D192" s="263">
        <f>+D183+D185</f>
        <v>161937</v>
      </c>
      <c r="E192" s="263">
        <f t="shared" si="26"/>
        <v>-976369</v>
      </c>
      <c r="F192" s="264">
        <f t="shared" si="27"/>
        <v>-0.85773860455800111</v>
      </c>
    </row>
    <row r="193" spans="1:9" s="265" customFormat="1" ht="20.25" customHeight="1" x14ac:dyDescent="0.4">
      <c r="A193" s="261"/>
      <c r="B193" s="262" t="s">
        <v>449</v>
      </c>
      <c r="C193" s="263">
        <f>+C184+C186</f>
        <v>266424</v>
      </c>
      <c r="D193" s="263">
        <f>+D184+D186</f>
        <v>37065</v>
      </c>
      <c r="E193" s="263">
        <f t="shared" si="26"/>
        <v>-229359</v>
      </c>
      <c r="F193" s="264">
        <f t="shared" si="27"/>
        <v>-0.8608796504819386</v>
      </c>
    </row>
    <row r="194" spans="1:9" s="265" customFormat="1" ht="20.25" customHeight="1" x14ac:dyDescent="0.4">
      <c r="A194" s="266"/>
      <c r="B194" s="262"/>
      <c r="C194" s="263"/>
      <c r="D194" s="263"/>
      <c r="E194" s="263"/>
      <c r="F194" s="264"/>
    </row>
    <row r="195" spans="1:9" ht="20.25" customHeight="1" x14ac:dyDescent="0.35">
      <c r="A195" s="794" t="s">
        <v>44</v>
      </c>
      <c r="B195" s="796" t="s">
        <v>464</v>
      </c>
      <c r="C195" s="798"/>
      <c r="D195" s="799"/>
      <c r="E195" s="799"/>
      <c r="F195" s="800"/>
      <c r="G195" s="801"/>
      <c r="H195" s="801"/>
      <c r="I195" s="801"/>
    </row>
    <row r="196" spans="1:9" ht="20.25" customHeight="1" x14ac:dyDescent="0.35">
      <c r="A196" s="795"/>
      <c r="B196" s="797"/>
      <c r="C196" s="791"/>
      <c r="D196" s="792"/>
      <c r="E196" s="792"/>
      <c r="F196" s="793"/>
      <c r="G196" s="801"/>
      <c r="H196" s="801"/>
      <c r="I196" s="801"/>
    </row>
    <row r="197" spans="1:9" ht="20.25" customHeight="1" x14ac:dyDescent="0.4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4">
      <c r="A198" s="271"/>
      <c r="B198" s="272" t="s">
        <v>465</v>
      </c>
      <c r="C198" s="263">
        <f t="shared" ref="C198:D206" si="28">+C183+C170+C157+C144+C131+C118+C105+C92+C79+C66+C53+C40+C27+C14</f>
        <v>61709416</v>
      </c>
      <c r="D198" s="263">
        <f t="shared" si="28"/>
        <v>61979215</v>
      </c>
      <c r="E198" s="263">
        <f t="shared" ref="E198:E208" si="29">D198-C198</f>
        <v>269799</v>
      </c>
      <c r="F198" s="273">
        <f t="shared" ref="F198:F208" si="30">IF(C198=0,0,E198/C198)</f>
        <v>4.3720880456881977E-3</v>
      </c>
    </row>
    <row r="199" spans="1:9" ht="20.25" customHeight="1" x14ac:dyDescent="0.4">
      <c r="A199" s="271"/>
      <c r="B199" s="272" t="s">
        <v>466</v>
      </c>
      <c r="C199" s="263">
        <f t="shared" si="28"/>
        <v>17289209</v>
      </c>
      <c r="D199" s="263">
        <f t="shared" si="28"/>
        <v>17100816</v>
      </c>
      <c r="E199" s="263">
        <f t="shared" si="29"/>
        <v>-188393</v>
      </c>
      <c r="F199" s="273">
        <f t="shared" si="30"/>
        <v>-1.0896565597651113E-2</v>
      </c>
    </row>
    <row r="200" spans="1:9" ht="20.25" customHeight="1" x14ac:dyDescent="0.4">
      <c r="A200" s="271"/>
      <c r="B200" s="272" t="s">
        <v>467</v>
      </c>
      <c r="C200" s="263">
        <f t="shared" si="28"/>
        <v>53983714</v>
      </c>
      <c r="D200" s="263">
        <f t="shared" si="28"/>
        <v>61452972</v>
      </c>
      <c r="E200" s="263">
        <f t="shared" si="29"/>
        <v>7469258</v>
      </c>
      <c r="F200" s="273">
        <f t="shared" si="30"/>
        <v>0.13836132134221071</v>
      </c>
    </row>
    <row r="201" spans="1:9" ht="20.25" customHeight="1" x14ac:dyDescent="0.4">
      <c r="A201" s="271"/>
      <c r="B201" s="272" t="s">
        <v>468</v>
      </c>
      <c r="C201" s="263">
        <f t="shared" si="28"/>
        <v>15124689</v>
      </c>
      <c r="D201" s="263">
        <f t="shared" si="28"/>
        <v>16955619</v>
      </c>
      <c r="E201" s="263">
        <f t="shared" si="29"/>
        <v>1830930</v>
      </c>
      <c r="F201" s="273">
        <f t="shared" si="30"/>
        <v>0.12105571228605097</v>
      </c>
    </row>
    <row r="202" spans="1:9" ht="20.25" customHeight="1" x14ac:dyDescent="0.4">
      <c r="A202" s="271"/>
      <c r="B202" s="272" t="s">
        <v>138</v>
      </c>
      <c r="C202" s="274">
        <f t="shared" si="28"/>
        <v>1434</v>
      </c>
      <c r="D202" s="274">
        <f t="shared" si="28"/>
        <v>1597</v>
      </c>
      <c r="E202" s="274">
        <f t="shared" si="29"/>
        <v>163</v>
      </c>
      <c r="F202" s="273">
        <f t="shared" si="30"/>
        <v>0.11366806136680614</v>
      </c>
    </row>
    <row r="203" spans="1:9" ht="20.25" customHeight="1" x14ac:dyDescent="0.4">
      <c r="A203" s="271"/>
      <c r="B203" s="272" t="s">
        <v>140</v>
      </c>
      <c r="C203" s="274">
        <f t="shared" si="28"/>
        <v>8583</v>
      </c>
      <c r="D203" s="274">
        <f t="shared" si="28"/>
        <v>7617</v>
      </c>
      <c r="E203" s="274">
        <f t="shared" si="29"/>
        <v>-966</v>
      </c>
      <c r="F203" s="273">
        <f t="shared" si="30"/>
        <v>-0.11254806011883957</v>
      </c>
    </row>
    <row r="204" spans="1:9" ht="39.9" customHeight="1" x14ac:dyDescent="0.4">
      <c r="A204" s="271"/>
      <c r="B204" s="272" t="s">
        <v>469</v>
      </c>
      <c r="C204" s="274">
        <f t="shared" si="28"/>
        <v>11535</v>
      </c>
      <c r="D204" s="274">
        <f t="shared" si="28"/>
        <v>12141</v>
      </c>
      <c r="E204" s="274">
        <f t="shared" si="29"/>
        <v>606</v>
      </c>
      <c r="F204" s="273">
        <f t="shared" si="30"/>
        <v>5.2535760728218465E-2</v>
      </c>
    </row>
    <row r="205" spans="1:9" ht="39.9" customHeight="1" x14ac:dyDescent="0.4">
      <c r="A205" s="271"/>
      <c r="B205" s="272" t="s">
        <v>150</v>
      </c>
      <c r="C205" s="274">
        <f t="shared" si="28"/>
        <v>1933</v>
      </c>
      <c r="D205" s="274">
        <f t="shared" si="28"/>
        <v>2227</v>
      </c>
      <c r="E205" s="274">
        <f t="shared" si="29"/>
        <v>294</v>
      </c>
      <c r="F205" s="273">
        <f t="shared" si="30"/>
        <v>0.15209518882565959</v>
      </c>
    </row>
    <row r="206" spans="1:9" ht="39.9" customHeight="1" x14ac:dyDescent="0.4">
      <c r="A206" s="271"/>
      <c r="B206" s="272" t="s">
        <v>470</v>
      </c>
      <c r="C206" s="274">
        <f t="shared" si="28"/>
        <v>1130</v>
      </c>
      <c r="D206" s="274">
        <f t="shared" si="28"/>
        <v>1289</v>
      </c>
      <c r="E206" s="274">
        <f t="shared" si="29"/>
        <v>159</v>
      </c>
      <c r="F206" s="273">
        <f t="shared" si="30"/>
        <v>0.1407079646017699</v>
      </c>
    </row>
    <row r="207" spans="1:9" ht="20.25" customHeight="1" x14ac:dyDescent="0.4">
      <c r="A207" s="271"/>
      <c r="B207" s="262" t="s">
        <v>471</v>
      </c>
      <c r="C207" s="263">
        <f>+C198+C200</f>
        <v>115693130</v>
      </c>
      <c r="D207" s="263">
        <f>+D198+D200</f>
        <v>123432187</v>
      </c>
      <c r="E207" s="263">
        <f t="shared" si="29"/>
        <v>7739057</v>
      </c>
      <c r="F207" s="273">
        <f t="shared" si="30"/>
        <v>6.6892969357817536E-2</v>
      </c>
    </row>
    <row r="208" spans="1:9" ht="20.25" customHeight="1" x14ac:dyDescent="0.4">
      <c r="A208" s="271"/>
      <c r="B208" s="262" t="s">
        <v>472</v>
      </c>
      <c r="C208" s="263">
        <f>+C199+C201</f>
        <v>32413898</v>
      </c>
      <c r="D208" s="263">
        <f>+D199+D201</f>
        <v>34056435</v>
      </c>
      <c r="E208" s="263">
        <f t="shared" si="29"/>
        <v>1642537</v>
      </c>
      <c r="F208" s="273">
        <f t="shared" si="30"/>
        <v>5.0673849840583811E-2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rintOptions gridLines="1"/>
  <pageMargins left="0.25" right="0.25" top="0.5" bottom="0.5" header="0.25" footer="0.25"/>
  <pageSetup scale="58" fitToHeight="0" orientation="portrait" horizontalDpi="1200" verticalDpi="1200" r:id="rId1"/>
  <headerFooter>
    <oddHeader>&amp;LOFFICE OF HEALTH CARE ACCESS&amp;CTWELVE MONTHS ACTUAL FILING&amp;RDANBURY HOSPITAL</oddHeader>
    <oddFooter>&amp;L&amp;8REPORT 185&amp;C&amp;8PAGE &amp;P of &amp;N&amp;R&amp;D, 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"/>
  <sheetViews>
    <sheetView zoomScale="70" workbookViewId="0">
      <selection sqref="A1:F1"/>
    </sheetView>
  </sheetViews>
  <sheetFormatPr defaultColWidth="9.109375" defaultRowHeight="20.25" customHeight="1" x14ac:dyDescent="0.35"/>
  <cols>
    <col min="1" max="1" width="8.44140625" style="235" customWidth="1"/>
    <col min="2" max="2" width="72" style="235" customWidth="1"/>
    <col min="3" max="3" width="24.109375" style="245" customWidth="1"/>
    <col min="4" max="6" width="24.109375" style="235" customWidth="1"/>
    <col min="7" max="16384" width="9.109375" style="235"/>
  </cols>
  <sheetData>
    <row r="1" spans="1:7" ht="20.25" customHeight="1" x14ac:dyDescent="0.4">
      <c r="A1" s="232"/>
      <c r="B1" s="232"/>
      <c r="C1" s="233"/>
      <c r="D1" s="234"/>
      <c r="E1" s="234"/>
      <c r="F1" s="234"/>
    </row>
    <row r="2" spans="1:7" ht="20.25" customHeight="1" x14ac:dyDescent="0.4">
      <c r="A2" s="802" t="s">
        <v>0</v>
      </c>
      <c r="B2" s="802"/>
      <c r="C2" s="802"/>
      <c r="D2" s="802"/>
      <c r="E2" s="802"/>
      <c r="F2" s="802"/>
    </row>
    <row r="3" spans="1:7" ht="20.25" customHeight="1" x14ac:dyDescent="0.4">
      <c r="A3" s="802" t="s">
        <v>1</v>
      </c>
      <c r="B3" s="802"/>
      <c r="C3" s="802"/>
      <c r="D3" s="802"/>
      <c r="E3" s="802"/>
      <c r="F3" s="802"/>
    </row>
    <row r="4" spans="1:7" ht="20.25" customHeight="1" x14ac:dyDescent="0.4">
      <c r="A4" s="802" t="s">
        <v>314</v>
      </c>
      <c r="B4" s="802"/>
      <c r="C4" s="802"/>
      <c r="D4" s="802"/>
      <c r="E4" s="802"/>
      <c r="F4" s="802"/>
    </row>
    <row r="5" spans="1:7" ht="20.25" customHeight="1" x14ac:dyDescent="0.4">
      <c r="A5" s="802" t="s">
        <v>473</v>
      </c>
      <c r="B5" s="802"/>
      <c r="C5" s="802"/>
      <c r="D5" s="802"/>
      <c r="E5" s="802"/>
      <c r="F5" s="802"/>
    </row>
    <row r="6" spans="1:7" ht="20.25" customHeight="1" thickBot="1" x14ac:dyDescent="0.45">
      <c r="A6" s="232"/>
      <c r="B6" s="232"/>
      <c r="C6" s="233"/>
    </row>
    <row r="7" spans="1:7" ht="20.25" customHeight="1" x14ac:dyDescent="0.4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4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4">
      <c r="A9" s="277"/>
      <c r="B9" s="278"/>
      <c r="C9" s="279"/>
      <c r="D9" s="280"/>
      <c r="E9" s="280"/>
      <c r="F9" s="281"/>
      <c r="G9" s="245"/>
    </row>
    <row r="10" spans="1:7" ht="20.25" customHeight="1" x14ac:dyDescent="0.35">
      <c r="A10" s="794" t="s">
        <v>12</v>
      </c>
      <c r="B10" s="796" t="s">
        <v>116</v>
      </c>
      <c r="C10" s="798"/>
      <c r="D10" s="799"/>
      <c r="E10" s="799"/>
      <c r="F10" s="800"/>
    </row>
    <row r="11" spans="1:7" ht="20.25" customHeight="1" x14ac:dyDescent="0.35">
      <c r="A11" s="795"/>
      <c r="B11" s="797"/>
      <c r="C11" s="791"/>
      <c r="D11" s="792"/>
      <c r="E11" s="792"/>
      <c r="F11" s="793"/>
    </row>
    <row r="12" spans="1:7" ht="20.25" customHeight="1" x14ac:dyDescent="0.4">
      <c r="A12" s="257"/>
      <c r="B12" s="282"/>
      <c r="C12" s="250"/>
      <c r="D12" s="250"/>
      <c r="E12" s="250"/>
      <c r="F12" s="250"/>
    </row>
    <row r="13" spans="1:7" ht="42" customHeight="1" x14ac:dyDescent="0.4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5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5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5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5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5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5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5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5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5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4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4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4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5">
      <c r="A26" s="256">
        <v>1</v>
      </c>
      <c r="B26" s="257" t="s">
        <v>441</v>
      </c>
      <c r="C26" s="258">
        <v>0</v>
      </c>
      <c r="D26" s="258">
        <v>0</v>
      </c>
      <c r="E26" s="258">
        <f t="shared" ref="E26:E36" si="2">D26-C26</f>
        <v>0</v>
      </c>
      <c r="F26" s="259">
        <f t="shared" ref="F26:F36" si="3">IF(C26=0,0,E26/C26)</f>
        <v>0</v>
      </c>
    </row>
    <row r="27" spans="1:6" ht="20.25" customHeight="1" x14ac:dyDescent="0.35">
      <c r="A27" s="256">
        <v>2</v>
      </c>
      <c r="B27" s="257" t="s">
        <v>442</v>
      </c>
      <c r="C27" s="258">
        <v>0</v>
      </c>
      <c r="D27" s="258">
        <v>0</v>
      </c>
      <c r="E27" s="258">
        <f t="shared" si="2"/>
        <v>0</v>
      </c>
      <c r="F27" s="259">
        <f t="shared" si="3"/>
        <v>0</v>
      </c>
    </row>
    <row r="28" spans="1:6" ht="20.25" customHeight="1" x14ac:dyDescent="0.35">
      <c r="A28" s="256">
        <v>3</v>
      </c>
      <c r="B28" s="257" t="s">
        <v>443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5">
      <c r="A29" s="256">
        <v>4</v>
      </c>
      <c r="B29" s="257" t="s">
        <v>444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5">
      <c r="A30" s="256">
        <v>5</v>
      </c>
      <c r="B30" s="257" t="s">
        <v>381</v>
      </c>
      <c r="C30" s="260">
        <v>0</v>
      </c>
      <c r="D30" s="260">
        <v>0</v>
      </c>
      <c r="E30" s="260">
        <f t="shared" si="2"/>
        <v>0</v>
      </c>
      <c r="F30" s="259">
        <f t="shared" si="3"/>
        <v>0</v>
      </c>
    </row>
    <row r="31" spans="1:6" ht="20.25" customHeight="1" x14ac:dyDescent="0.35">
      <c r="A31" s="256">
        <v>6</v>
      </c>
      <c r="B31" s="257" t="s">
        <v>380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5">
      <c r="A32" s="256">
        <v>7</v>
      </c>
      <c r="B32" s="257" t="s">
        <v>445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5">
      <c r="A33" s="256">
        <v>8</v>
      </c>
      <c r="B33" s="257" t="s">
        <v>446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5">
      <c r="A34" s="256">
        <v>9</v>
      </c>
      <c r="B34" s="257" t="s">
        <v>447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s="265" customFormat="1" ht="20.25" customHeight="1" x14ac:dyDescent="0.4">
      <c r="A35" s="266"/>
      <c r="B35" s="284" t="s">
        <v>448</v>
      </c>
      <c r="C35" s="263">
        <f>+C26+C28</f>
        <v>0</v>
      </c>
      <c r="D35" s="263">
        <f>+D26+D28</f>
        <v>0</v>
      </c>
      <c r="E35" s="263">
        <f t="shared" si="2"/>
        <v>0</v>
      </c>
      <c r="F35" s="264">
        <f t="shared" si="3"/>
        <v>0</v>
      </c>
    </row>
    <row r="36" spans="1:6" s="265" customFormat="1" ht="20.25" customHeight="1" x14ac:dyDescent="0.4">
      <c r="A36" s="266"/>
      <c r="B36" s="284" t="s">
        <v>472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ht="42" customHeight="1" x14ac:dyDescent="0.4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5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5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5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5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5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5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5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5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5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4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4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4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5">
      <c r="A50" s="256">
        <v>1</v>
      </c>
      <c r="B50" s="257" t="s">
        <v>441</v>
      </c>
      <c r="C50" s="258">
        <v>0</v>
      </c>
      <c r="D50" s="258">
        <v>0</v>
      </c>
      <c r="E50" s="258">
        <f t="shared" ref="E50:E60" si="6">D50-C50</f>
        <v>0</v>
      </c>
      <c r="F50" s="259">
        <f t="shared" ref="F50:F60" si="7">IF(C50=0,0,E50/C50)</f>
        <v>0</v>
      </c>
    </row>
    <row r="51" spans="1:6" ht="20.25" customHeight="1" x14ac:dyDescent="0.35">
      <c r="A51" s="256">
        <v>2</v>
      </c>
      <c r="B51" s="257" t="s">
        <v>442</v>
      </c>
      <c r="C51" s="258">
        <v>0</v>
      </c>
      <c r="D51" s="258">
        <v>0</v>
      </c>
      <c r="E51" s="258">
        <f t="shared" si="6"/>
        <v>0</v>
      </c>
      <c r="F51" s="259">
        <f t="shared" si="7"/>
        <v>0</v>
      </c>
    </row>
    <row r="52" spans="1:6" ht="20.25" customHeight="1" x14ac:dyDescent="0.35">
      <c r="A52" s="256">
        <v>3</v>
      </c>
      <c r="B52" s="257" t="s">
        <v>443</v>
      </c>
      <c r="C52" s="258">
        <v>0</v>
      </c>
      <c r="D52" s="258">
        <v>0</v>
      </c>
      <c r="E52" s="258">
        <f t="shared" si="6"/>
        <v>0</v>
      </c>
      <c r="F52" s="259">
        <f t="shared" si="7"/>
        <v>0</v>
      </c>
    </row>
    <row r="53" spans="1:6" ht="20.25" customHeight="1" x14ac:dyDescent="0.35">
      <c r="A53" s="256">
        <v>4</v>
      </c>
      <c r="B53" s="257" t="s">
        <v>444</v>
      </c>
      <c r="C53" s="258">
        <v>0</v>
      </c>
      <c r="D53" s="258">
        <v>0</v>
      </c>
      <c r="E53" s="258">
        <f t="shared" si="6"/>
        <v>0</v>
      </c>
      <c r="F53" s="259">
        <f t="shared" si="7"/>
        <v>0</v>
      </c>
    </row>
    <row r="54" spans="1:6" ht="20.25" customHeight="1" x14ac:dyDescent="0.35">
      <c r="A54" s="256">
        <v>5</v>
      </c>
      <c r="B54" s="257" t="s">
        <v>381</v>
      </c>
      <c r="C54" s="260">
        <v>0</v>
      </c>
      <c r="D54" s="260">
        <v>0</v>
      </c>
      <c r="E54" s="260">
        <f t="shared" si="6"/>
        <v>0</v>
      </c>
      <c r="F54" s="259">
        <f t="shared" si="7"/>
        <v>0</v>
      </c>
    </row>
    <row r="55" spans="1:6" ht="20.25" customHeight="1" x14ac:dyDescent="0.35">
      <c r="A55" s="256">
        <v>6</v>
      </c>
      <c r="B55" s="257" t="s">
        <v>380</v>
      </c>
      <c r="C55" s="260">
        <v>0</v>
      </c>
      <c r="D55" s="260">
        <v>0</v>
      </c>
      <c r="E55" s="260">
        <f t="shared" si="6"/>
        <v>0</v>
      </c>
      <c r="F55" s="259">
        <f t="shared" si="7"/>
        <v>0</v>
      </c>
    </row>
    <row r="56" spans="1:6" ht="20.25" customHeight="1" x14ac:dyDescent="0.35">
      <c r="A56" s="256">
        <v>7</v>
      </c>
      <c r="B56" s="257" t="s">
        <v>445</v>
      </c>
      <c r="C56" s="260">
        <v>0</v>
      </c>
      <c r="D56" s="260">
        <v>0</v>
      </c>
      <c r="E56" s="260">
        <f t="shared" si="6"/>
        <v>0</v>
      </c>
      <c r="F56" s="259">
        <f t="shared" si="7"/>
        <v>0</v>
      </c>
    </row>
    <row r="57" spans="1:6" ht="20.25" customHeight="1" x14ac:dyDescent="0.35">
      <c r="A57" s="256">
        <v>8</v>
      </c>
      <c r="B57" s="257" t="s">
        <v>446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5">
      <c r="A58" s="256">
        <v>9</v>
      </c>
      <c r="B58" s="257" t="s">
        <v>447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s="265" customFormat="1" ht="20.25" customHeight="1" x14ac:dyDescent="0.4">
      <c r="A59" s="266"/>
      <c r="B59" s="284" t="s">
        <v>448</v>
      </c>
      <c r="C59" s="263">
        <f>+C50+C52</f>
        <v>0</v>
      </c>
      <c r="D59" s="263">
        <f>+D50+D52</f>
        <v>0</v>
      </c>
      <c r="E59" s="263">
        <f t="shared" si="6"/>
        <v>0</v>
      </c>
      <c r="F59" s="264">
        <f t="shared" si="7"/>
        <v>0</v>
      </c>
    </row>
    <row r="60" spans="1:6" s="265" customFormat="1" ht="20.25" customHeight="1" x14ac:dyDescent="0.4">
      <c r="A60" s="266"/>
      <c r="B60" s="284" t="s">
        <v>472</v>
      </c>
      <c r="C60" s="263">
        <f>+C51+C53</f>
        <v>0</v>
      </c>
      <c r="D60" s="263">
        <f>+D51+D53</f>
        <v>0</v>
      </c>
      <c r="E60" s="263">
        <f t="shared" si="6"/>
        <v>0</v>
      </c>
      <c r="F60" s="264">
        <f t="shared" si="7"/>
        <v>0</v>
      </c>
    </row>
    <row r="61" spans="1:6" ht="42" customHeight="1" x14ac:dyDescent="0.4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5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5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5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5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5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5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5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5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5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4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4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4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5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5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5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5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5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5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5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5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5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4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4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4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5">
      <c r="A86" s="256">
        <v>1</v>
      </c>
      <c r="B86" s="257" t="s">
        <v>441</v>
      </c>
      <c r="C86" s="258">
        <v>0</v>
      </c>
      <c r="D86" s="258">
        <v>0</v>
      </c>
      <c r="E86" s="258">
        <f t="shared" ref="E86:E96" si="12">D86-C86</f>
        <v>0</v>
      </c>
      <c r="F86" s="259">
        <f t="shared" ref="F86:F96" si="13">IF(C86=0,0,E86/C86)</f>
        <v>0</v>
      </c>
    </row>
    <row r="87" spans="1:6" ht="20.25" customHeight="1" x14ac:dyDescent="0.35">
      <c r="A87" s="256">
        <v>2</v>
      </c>
      <c r="B87" s="257" t="s">
        <v>442</v>
      </c>
      <c r="C87" s="258">
        <v>0</v>
      </c>
      <c r="D87" s="258">
        <v>0</v>
      </c>
      <c r="E87" s="258">
        <f t="shared" si="12"/>
        <v>0</v>
      </c>
      <c r="F87" s="259">
        <f t="shared" si="13"/>
        <v>0</v>
      </c>
    </row>
    <row r="88" spans="1:6" ht="20.25" customHeight="1" x14ac:dyDescent="0.35">
      <c r="A88" s="256">
        <v>3</v>
      </c>
      <c r="B88" s="257" t="s">
        <v>443</v>
      </c>
      <c r="C88" s="258">
        <v>0</v>
      </c>
      <c r="D88" s="258">
        <v>0</v>
      </c>
      <c r="E88" s="258">
        <f t="shared" si="12"/>
        <v>0</v>
      </c>
      <c r="F88" s="259">
        <f t="shared" si="13"/>
        <v>0</v>
      </c>
    </row>
    <row r="89" spans="1:6" ht="20.25" customHeight="1" x14ac:dyDescent="0.35">
      <c r="A89" s="256">
        <v>4</v>
      </c>
      <c r="B89" s="257" t="s">
        <v>444</v>
      </c>
      <c r="C89" s="258">
        <v>0</v>
      </c>
      <c r="D89" s="258">
        <v>0</v>
      </c>
      <c r="E89" s="258">
        <f t="shared" si="12"/>
        <v>0</v>
      </c>
      <c r="F89" s="259">
        <f t="shared" si="13"/>
        <v>0</v>
      </c>
    </row>
    <row r="90" spans="1:6" ht="20.25" customHeight="1" x14ac:dyDescent="0.35">
      <c r="A90" s="256">
        <v>5</v>
      </c>
      <c r="B90" s="257" t="s">
        <v>381</v>
      </c>
      <c r="C90" s="260">
        <v>0</v>
      </c>
      <c r="D90" s="260">
        <v>0</v>
      </c>
      <c r="E90" s="260">
        <f t="shared" si="12"/>
        <v>0</v>
      </c>
      <c r="F90" s="259">
        <f t="shared" si="13"/>
        <v>0</v>
      </c>
    </row>
    <row r="91" spans="1:6" ht="20.25" customHeight="1" x14ac:dyDescent="0.35">
      <c r="A91" s="256">
        <v>6</v>
      </c>
      <c r="B91" s="257" t="s">
        <v>380</v>
      </c>
      <c r="C91" s="260">
        <v>0</v>
      </c>
      <c r="D91" s="260">
        <v>0</v>
      </c>
      <c r="E91" s="260">
        <f t="shared" si="12"/>
        <v>0</v>
      </c>
      <c r="F91" s="259">
        <f t="shared" si="13"/>
        <v>0</v>
      </c>
    </row>
    <row r="92" spans="1:6" ht="20.25" customHeight="1" x14ac:dyDescent="0.35">
      <c r="A92" s="256">
        <v>7</v>
      </c>
      <c r="B92" s="257" t="s">
        <v>445</v>
      </c>
      <c r="C92" s="260">
        <v>0</v>
      </c>
      <c r="D92" s="260">
        <v>0</v>
      </c>
      <c r="E92" s="260">
        <f t="shared" si="12"/>
        <v>0</v>
      </c>
      <c r="F92" s="259">
        <f t="shared" si="13"/>
        <v>0</v>
      </c>
    </row>
    <row r="93" spans="1:6" ht="20.25" customHeight="1" x14ac:dyDescent="0.35">
      <c r="A93" s="256">
        <v>8</v>
      </c>
      <c r="B93" s="257" t="s">
        <v>446</v>
      </c>
      <c r="C93" s="260">
        <v>0</v>
      </c>
      <c r="D93" s="260">
        <v>0</v>
      </c>
      <c r="E93" s="260">
        <f t="shared" si="12"/>
        <v>0</v>
      </c>
      <c r="F93" s="259">
        <f t="shared" si="13"/>
        <v>0</v>
      </c>
    </row>
    <row r="94" spans="1:6" ht="20.25" customHeight="1" x14ac:dyDescent="0.35">
      <c r="A94" s="256">
        <v>9</v>
      </c>
      <c r="B94" s="257" t="s">
        <v>447</v>
      </c>
      <c r="C94" s="260">
        <v>0</v>
      </c>
      <c r="D94" s="260">
        <v>0</v>
      </c>
      <c r="E94" s="260">
        <f t="shared" si="12"/>
        <v>0</v>
      </c>
      <c r="F94" s="259">
        <f t="shared" si="13"/>
        <v>0</v>
      </c>
    </row>
    <row r="95" spans="1:6" s="265" customFormat="1" ht="20.25" customHeight="1" x14ac:dyDescent="0.4">
      <c r="A95" s="266"/>
      <c r="B95" s="284" t="s">
        <v>448</v>
      </c>
      <c r="C95" s="263">
        <f>+C86+C88</f>
        <v>0</v>
      </c>
      <c r="D95" s="263">
        <f>+D86+D88</f>
        <v>0</v>
      </c>
      <c r="E95" s="263">
        <f t="shared" si="12"/>
        <v>0</v>
      </c>
      <c r="F95" s="264">
        <f t="shared" si="13"/>
        <v>0</v>
      </c>
    </row>
    <row r="96" spans="1:6" s="265" customFormat="1" ht="20.25" customHeight="1" x14ac:dyDescent="0.4">
      <c r="A96" s="266"/>
      <c r="B96" s="284" t="s">
        <v>472</v>
      </c>
      <c r="C96" s="263">
        <f>+C87+C89</f>
        <v>0</v>
      </c>
      <c r="D96" s="263">
        <f>+D87+D89</f>
        <v>0</v>
      </c>
      <c r="E96" s="263">
        <f t="shared" si="12"/>
        <v>0</v>
      </c>
      <c r="F96" s="264">
        <f t="shared" si="13"/>
        <v>0</v>
      </c>
    </row>
    <row r="97" spans="1:7" ht="42" customHeight="1" x14ac:dyDescent="0.4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5">
      <c r="A98" s="256">
        <v>1</v>
      </c>
      <c r="B98" s="257" t="s">
        <v>441</v>
      </c>
      <c r="C98" s="258">
        <v>0</v>
      </c>
      <c r="D98" s="258">
        <v>0</v>
      </c>
      <c r="E98" s="258">
        <f t="shared" ref="E98:E108" si="14">D98-C98</f>
        <v>0</v>
      </c>
      <c r="F98" s="259">
        <f t="shared" ref="F98:F108" si="15">IF(C98=0,0,E98/C98)</f>
        <v>0</v>
      </c>
    </row>
    <row r="99" spans="1:7" ht="20.25" customHeight="1" x14ac:dyDescent="0.35">
      <c r="A99" s="256">
        <v>2</v>
      </c>
      <c r="B99" s="257" t="s">
        <v>442</v>
      </c>
      <c r="C99" s="258">
        <v>0</v>
      </c>
      <c r="D99" s="258">
        <v>0</v>
      </c>
      <c r="E99" s="258">
        <f t="shared" si="14"/>
        <v>0</v>
      </c>
      <c r="F99" s="259">
        <f t="shared" si="15"/>
        <v>0</v>
      </c>
    </row>
    <row r="100" spans="1:7" ht="20.25" customHeight="1" x14ac:dyDescent="0.35">
      <c r="A100" s="256">
        <v>3</v>
      </c>
      <c r="B100" s="257" t="s">
        <v>443</v>
      </c>
      <c r="C100" s="258">
        <v>0</v>
      </c>
      <c r="D100" s="258">
        <v>0</v>
      </c>
      <c r="E100" s="258">
        <f t="shared" si="14"/>
        <v>0</v>
      </c>
      <c r="F100" s="259">
        <f t="shared" si="15"/>
        <v>0</v>
      </c>
    </row>
    <row r="101" spans="1:7" ht="20.25" customHeight="1" x14ac:dyDescent="0.35">
      <c r="A101" s="256">
        <v>4</v>
      </c>
      <c r="B101" s="257" t="s">
        <v>444</v>
      </c>
      <c r="C101" s="258">
        <v>0</v>
      </c>
      <c r="D101" s="258">
        <v>0</v>
      </c>
      <c r="E101" s="258">
        <f t="shared" si="14"/>
        <v>0</v>
      </c>
      <c r="F101" s="259">
        <f t="shared" si="15"/>
        <v>0</v>
      </c>
    </row>
    <row r="102" spans="1:7" ht="20.25" customHeight="1" x14ac:dyDescent="0.35">
      <c r="A102" s="256">
        <v>5</v>
      </c>
      <c r="B102" s="257" t="s">
        <v>381</v>
      </c>
      <c r="C102" s="260">
        <v>0</v>
      </c>
      <c r="D102" s="260">
        <v>0</v>
      </c>
      <c r="E102" s="260">
        <f t="shared" si="14"/>
        <v>0</v>
      </c>
      <c r="F102" s="259">
        <f t="shared" si="15"/>
        <v>0</v>
      </c>
    </row>
    <row r="103" spans="1:7" ht="20.25" customHeight="1" x14ac:dyDescent="0.35">
      <c r="A103" s="256">
        <v>6</v>
      </c>
      <c r="B103" s="257" t="s">
        <v>380</v>
      </c>
      <c r="C103" s="260">
        <v>0</v>
      </c>
      <c r="D103" s="260">
        <v>0</v>
      </c>
      <c r="E103" s="260">
        <f t="shared" si="14"/>
        <v>0</v>
      </c>
      <c r="F103" s="259">
        <f t="shared" si="15"/>
        <v>0</v>
      </c>
    </row>
    <row r="104" spans="1:7" ht="20.25" customHeight="1" x14ac:dyDescent="0.35">
      <c r="A104" s="256">
        <v>7</v>
      </c>
      <c r="B104" s="257" t="s">
        <v>445</v>
      </c>
      <c r="C104" s="260">
        <v>0</v>
      </c>
      <c r="D104" s="260">
        <v>0</v>
      </c>
      <c r="E104" s="260">
        <f t="shared" si="14"/>
        <v>0</v>
      </c>
      <c r="F104" s="259">
        <f t="shared" si="15"/>
        <v>0</v>
      </c>
    </row>
    <row r="105" spans="1:7" ht="20.25" customHeight="1" x14ac:dyDescent="0.35">
      <c r="A105" s="256">
        <v>8</v>
      </c>
      <c r="B105" s="257" t="s">
        <v>446</v>
      </c>
      <c r="C105" s="260">
        <v>0</v>
      </c>
      <c r="D105" s="260">
        <v>0</v>
      </c>
      <c r="E105" s="260">
        <f t="shared" si="14"/>
        <v>0</v>
      </c>
      <c r="F105" s="259">
        <f t="shared" si="15"/>
        <v>0</v>
      </c>
    </row>
    <row r="106" spans="1:7" ht="20.25" customHeight="1" x14ac:dyDescent="0.35">
      <c r="A106" s="256">
        <v>9</v>
      </c>
      <c r="B106" s="257" t="s">
        <v>447</v>
      </c>
      <c r="C106" s="260">
        <v>0</v>
      </c>
      <c r="D106" s="260">
        <v>0</v>
      </c>
      <c r="E106" s="260">
        <f t="shared" si="14"/>
        <v>0</v>
      </c>
      <c r="F106" s="259">
        <f t="shared" si="15"/>
        <v>0</v>
      </c>
    </row>
    <row r="107" spans="1:7" s="265" customFormat="1" ht="20.25" customHeight="1" x14ac:dyDescent="0.4">
      <c r="A107" s="266"/>
      <c r="B107" s="284" t="s">
        <v>448</v>
      </c>
      <c r="C107" s="263">
        <f>+C98+C100</f>
        <v>0</v>
      </c>
      <c r="D107" s="263">
        <f>+D98+D100</f>
        <v>0</v>
      </c>
      <c r="E107" s="263">
        <f t="shared" si="14"/>
        <v>0</v>
      </c>
      <c r="F107" s="264">
        <f t="shared" si="15"/>
        <v>0</v>
      </c>
    </row>
    <row r="108" spans="1:7" s="265" customFormat="1" ht="20.25" customHeight="1" x14ac:dyDescent="0.4">
      <c r="A108" s="266"/>
      <c r="B108" s="284" t="s">
        <v>472</v>
      </c>
      <c r="C108" s="263">
        <f>+C99+C101</f>
        <v>0</v>
      </c>
      <c r="D108" s="263">
        <f>+D99+D101</f>
        <v>0</v>
      </c>
      <c r="E108" s="263">
        <f t="shared" si="14"/>
        <v>0</v>
      </c>
      <c r="F108" s="264">
        <f t="shared" si="15"/>
        <v>0</v>
      </c>
    </row>
    <row r="109" spans="1:7" s="265" customFormat="1" ht="20.25" customHeight="1" x14ac:dyDescent="0.4">
      <c r="A109" s="794" t="s">
        <v>44</v>
      </c>
      <c r="B109" s="796" t="s">
        <v>490</v>
      </c>
      <c r="C109" s="798"/>
      <c r="D109" s="799"/>
      <c r="E109" s="799"/>
      <c r="F109" s="800"/>
      <c r="G109" s="245"/>
    </row>
    <row r="110" spans="1:7" ht="20.25" customHeight="1" x14ac:dyDescent="0.35">
      <c r="A110" s="795"/>
      <c r="B110" s="797"/>
      <c r="C110" s="791"/>
      <c r="D110" s="792"/>
      <c r="E110" s="792"/>
      <c r="F110" s="793"/>
    </row>
    <row r="111" spans="1:7" ht="20.25" customHeight="1" x14ac:dyDescent="0.4">
      <c r="A111" s="285"/>
      <c r="B111" s="282"/>
      <c r="C111" s="250"/>
      <c r="D111" s="250"/>
      <c r="E111" s="250"/>
      <c r="F111" s="250"/>
    </row>
    <row r="112" spans="1:7" ht="20.25" customHeight="1" x14ac:dyDescent="0.4">
      <c r="A112" s="271"/>
      <c r="B112" s="286" t="s">
        <v>491</v>
      </c>
      <c r="C112" s="263">
        <f t="shared" ref="C112:D120" si="16">+C98+C86+C74+C62+C50+C38+C26+C14</f>
        <v>0</v>
      </c>
      <c r="D112" s="263">
        <f t="shared" si="16"/>
        <v>0</v>
      </c>
      <c r="E112" s="263">
        <f t="shared" ref="E112:E122" si="17">D112-C112</f>
        <v>0</v>
      </c>
      <c r="F112" s="264">
        <f t="shared" ref="F112:F122" si="18">IF(C112=0,0,E112/C112)</f>
        <v>0</v>
      </c>
    </row>
    <row r="113" spans="1:6" ht="20.25" customHeight="1" x14ac:dyDescent="0.4">
      <c r="A113" s="271"/>
      <c r="B113" s="286" t="s">
        <v>492</v>
      </c>
      <c r="C113" s="263">
        <f t="shared" si="16"/>
        <v>0</v>
      </c>
      <c r="D113" s="263">
        <f t="shared" si="16"/>
        <v>0</v>
      </c>
      <c r="E113" s="263">
        <f t="shared" si="17"/>
        <v>0</v>
      </c>
      <c r="F113" s="264">
        <f t="shared" si="18"/>
        <v>0</v>
      </c>
    </row>
    <row r="114" spans="1:6" ht="20.25" customHeight="1" x14ac:dyDescent="0.4">
      <c r="A114" s="271"/>
      <c r="B114" s="286" t="s">
        <v>493</v>
      </c>
      <c r="C114" s="263">
        <f t="shared" si="16"/>
        <v>0</v>
      </c>
      <c r="D114" s="263">
        <f t="shared" si="16"/>
        <v>0</v>
      </c>
      <c r="E114" s="263">
        <f t="shared" si="17"/>
        <v>0</v>
      </c>
      <c r="F114" s="264">
        <f t="shared" si="18"/>
        <v>0</v>
      </c>
    </row>
    <row r="115" spans="1:6" ht="20.25" customHeight="1" x14ac:dyDescent="0.4">
      <c r="A115" s="271"/>
      <c r="B115" s="286" t="s">
        <v>494</v>
      </c>
      <c r="C115" s="263">
        <f t="shared" si="16"/>
        <v>0</v>
      </c>
      <c r="D115" s="263">
        <f t="shared" si="16"/>
        <v>0</v>
      </c>
      <c r="E115" s="263">
        <f t="shared" si="17"/>
        <v>0</v>
      </c>
      <c r="F115" s="264">
        <f t="shared" si="18"/>
        <v>0</v>
      </c>
    </row>
    <row r="116" spans="1:6" ht="20.25" customHeight="1" x14ac:dyDescent="0.4">
      <c r="A116" s="271"/>
      <c r="B116" s="286" t="s">
        <v>495</v>
      </c>
      <c r="C116" s="287">
        <f t="shared" si="16"/>
        <v>0</v>
      </c>
      <c r="D116" s="287">
        <f t="shared" si="16"/>
        <v>0</v>
      </c>
      <c r="E116" s="287">
        <f t="shared" si="17"/>
        <v>0</v>
      </c>
      <c r="F116" s="264">
        <f t="shared" si="18"/>
        <v>0</v>
      </c>
    </row>
    <row r="117" spans="1:6" ht="20.25" customHeight="1" x14ac:dyDescent="0.4">
      <c r="A117" s="271"/>
      <c r="B117" s="286" t="s">
        <v>496</v>
      </c>
      <c r="C117" s="287">
        <f t="shared" si="16"/>
        <v>0</v>
      </c>
      <c r="D117" s="287">
        <f t="shared" si="16"/>
        <v>0</v>
      </c>
      <c r="E117" s="287">
        <f t="shared" si="17"/>
        <v>0</v>
      </c>
      <c r="F117" s="264">
        <f t="shared" si="18"/>
        <v>0</v>
      </c>
    </row>
    <row r="118" spans="1:6" ht="39.9" customHeight="1" x14ac:dyDescent="0.4">
      <c r="A118" s="271"/>
      <c r="B118" s="286" t="s">
        <v>497</v>
      </c>
      <c r="C118" s="287">
        <f t="shared" si="16"/>
        <v>0</v>
      </c>
      <c r="D118" s="287">
        <f t="shared" si="16"/>
        <v>0</v>
      </c>
      <c r="E118" s="287">
        <f t="shared" si="17"/>
        <v>0</v>
      </c>
      <c r="F118" s="264">
        <f t="shared" si="18"/>
        <v>0</v>
      </c>
    </row>
    <row r="119" spans="1:6" ht="39.9" customHeight="1" x14ac:dyDescent="0.4">
      <c r="A119" s="271"/>
      <c r="B119" s="286" t="s">
        <v>498</v>
      </c>
      <c r="C119" s="287">
        <f t="shared" si="16"/>
        <v>0</v>
      </c>
      <c r="D119" s="287">
        <f t="shared" si="16"/>
        <v>0</v>
      </c>
      <c r="E119" s="287">
        <f t="shared" si="17"/>
        <v>0</v>
      </c>
      <c r="F119" s="264">
        <f t="shared" si="18"/>
        <v>0</v>
      </c>
    </row>
    <row r="120" spans="1:6" ht="39.9" customHeight="1" x14ac:dyDescent="0.4">
      <c r="A120" s="271"/>
      <c r="B120" s="286" t="s">
        <v>499</v>
      </c>
      <c r="C120" s="287">
        <f t="shared" si="16"/>
        <v>0</v>
      </c>
      <c r="D120" s="287">
        <f t="shared" si="16"/>
        <v>0</v>
      </c>
      <c r="E120" s="287">
        <f t="shared" si="17"/>
        <v>0</v>
      </c>
      <c r="F120" s="264">
        <f t="shared" si="18"/>
        <v>0</v>
      </c>
    </row>
    <row r="121" spans="1:6" ht="20.25" customHeight="1" x14ac:dyDescent="0.4">
      <c r="A121" s="271"/>
      <c r="B121" s="284" t="s">
        <v>448</v>
      </c>
      <c r="C121" s="263">
        <f>+C112+C114</f>
        <v>0</v>
      </c>
      <c r="D121" s="263">
        <f>+D112+D114</f>
        <v>0</v>
      </c>
      <c r="E121" s="263">
        <f t="shared" si="17"/>
        <v>0</v>
      </c>
      <c r="F121" s="264">
        <f t="shared" si="18"/>
        <v>0</v>
      </c>
    </row>
    <row r="122" spans="1:6" ht="20.25" customHeight="1" x14ac:dyDescent="0.4">
      <c r="A122" s="271"/>
      <c r="B122" s="284" t="s">
        <v>472</v>
      </c>
      <c r="C122" s="263">
        <f>+C113+C115</f>
        <v>0</v>
      </c>
      <c r="D122" s="263">
        <f>+D113+D115</f>
        <v>0</v>
      </c>
      <c r="E122" s="263">
        <f t="shared" si="17"/>
        <v>0</v>
      </c>
      <c r="F122" s="264">
        <f t="shared" si="18"/>
        <v>0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rintOptions gridLines="1"/>
  <pageMargins left="0.25" right="0.25" top="0.5" bottom="0.5" header="0.25" footer="0.25"/>
  <pageSetup scale="58" fitToHeight="0" orientation="portrait" horizontalDpi="1200" verticalDpi="1200" r:id="rId1"/>
  <headerFooter>
    <oddHeader>&amp;LOFFICE OF HEALTH CARE ACCESS&amp;CTWELVE MONTHS ACTUAL FILING&amp;RDANBURY HOSPITAL</oddHeader>
    <oddFooter>&amp;L&amp;8REPORT 185&amp;C&amp;8PAGE &amp;P of &amp;N&amp;R&amp;D, 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zoomScale="75" zoomScaleSheetLayoutView="75" workbookViewId="0">
      <selection sqref="A1:F1"/>
    </sheetView>
  </sheetViews>
  <sheetFormatPr defaultColWidth="9.109375" defaultRowHeight="24" customHeight="1" x14ac:dyDescent="0.25"/>
  <cols>
    <col min="1" max="1" width="6.6640625" style="288" customWidth="1"/>
    <col min="2" max="2" width="47.5546875" style="288" customWidth="1"/>
    <col min="3" max="4" width="22.109375" style="288" bestFit="1" customWidth="1"/>
    <col min="5" max="5" width="21.6640625" style="327" customWidth="1"/>
    <col min="6" max="6" width="23.33203125" style="327" customWidth="1"/>
    <col min="7" max="7" width="19.109375" style="288" customWidth="1"/>
    <col min="8" max="16384" width="9.109375" style="288"/>
  </cols>
  <sheetData>
    <row r="1" spans="1:8" ht="24" customHeight="1" x14ac:dyDescent="0.3">
      <c r="A1" s="807" t="s">
        <v>500</v>
      </c>
      <c r="B1" s="808"/>
      <c r="C1" s="808"/>
      <c r="D1" s="808"/>
      <c r="E1" s="808"/>
      <c r="F1" s="809"/>
    </row>
    <row r="2" spans="1:8" ht="24" customHeight="1" x14ac:dyDescent="0.3">
      <c r="A2" s="807" t="s">
        <v>1</v>
      </c>
      <c r="B2" s="808"/>
      <c r="C2" s="808"/>
      <c r="D2" s="808"/>
      <c r="E2" s="808"/>
      <c r="F2" s="809"/>
    </row>
    <row r="3" spans="1:8" ht="24" customHeight="1" x14ac:dyDescent="0.3">
      <c r="A3" s="807" t="s">
        <v>2</v>
      </c>
      <c r="B3" s="808"/>
      <c r="C3" s="808"/>
      <c r="D3" s="808"/>
      <c r="E3" s="808"/>
      <c r="F3" s="809"/>
    </row>
    <row r="4" spans="1:8" ht="24" customHeight="1" x14ac:dyDescent="0.3">
      <c r="A4" s="807" t="s">
        <v>501</v>
      </c>
      <c r="B4" s="808"/>
      <c r="C4" s="808"/>
      <c r="D4" s="808"/>
      <c r="E4" s="808"/>
      <c r="F4" s="809"/>
    </row>
    <row r="5" spans="1:8" ht="15" customHeight="1" x14ac:dyDescent="0.3">
      <c r="A5" s="289"/>
      <c r="B5" s="289"/>
      <c r="C5" s="289"/>
      <c r="D5" s="289"/>
      <c r="E5" s="290"/>
      <c r="F5" s="291"/>
    </row>
    <row r="6" spans="1:8" s="293" customFormat="1" ht="15.75" customHeight="1" x14ac:dyDescent="0.3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3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3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3">
      <c r="A9" s="299"/>
      <c r="B9" s="301"/>
      <c r="C9" s="299"/>
      <c r="D9" s="299"/>
      <c r="E9" s="297"/>
      <c r="F9" s="297"/>
    </row>
    <row r="10" spans="1:8" s="293" customFormat="1" ht="24" customHeight="1" x14ac:dyDescent="0.3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3">
      <c r="A11" s="18"/>
      <c r="B11" s="294"/>
      <c r="C11" s="18"/>
      <c r="D11" s="18"/>
      <c r="E11" s="18"/>
      <c r="F11" s="18"/>
    </row>
    <row r="12" spans="1:8" s="293" customFormat="1" ht="15.75" customHeight="1" x14ac:dyDescent="0.3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5">
      <c r="A13" s="304">
        <v>1</v>
      </c>
      <c r="B13" s="305" t="s">
        <v>16</v>
      </c>
      <c r="C13" s="22">
        <v>89299000</v>
      </c>
      <c r="D13" s="22">
        <v>61070000</v>
      </c>
      <c r="E13" s="22">
        <f t="shared" ref="E13:E22" si="0">D13-C13</f>
        <v>-28229000</v>
      </c>
      <c r="F13" s="306">
        <f t="shared" ref="F13:F22" si="1">IF(C13=0,0,E13/C13)</f>
        <v>-0.31611776167706246</v>
      </c>
    </row>
    <row r="14" spans="1:8" ht="24" customHeight="1" x14ac:dyDescent="0.25">
      <c r="A14" s="304">
        <v>2</v>
      </c>
      <c r="B14" s="305" t="s">
        <v>17</v>
      </c>
      <c r="C14" s="22">
        <v>13983000</v>
      </c>
      <c r="D14" s="22">
        <v>36175000</v>
      </c>
      <c r="E14" s="22">
        <f t="shared" si="0"/>
        <v>22192000</v>
      </c>
      <c r="F14" s="306">
        <f t="shared" si="1"/>
        <v>1.5870700135879281</v>
      </c>
    </row>
    <row r="15" spans="1:8" ht="35.1" customHeight="1" x14ac:dyDescent="0.25">
      <c r="A15" s="304">
        <v>3</v>
      </c>
      <c r="B15" s="305" t="s">
        <v>18</v>
      </c>
      <c r="C15" s="22">
        <v>143408000</v>
      </c>
      <c r="D15" s="22">
        <v>135583000</v>
      </c>
      <c r="E15" s="22">
        <f t="shared" si="0"/>
        <v>-7825000</v>
      </c>
      <c r="F15" s="306">
        <f t="shared" si="1"/>
        <v>-5.4564598906616087E-2</v>
      </c>
    </row>
    <row r="16" spans="1:8" ht="35.1" customHeight="1" x14ac:dyDescent="0.25">
      <c r="A16" s="304">
        <v>4</v>
      </c>
      <c r="B16" s="305" t="s">
        <v>19</v>
      </c>
      <c r="C16" s="22">
        <v>7368000</v>
      </c>
      <c r="D16" s="22">
        <v>16880000</v>
      </c>
      <c r="E16" s="22">
        <f t="shared" si="0"/>
        <v>9512000</v>
      </c>
      <c r="F16" s="306">
        <f t="shared" si="1"/>
        <v>1.2909880564603691</v>
      </c>
    </row>
    <row r="17" spans="1:11" ht="24" customHeight="1" x14ac:dyDescent="0.25">
      <c r="A17" s="304">
        <v>5</v>
      </c>
      <c r="B17" s="305" t="s">
        <v>20</v>
      </c>
      <c r="C17" s="22">
        <v>0</v>
      </c>
      <c r="D17" s="22">
        <v>0</v>
      </c>
      <c r="E17" s="22">
        <f t="shared" si="0"/>
        <v>0</v>
      </c>
      <c r="F17" s="306">
        <f t="shared" si="1"/>
        <v>0</v>
      </c>
    </row>
    <row r="18" spans="1:11" ht="24" customHeight="1" x14ac:dyDescent="0.25">
      <c r="A18" s="304">
        <v>6</v>
      </c>
      <c r="B18" s="305" t="s">
        <v>21</v>
      </c>
      <c r="C18" s="22">
        <v>0</v>
      </c>
      <c r="D18" s="22">
        <v>0</v>
      </c>
      <c r="E18" s="22">
        <f t="shared" si="0"/>
        <v>0</v>
      </c>
      <c r="F18" s="306">
        <f t="shared" si="1"/>
        <v>0</v>
      </c>
    </row>
    <row r="19" spans="1:11" ht="24" customHeight="1" x14ac:dyDescent="0.25">
      <c r="A19" s="304">
        <v>7</v>
      </c>
      <c r="B19" s="305" t="s">
        <v>22</v>
      </c>
      <c r="C19" s="22">
        <v>14880000</v>
      </c>
      <c r="D19" s="22">
        <v>16082000</v>
      </c>
      <c r="E19" s="22">
        <f t="shared" si="0"/>
        <v>1202000</v>
      </c>
      <c r="F19" s="306">
        <f t="shared" si="1"/>
        <v>8.0779569892473119E-2</v>
      </c>
    </row>
    <row r="20" spans="1:11" ht="24" customHeight="1" x14ac:dyDescent="0.25">
      <c r="A20" s="304">
        <v>8</v>
      </c>
      <c r="B20" s="305" t="s">
        <v>23</v>
      </c>
      <c r="C20" s="22">
        <v>23102000</v>
      </c>
      <c r="D20" s="22">
        <v>34299000</v>
      </c>
      <c r="E20" s="22">
        <f t="shared" si="0"/>
        <v>11197000</v>
      </c>
      <c r="F20" s="306">
        <f t="shared" si="1"/>
        <v>0.48467665137217558</v>
      </c>
    </row>
    <row r="21" spans="1:11" ht="24" customHeight="1" x14ac:dyDescent="0.25">
      <c r="A21" s="304">
        <v>9</v>
      </c>
      <c r="B21" s="305" t="s">
        <v>24</v>
      </c>
      <c r="C21" s="22">
        <v>41268000</v>
      </c>
      <c r="D21" s="22">
        <v>7846000</v>
      </c>
      <c r="E21" s="22">
        <f t="shared" si="0"/>
        <v>-33422000</v>
      </c>
      <c r="F21" s="306">
        <f t="shared" si="1"/>
        <v>-0.80987690220025199</v>
      </c>
    </row>
    <row r="22" spans="1:11" ht="24" customHeight="1" x14ac:dyDescent="0.3">
      <c r="A22" s="307"/>
      <c r="B22" s="308" t="s">
        <v>25</v>
      </c>
      <c r="C22" s="309">
        <f>SUM(C13:C21)</f>
        <v>333308000</v>
      </c>
      <c r="D22" s="309">
        <f>SUM(D13:D21)</f>
        <v>307935000</v>
      </c>
      <c r="E22" s="309">
        <f t="shared" si="0"/>
        <v>-25373000</v>
      </c>
      <c r="F22" s="310">
        <f t="shared" si="1"/>
        <v>-7.6124785483696764E-2</v>
      </c>
    </row>
    <row r="23" spans="1:11" ht="15" customHeight="1" x14ac:dyDescent="0.25">
      <c r="A23" s="304"/>
      <c r="B23" s="291"/>
      <c r="C23" s="311"/>
      <c r="D23" s="311"/>
      <c r="E23" s="311"/>
      <c r="F23" s="306"/>
    </row>
    <row r="24" spans="1:11" ht="24" customHeight="1" x14ac:dyDescent="0.3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5">
      <c r="A25" s="304">
        <v>1</v>
      </c>
      <c r="B25" s="305" t="s">
        <v>28</v>
      </c>
      <c r="C25" s="22">
        <v>14563000</v>
      </c>
      <c r="D25" s="22">
        <v>15165000</v>
      </c>
      <c r="E25" s="22">
        <f>D25-C25</f>
        <v>602000</v>
      </c>
      <c r="F25" s="306">
        <f>IF(C25=0,0,E25/C25)</f>
        <v>4.1337636476000826E-2</v>
      </c>
      <c r="H25" s="314"/>
      <c r="I25" s="315"/>
      <c r="J25" s="315"/>
      <c r="K25" s="316"/>
    </row>
    <row r="26" spans="1:11" ht="24" customHeight="1" x14ac:dyDescent="0.25">
      <c r="A26" s="304">
        <v>2</v>
      </c>
      <c r="B26" s="305" t="s">
        <v>29</v>
      </c>
      <c r="C26" s="22">
        <v>0</v>
      </c>
      <c r="D26" s="22">
        <v>0</v>
      </c>
      <c r="E26" s="22">
        <f>D26-C26</f>
        <v>0</v>
      </c>
      <c r="F26" s="306">
        <f>IF(C26=0,0,E26/C26)</f>
        <v>0</v>
      </c>
      <c r="H26" s="314"/>
      <c r="I26" s="315"/>
      <c r="J26" s="315"/>
      <c r="K26" s="316"/>
    </row>
    <row r="27" spans="1:11" ht="24" customHeight="1" x14ac:dyDescent="0.25">
      <c r="A27" s="304">
        <v>3</v>
      </c>
      <c r="B27" s="305" t="s">
        <v>30</v>
      </c>
      <c r="C27" s="22">
        <v>0</v>
      </c>
      <c r="D27" s="22">
        <v>0</v>
      </c>
      <c r="E27" s="22">
        <f>D27-C27</f>
        <v>0</v>
      </c>
      <c r="F27" s="306">
        <f>IF(C27=0,0,E27/C27)</f>
        <v>0</v>
      </c>
    </row>
    <row r="28" spans="1:11" ht="35.1" customHeight="1" x14ac:dyDescent="0.25">
      <c r="A28" s="304">
        <v>4</v>
      </c>
      <c r="B28" s="305" t="s">
        <v>31</v>
      </c>
      <c r="C28" s="22">
        <v>132780000</v>
      </c>
      <c r="D28" s="22">
        <v>154734000</v>
      </c>
      <c r="E28" s="22">
        <f>D28-C28</f>
        <v>21954000</v>
      </c>
      <c r="F28" s="306">
        <f>IF(C28=0,0,E28/C28)</f>
        <v>0.16534116583822864</v>
      </c>
    </row>
    <row r="29" spans="1:11" ht="35.1" customHeight="1" x14ac:dyDescent="0.3">
      <c r="A29" s="307"/>
      <c r="B29" s="308" t="s">
        <v>32</v>
      </c>
      <c r="C29" s="309">
        <f>SUM(C25:C28)</f>
        <v>147343000</v>
      </c>
      <c r="D29" s="309">
        <f>SUM(D25:D28)</f>
        <v>169899000</v>
      </c>
      <c r="E29" s="309">
        <f>D29-C29</f>
        <v>22556000</v>
      </c>
      <c r="F29" s="310">
        <f>IF(C29=0,0,E29/C29)</f>
        <v>0.15308497858737774</v>
      </c>
    </row>
    <row r="30" spans="1:11" ht="15" customHeight="1" x14ac:dyDescent="0.25">
      <c r="A30" s="304"/>
      <c r="B30" s="291"/>
      <c r="C30" s="311"/>
      <c r="D30" s="311"/>
      <c r="E30" s="311"/>
      <c r="F30" s="306"/>
    </row>
    <row r="31" spans="1:11" ht="15" customHeight="1" x14ac:dyDescent="0.25">
      <c r="A31" s="304">
        <v>5</v>
      </c>
      <c r="B31" s="305" t="s">
        <v>33</v>
      </c>
      <c r="C31" s="22">
        <v>0</v>
      </c>
      <c r="D31" s="22">
        <v>0</v>
      </c>
      <c r="E31" s="22">
        <f>D31-C31</f>
        <v>0</v>
      </c>
      <c r="F31" s="306">
        <f>IF(C31=0,0,E31/C31)</f>
        <v>0</v>
      </c>
    </row>
    <row r="32" spans="1:11" ht="24" customHeight="1" x14ac:dyDescent="0.25">
      <c r="A32" s="304">
        <v>6</v>
      </c>
      <c r="B32" s="305" t="s">
        <v>34</v>
      </c>
      <c r="C32" s="22">
        <v>416915000</v>
      </c>
      <c r="D32" s="22">
        <v>285879000</v>
      </c>
      <c r="E32" s="22">
        <f>D32-C32</f>
        <v>-131036000</v>
      </c>
      <c r="F32" s="306">
        <f>IF(C32=0,0,E32/C32)</f>
        <v>-0.3142990777496612</v>
      </c>
    </row>
    <row r="33" spans="1:8" ht="24" customHeight="1" x14ac:dyDescent="0.25">
      <c r="A33" s="304">
        <v>7</v>
      </c>
      <c r="B33" s="305" t="s">
        <v>35</v>
      </c>
      <c r="C33" s="22">
        <v>34445000</v>
      </c>
      <c r="D33" s="22">
        <v>149847000</v>
      </c>
      <c r="E33" s="22">
        <f>D33-C33</f>
        <v>115402000</v>
      </c>
      <c r="F33" s="306">
        <f>IF(C33=0,0,E33/C33)</f>
        <v>3.3503266076353606</v>
      </c>
    </row>
    <row r="34" spans="1:8" ht="15" customHeight="1" x14ac:dyDescent="0.25">
      <c r="A34" s="304"/>
      <c r="B34" s="291"/>
      <c r="C34" s="311"/>
      <c r="D34" s="311"/>
      <c r="E34" s="311"/>
      <c r="F34" s="306"/>
    </row>
    <row r="35" spans="1:8" ht="24" customHeight="1" x14ac:dyDescent="0.3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5">
      <c r="A36" s="304">
        <v>1</v>
      </c>
      <c r="B36" s="305" t="s">
        <v>38</v>
      </c>
      <c r="C36" s="22">
        <v>1397769000</v>
      </c>
      <c r="D36" s="22">
        <v>1497472000</v>
      </c>
      <c r="E36" s="22">
        <f>D36-C36</f>
        <v>99703000</v>
      </c>
      <c r="F36" s="306">
        <f>IF(C36=0,0,E36/C36)</f>
        <v>7.1330098177882037E-2</v>
      </c>
    </row>
    <row r="37" spans="1:8" ht="24" customHeight="1" x14ac:dyDescent="0.25">
      <c r="A37" s="304">
        <v>2</v>
      </c>
      <c r="B37" s="305" t="s">
        <v>39</v>
      </c>
      <c r="C37" s="22">
        <v>824711000</v>
      </c>
      <c r="D37" s="22">
        <v>891315000</v>
      </c>
      <c r="E37" s="22">
        <f>D37-C37</f>
        <v>66604000</v>
      </c>
      <c r="F37" s="22">
        <f>IF(C37=0,0,E37/C37)</f>
        <v>8.0760411829113476E-2</v>
      </c>
    </row>
    <row r="38" spans="1:8" ht="24" customHeight="1" x14ac:dyDescent="0.3">
      <c r="A38" s="307"/>
      <c r="B38" s="308" t="s">
        <v>40</v>
      </c>
      <c r="C38" s="309">
        <f>C36-C37</f>
        <v>573058000</v>
      </c>
      <c r="D38" s="309">
        <f>D36-D37</f>
        <v>606157000</v>
      </c>
      <c r="E38" s="309">
        <f>D38-C38</f>
        <v>33099000</v>
      </c>
      <c r="F38" s="310">
        <f>IF(C38=0,0,E38/C38)</f>
        <v>5.7758551490425053E-2</v>
      </c>
    </row>
    <row r="39" spans="1:8" ht="15" customHeight="1" x14ac:dyDescent="0.25">
      <c r="A39" s="304"/>
      <c r="B39" s="291"/>
      <c r="C39" s="311"/>
      <c r="D39" s="311"/>
      <c r="E39" s="311"/>
      <c r="F39" s="306"/>
    </row>
    <row r="40" spans="1:8" ht="24" customHeight="1" x14ac:dyDescent="0.25">
      <c r="A40" s="304">
        <v>3</v>
      </c>
      <c r="B40" s="305" t="s">
        <v>41</v>
      </c>
      <c r="C40" s="22">
        <v>106873000</v>
      </c>
      <c r="D40" s="22">
        <v>78754000</v>
      </c>
      <c r="E40" s="22">
        <f>D40-C40</f>
        <v>-28119000</v>
      </c>
      <c r="F40" s="306">
        <f>IF(C40=0,0,E40/C40)</f>
        <v>-0.26310667801970561</v>
      </c>
    </row>
    <row r="41" spans="1:8" ht="24" customHeight="1" x14ac:dyDescent="0.3">
      <c r="A41" s="307"/>
      <c r="B41" s="308" t="s">
        <v>42</v>
      </c>
      <c r="C41" s="309">
        <f>+C38+C40</f>
        <v>679931000</v>
      </c>
      <c r="D41" s="309">
        <f>+D38+D40</f>
        <v>684911000</v>
      </c>
      <c r="E41" s="309">
        <f>D41-C41</f>
        <v>4980000</v>
      </c>
      <c r="F41" s="310">
        <f>IF(C41=0,0,E41/C41)</f>
        <v>7.3242726100148396E-3</v>
      </c>
    </row>
    <row r="42" spans="1:8" ht="24" customHeight="1" x14ac:dyDescent="0.25">
      <c r="A42" s="304"/>
      <c r="B42" s="305"/>
      <c r="C42" s="311"/>
      <c r="D42" s="311"/>
      <c r="E42" s="311"/>
      <c r="F42" s="306"/>
    </row>
    <row r="43" spans="1:8" ht="24" customHeight="1" x14ac:dyDescent="0.3">
      <c r="A43" s="307"/>
      <c r="B43" s="308" t="s">
        <v>43</v>
      </c>
      <c r="C43" s="309">
        <f>C22+C29+C31+C32+C33+C41</f>
        <v>1611942000</v>
      </c>
      <c r="D43" s="309">
        <f>D22+D29+D31+D32+D33+D41</f>
        <v>1598471000</v>
      </c>
      <c r="E43" s="309">
        <f>D43-C43</f>
        <v>-13471000</v>
      </c>
      <c r="F43" s="310">
        <f>IF(C43=0,0,E43/C43)</f>
        <v>-8.3570004379810194E-3</v>
      </c>
    </row>
    <row r="44" spans="1:8" ht="15.75" customHeight="1" x14ac:dyDescent="0.3">
      <c r="A44" s="317"/>
      <c r="B44" s="289"/>
      <c r="C44" s="36"/>
      <c r="D44" s="36"/>
      <c r="E44" s="37"/>
      <c r="F44" s="291"/>
    </row>
    <row r="45" spans="1:8" s="293" customFormat="1" ht="15.75" customHeight="1" x14ac:dyDescent="0.3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3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3">
      <c r="A47" s="18"/>
      <c r="B47" s="294"/>
      <c r="C47" s="39"/>
      <c r="D47" s="39"/>
      <c r="E47" s="40"/>
      <c r="F47" s="18"/>
    </row>
    <row r="48" spans="1:8" ht="15.75" customHeight="1" x14ac:dyDescent="0.3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5">
      <c r="A49" s="304">
        <v>1</v>
      </c>
      <c r="B49" s="305" t="s">
        <v>47</v>
      </c>
      <c r="C49" s="22">
        <v>69955000</v>
      </c>
      <c r="D49" s="22">
        <v>65526000</v>
      </c>
      <c r="E49" s="22">
        <f t="shared" ref="E49:E56" si="2">D49-C49</f>
        <v>-4429000</v>
      </c>
      <c r="F49" s="306">
        <f t="shared" ref="F49:F56" si="3">IF(C49=0,0,E49/C49)</f>
        <v>-6.3312129225930949E-2</v>
      </c>
    </row>
    <row r="50" spans="1:6" ht="24" customHeight="1" x14ac:dyDescent="0.25">
      <c r="A50" s="304">
        <f t="shared" ref="A50:A55" si="4">1+A49</f>
        <v>2</v>
      </c>
      <c r="B50" s="305" t="s">
        <v>48</v>
      </c>
      <c r="C50" s="22">
        <v>69290000</v>
      </c>
      <c r="D50" s="22">
        <v>54994000</v>
      </c>
      <c r="E50" s="22">
        <f t="shared" si="2"/>
        <v>-14296000</v>
      </c>
      <c r="F50" s="306">
        <f t="shared" si="3"/>
        <v>-0.20632125847885699</v>
      </c>
    </row>
    <row r="51" spans="1:6" ht="24" customHeight="1" x14ac:dyDescent="0.25">
      <c r="A51" s="304">
        <f t="shared" si="4"/>
        <v>3</v>
      </c>
      <c r="B51" s="305" t="s">
        <v>49</v>
      </c>
      <c r="C51" s="22">
        <v>46275000</v>
      </c>
      <c r="D51" s="22">
        <v>32175000</v>
      </c>
      <c r="E51" s="22">
        <f t="shared" si="2"/>
        <v>-14100000</v>
      </c>
      <c r="F51" s="306">
        <f t="shared" si="3"/>
        <v>-0.3047001620745543</v>
      </c>
    </row>
    <row r="52" spans="1:6" ht="24" customHeight="1" x14ac:dyDescent="0.25">
      <c r="A52" s="304">
        <f t="shared" si="4"/>
        <v>4</v>
      </c>
      <c r="B52" s="305" t="s">
        <v>50</v>
      </c>
      <c r="C52" s="22">
        <v>0</v>
      </c>
      <c r="D52" s="22">
        <v>0</v>
      </c>
      <c r="E52" s="22">
        <f t="shared" si="2"/>
        <v>0</v>
      </c>
      <c r="F52" s="306">
        <f t="shared" si="3"/>
        <v>0</v>
      </c>
    </row>
    <row r="53" spans="1:6" ht="24" customHeight="1" x14ac:dyDescent="0.25">
      <c r="A53" s="304">
        <f t="shared" si="4"/>
        <v>5</v>
      </c>
      <c r="B53" s="305" t="s">
        <v>51</v>
      </c>
      <c r="C53" s="22">
        <v>9227000</v>
      </c>
      <c r="D53" s="22">
        <v>9216000</v>
      </c>
      <c r="E53" s="22">
        <f t="shared" si="2"/>
        <v>-11000</v>
      </c>
      <c r="F53" s="306">
        <f t="shared" si="3"/>
        <v>-1.1921534626639211E-3</v>
      </c>
    </row>
    <row r="54" spans="1:6" ht="24" customHeight="1" x14ac:dyDescent="0.25">
      <c r="A54" s="304">
        <f t="shared" si="4"/>
        <v>6</v>
      </c>
      <c r="B54" s="305" t="s">
        <v>52</v>
      </c>
      <c r="C54" s="22">
        <v>0</v>
      </c>
      <c r="D54" s="22">
        <v>0</v>
      </c>
      <c r="E54" s="22">
        <f t="shared" si="2"/>
        <v>0</v>
      </c>
      <c r="F54" s="306">
        <f t="shared" si="3"/>
        <v>0</v>
      </c>
    </row>
    <row r="55" spans="1:6" ht="24" customHeight="1" x14ac:dyDescent="0.25">
      <c r="A55" s="304">
        <f t="shared" si="4"/>
        <v>7</v>
      </c>
      <c r="B55" s="305" t="s">
        <v>53</v>
      </c>
      <c r="C55" s="22">
        <v>0</v>
      </c>
      <c r="D55" s="22">
        <v>7105000</v>
      </c>
      <c r="E55" s="22">
        <f t="shared" si="2"/>
        <v>7105000</v>
      </c>
      <c r="F55" s="306">
        <f t="shared" si="3"/>
        <v>0</v>
      </c>
    </row>
    <row r="56" spans="1:6" ht="24" customHeight="1" x14ac:dyDescent="0.3">
      <c r="A56" s="307"/>
      <c r="B56" s="308" t="s">
        <v>54</v>
      </c>
      <c r="C56" s="309">
        <f>SUM(C49:C55)</f>
        <v>194747000</v>
      </c>
      <c r="D56" s="309">
        <f>SUM(D49:D55)</f>
        <v>169016000</v>
      </c>
      <c r="E56" s="309">
        <f t="shared" si="2"/>
        <v>-25731000</v>
      </c>
      <c r="F56" s="310">
        <f t="shared" si="3"/>
        <v>-0.13212527022239109</v>
      </c>
    </row>
    <row r="57" spans="1:6" ht="24" customHeight="1" x14ac:dyDescent="0.3">
      <c r="A57" s="304"/>
      <c r="B57" s="308"/>
      <c r="C57" s="42"/>
      <c r="D57" s="42"/>
      <c r="E57" s="42"/>
      <c r="F57" s="310"/>
    </row>
    <row r="58" spans="1:6" ht="15.75" customHeight="1" x14ac:dyDescent="0.3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5">
      <c r="A59" s="304">
        <v>1</v>
      </c>
      <c r="B59" s="305" t="s">
        <v>56</v>
      </c>
      <c r="C59" s="22">
        <v>0</v>
      </c>
      <c r="D59" s="22">
        <v>0</v>
      </c>
      <c r="E59" s="22">
        <f>D59-C59</f>
        <v>0</v>
      </c>
      <c r="F59" s="306">
        <f>IF(C59=0,0,E59/C59)</f>
        <v>0</v>
      </c>
    </row>
    <row r="60" spans="1:6" ht="24" customHeight="1" x14ac:dyDescent="0.25">
      <c r="A60" s="304">
        <v>2</v>
      </c>
      <c r="B60" s="305" t="s">
        <v>57</v>
      </c>
      <c r="C60" s="22">
        <v>354959000</v>
      </c>
      <c r="D60" s="22">
        <v>345568000</v>
      </c>
      <c r="E60" s="22">
        <f>D60-C60</f>
        <v>-9391000</v>
      </c>
      <c r="F60" s="306">
        <f>IF(C60=0,0,E60/C60)</f>
        <v>-2.645657667505261E-2</v>
      </c>
    </row>
    <row r="61" spans="1:6" ht="24" customHeight="1" x14ac:dyDescent="0.3">
      <c r="A61" s="307"/>
      <c r="B61" s="308" t="s">
        <v>58</v>
      </c>
      <c r="C61" s="309">
        <f>SUM(C59:C60)</f>
        <v>354959000</v>
      </c>
      <c r="D61" s="309">
        <f>SUM(D59:D60)</f>
        <v>345568000</v>
      </c>
      <c r="E61" s="309">
        <f>D61-C61</f>
        <v>-9391000</v>
      </c>
      <c r="F61" s="310">
        <f>IF(C61=0,0,E61/C61)</f>
        <v>-2.645657667505261E-2</v>
      </c>
    </row>
    <row r="62" spans="1:6" ht="15" customHeight="1" x14ac:dyDescent="0.25">
      <c r="A62" s="304"/>
      <c r="B62" s="291"/>
      <c r="C62" s="311"/>
      <c r="D62" s="311"/>
      <c r="E62" s="311"/>
      <c r="F62" s="306"/>
    </row>
    <row r="63" spans="1:6" ht="24" customHeight="1" x14ac:dyDescent="0.25">
      <c r="A63" s="304">
        <v>3</v>
      </c>
      <c r="B63" s="305" t="s">
        <v>59</v>
      </c>
      <c r="C63" s="22">
        <v>227988000</v>
      </c>
      <c r="D63" s="22">
        <v>264662000</v>
      </c>
      <c r="E63" s="22">
        <f>D63-C63</f>
        <v>36674000</v>
      </c>
      <c r="F63" s="306">
        <f>IF(C63=0,0,E63/C63)</f>
        <v>0.16085934347421793</v>
      </c>
    </row>
    <row r="64" spans="1:6" ht="24" customHeight="1" x14ac:dyDescent="0.25">
      <c r="A64" s="304">
        <v>4</v>
      </c>
      <c r="B64" s="305" t="s">
        <v>60</v>
      </c>
      <c r="C64" s="22">
        <v>78958000</v>
      </c>
      <c r="D64" s="22">
        <v>74660000</v>
      </c>
      <c r="E64" s="22">
        <f>D64-C64</f>
        <v>-4298000</v>
      </c>
      <c r="F64" s="306">
        <f>IF(C64=0,0,E64/C64)</f>
        <v>-5.4434002887611133E-2</v>
      </c>
    </row>
    <row r="65" spans="1:6" ht="24" customHeight="1" x14ac:dyDescent="0.3">
      <c r="A65" s="307"/>
      <c r="B65" s="308" t="s">
        <v>61</v>
      </c>
      <c r="C65" s="309">
        <f>SUM(C61:C64)</f>
        <v>661905000</v>
      </c>
      <c r="D65" s="309">
        <f>SUM(D61:D64)</f>
        <v>684890000</v>
      </c>
      <c r="E65" s="309">
        <f>D65-C65</f>
        <v>22985000</v>
      </c>
      <c r="F65" s="310">
        <f>IF(C65=0,0,E65/C65)</f>
        <v>3.4725527077148537E-2</v>
      </c>
    </row>
    <row r="66" spans="1:6" ht="24" customHeight="1" x14ac:dyDescent="0.25">
      <c r="B66" s="291"/>
      <c r="C66" s="311"/>
      <c r="D66" s="311"/>
      <c r="E66" s="311"/>
      <c r="F66" s="306"/>
    </row>
    <row r="67" spans="1:6" s="322" customFormat="1" ht="35.1" customHeight="1" x14ac:dyDescent="0.25">
      <c r="A67" s="319">
        <v>5</v>
      </c>
      <c r="B67" s="320" t="s">
        <v>62</v>
      </c>
      <c r="C67" s="22">
        <v>0</v>
      </c>
      <c r="D67" s="22">
        <v>0</v>
      </c>
      <c r="E67" s="22">
        <f>D67-C67</f>
        <v>0</v>
      </c>
      <c r="F67" s="321">
        <f>IF(C67=0,0,E67/C67)</f>
        <v>0</v>
      </c>
    </row>
    <row r="68" spans="1:6" ht="15" customHeight="1" x14ac:dyDescent="0.25">
      <c r="B68" s="291"/>
      <c r="C68" s="311"/>
      <c r="D68" s="311"/>
      <c r="E68" s="311"/>
      <c r="F68" s="306"/>
    </row>
    <row r="69" spans="1:6" ht="15.75" customHeight="1" x14ac:dyDescent="0.3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5">
      <c r="A70" s="304">
        <v>1</v>
      </c>
      <c r="B70" s="305" t="s">
        <v>64</v>
      </c>
      <c r="C70" s="22">
        <v>603321000</v>
      </c>
      <c r="D70" s="22">
        <v>613859000</v>
      </c>
      <c r="E70" s="22">
        <f>D70-C70</f>
        <v>10538000</v>
      </c>
      <c r="F70" s="306">
        <f>IF(C70=0,0,E70/C70)</f>
        <v>1.7466655395718032E-2</v>
      </c>
    </row>
    <row r="71" spans="1:6" ht="24" customHeight="1" x14ac:dyDescent="0.25">
      <c r="A71" s="304">
        <v>2</v>
      </c>
      <c r="B71" s="305" t="s">
        <v>65</v>
      </c>
      <c r="C71" s="22">
        <v>107926000</v>
      </c>
      <c r="D71" s="22">
        <v>85290000</v>
      </c>
      <c r="E71" s="22">
        <f>D71-C71</f>
        <v>-22636000</v>
      </c>
      <c r="F71" s="306">
        <f>IF(C71=0,0,E71/C71)</f>
        <v>-0.2097363007986954</v>
      </c>
    </row>
    <row r="72" spans="1:6" ht="24" customHeight="1" x14ac:dyDescent="0.25">
      <c r="A72" s="304">
        <v>3</v>
      </c>
      <c r="B72" s="305" t="s">
        <v>66</v>
      </c>
      <c r="C72" s="22">
        <v>44043000</v>
      </c>
      <c r="D72" s="22">
        <v>45416000</v>
      </c>
      <c r="E72" s="22">
        <f>D72-C72</f>
        <v>1373000</v>
      </c>
      <c r="F72" s="306">
        <f>IF(C72=0,0,E72/C72)</f>
        <v>3.1174079876484344E-2</v>
      </c>
    </row>
    <row r="73" spans="1:6" ht="24" customHeight="1" x14ac:dyDescent="0.3">
      <c r="A73" s="304"/>
      <c r="B73" s="308" t="s">
        <v>67</v>
      </c>
      <c r="C73" s="309">
        <f>SUM(C70:C72)</f>
        <v>755290000</v>
      </c>
      <c r="D73" s="309">
        <f>SUM(D70:D72)</f>
        <v>744565000</v>
      </c>
      <c r="E73" s="309">
        <f>D73-C73</f>
        <v>-10725000</v>
      </c>
      <c r="F73" s="310">
        <f>IF(C73=0,0,E73/C73)</f>
        <v>-1.4199843768618676E-2</v>
      </c>
    </row>
    <row r="74" spans="1:6" ht="24" customHeight="1" x14ac:dyDescent="0.3">
      <c r="B74" s="308"/>
      <c r="C74" s="311"/>
      <c r="D74" s="311"/>
      <c r="E74" s="311"/>
      <c r="F74" s="306"/>
    </row>
    <row r="75" spans="1:6" ht="15.75" customHeight="1" x14ac:dyDescent="0.3">
      <c r="A75" s="304"/>
      <c r="B75" s="308" t="s">
        <v>68</v>
      </c>
      <c r="C75" s="309">
        <f>C56+C65+C67+C73</f>
        <v>1611942000</v>
      </c>
      <c r="D75" s="309">
        <f>D56+D65+D67+D73</f>
        <v>1598471000</v>
      </c>
      <c r="E75" s="309">
        <f>D75-C75</f>
        <v>-13471000</v>
      </c>
      <c r="F75" s="310">
        <f>IF(C75=0,0,E75/C75)</f>
        <v>-8.3570004379810194E-3</v>
      </c>
    </row>
    <row r="76" spans="1:6" ht="24" customHeight="1" x14ac:dyDescent="0.3">
      <c r="B76" s="308"/>
      <c r="C76" s="42"/>
      <c r="D76" s="42"/>
      <c r="E76" s="42"/>
      <c r="F76" s="310"/>
    </row>
    <row r="77" spans="1:6" ht="24" customHeight="1" x14ac:dyDescent="0.3">
      <c r="A77" s="312"/>
      <c r="B77" s="47"/>
      <c r="C77" s="309"/>
      <c r="D77" s="309"/>
      <c r="E77" s="309"/>
      <c r="F77" s="310"/>
    </row>
    <row r="78" spans="1:6" ht="24" customHeight="1" x14ac:dyDescent="0.3">
      <c r="A78" s="304"/>
      <c r="B78" s="50"/>
      <c r="C78" s="49"/>
      <c r="D78" s="49"/>
      <c r="E78" s="49"/>
      <c r="F78" s="310"/>
    </row>
    <row r="79" spans="1:6" ht="47.25" customHeight="1" x14ac:dyDescent="0.3">
      <c r="A79" s="304"/>
      <c r="B79" s="50"/>
      <c r="C79" s="323"/>
      <c r="D79" s="323"/>
      <c r="E79" s="324"/>
      <c r="F79" s="310"/>
    </row>
    <row r="80" spans="1:6" ht="24" customHeight="1" x14ac:dyDescent="0.3">
      <c r="A80" s="304"/>
      <c r="B80" s="308"/>
      <c r="C80" s="309"/>
      <c r="D80" s="309"/>
      <c r="E80" s="325"/>
      <c r="F80" s="310"/>
    </row>
    <row r="81" spans="1:6" ht="24" customHeight="1" x14ac:dyDescent="0.3">
      <c r="A81" s="304"/>
      <c r="B81" s="308"/>
      <c r="C81" s="309"/>
      <c r="D81" s="309"/>
      <c r="E81" s="325"/>
      <c r="F81" s="310"/>
    </row>
    <row r="82" spans="1:6" ht="24" customHeight="1" x14ac:dyDescent="0.25">
      <c r="A82" s="304"/>
      <c r="B82" s="304"/>
      <c r="C82" s="326"/>
      <c r="D82" s="291"/>
      <c r="E82" s="291"/>
      <c r="F82" s="291"/>
    </row>
    <row r="83" spans="1:6" ht="12.75" customHeight="1" x14ac:dyDescent="0.25"/>
    <row r="84" spans="1:6" ht="12.75" customHeight="1" x14ac:dyDescent="0.25"/>
    <row r="85" spans="1:6" ht="12.75" customHeight="1" x14ac:dyDescent="0.25"/>
    <row r="86" spans="1:6" ht="12.75" customHeight="1" x14ac:dyDescent="0.25"/>
    <row r="87" spans="1:6" ht="12.75" customHeight="1" x14ac:dyDescent="0.25"/>
    <row r="88" spans="1:6" ht="12.75" customHeight="1" x14ac:dyDescent="0.25"/>
    <row r="89" spans="1:6" ht="12.75" customHeight="1" x14ac:dyDescent="0.25"/>
    <row r="90" spans="1:6" ht="12.75" customHeight="1" x14ac:dyDescent="0.25"/>
    <row r="91" spans="1:6" ht="12.75" customHeight="1" x14ac:dyDescent="0.25"/>
    <row r="92" spans="1:6" ht="12.75" customHeight="1" x14ac:dyDescent="0.25"/>
    <row r="93" spans="1:6" ht="12.75" customHeight="1" x14ac:dyDescent="0.25"/>
    <row r="94" spans="1:6" ht="12.75" customHeight="1" x14ac:dyDescent="0.25"/>
    <row r="95" spans="1:6" ht="12.75" customHeight="1" x14ac:dyDescent="0.25"/>
    <row r="96" spans="1:6" ht="12.75" customHeight="1" x14ac:dyDescent="0.25"/>
    <row r="97" spans="7:8" ht="12.75" customHeight="1" x14ac:dyDescent="0.25"/>
    <row r="98" spans="7:8" ht="12.75" customHeight="1" x14ac:dyDescent="0.25"/>
    <row r="99" spans="7:8" ht="12.75" customHeight="1" x14ac:dyDescent="0.25"/>
    <row r="100" spans="7:8" ht="12.75" customHeight="1" x14ac:dyDescent="0.25">
      <c r="G100" s="293"/>
      <c r="H100" s="298"/>
    </row>
    <row r="101" spans="7:8" ht="12.75" customHeight="1" x14ac:dyDescent="0.25"/>
    <row r="102" spans="7:8" ht="12.75" customHeight="1" x14ac:dyDescent="0.25"/>
    <row r="103" spans="7:8" ht="12.75" customHeight="1" x14ac:dyDescent="0.25"/>
    <row r="104" spans="7:8" ht="12.75" customHeight="1" x14ac:dyDescent="0.25"/>
    <row r="105" spans="7:8" ht="12.75" customHeight="1" x14ac:dyDescent="0.25"/>
    <row r="106" spans="7:8" ht="12.75" customHeight="1" x14ac:dyDescent="0.25"/>
    <row r="107" spans="7:8" ht="12.75" customHeight="1" x14ac:dyDescent="0.25"/>
    <row r="108" spans="7:8" ht="12.75" customHeight="1" x14ac:dyDescent="0.25"/>
    <row r="109" spans="7:8" ht="12.75" customHeight="1" x14ac:dyDescent="0.25"/>
    <row r="110" spans="7:8" ht="12.75" customHeight="1" x14ac:dyDescent="0.25"/>
    <row r="111" spans="7:8" ht="12.75" customHeight="1" x14ac:dyDescent="0.25"/>
    <row r="112" spans="7:8" ht="12.75" customHeight="1" x14ac:dyDescent="0.25"/>
    <row r="113" spans="7:8" ht="12.75" customHeight="1" x14ac:dyDescent="0.25"/>
    <row r="114" spans="7:8" ht="12.75" customHeight="1" x14ac:dyDescent="0.25"/>
    <row r="115" spans="7:8" ht="12.75" customHeight="1" x14ac:dyDescent="0.25"/>
    <row r="116" spans="7:8" ht="12.75" customHeight="1" x14ac:dyDescent="0.25"/>
    <row r="117" spans="7:8" ht="12.75" customHeight="1" x14ac:dyDescent="0.25"/>
    <row r="118" spans="7:8" ht="12.75" customHeight="1" x14ac:dyDescent="0.25">
      <c r="G118" s="293"/>
      <c r="H118" s="298"/>
    </row>
    <row r="119" spans="7:8" ht="12.75" customHeight="1" x14ac:dyDescent="0.25"/>
    <row r="120" spans="7:8" ht="12.75" customHeight="1" x14ac:dyDescent="0.25"/>
    <row r="121" spans="7:8" ht="12.75" customHeight="1" x14ac:dyDescent="0.25"/>
    <row r="122" spans="7:8" ht="12.75" customHeight="1" x14ac:dyDescent="0.25"/>
    <row r="123" spans="7:8" ht="14.25" customHeight="1" x14ac:dyDescent="0.25"/>
    <row r="124" spans="7:8" ht="15.75" customHeight="1" x14ac:dyDescent="0.25"/>
    <row r="125" spans="7:8" ht="9.75" customHeight="1" x14ac:dyDescent="0.25"/>
    <row r="126" spans="7:8" ht="15.75" customHeight="1" x14ac:dyDescent="0.25"/>
    <row r="127" spans="7:8" ht="12.75" customHeight="1" x14ac:dyDescent="0.25"/>
    <row r="128" spans="7:8" ht="12.75" customHeight="1" x14ac:dyDescent="0.25">
      <c r="G128" s="293"/>
      <c r="H128" s="298"/>
    </row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9" fitToHeight="0" orientation="portrait" horizontalDpi="1200" verticalDpi="1200" r:id="rId1"/>
  <headerFooter>
    <oddHeader>&amp;LOFFICE OF HEALTH CARE ACCESS&amp;CTWELVE MONTHS ACTUAL FILING&amp;RWESTERN CONNECTICUT HEALTH NETWORK , INC.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zoomScale="75" zoomScaleSheetLayoutView="75" workbookViewId="0">
      <selection sqref="A1:F1"/>
    </sheetView>
  </sheetViews>
  <sheetFormatPr defaultColWidth="9.109375" defaultRowHeight="23.1" customHeight="1" x14ac:dyDescent="0.25"/>
  <cols>
    <col min="1" max="1" width="6.6640625" style="56" customWidth="1"/>
    <col min="2" max="2" width="53.44140625" style="56" customWidth="1"/>
    <col min="3" max="4" width="18.88671875" style="56" customWidth="1"/>
    <col min="5" max="6" width="18.88671875" style="225" customWidth="1"/>
    <col min="7" max="7" width="12.6640625" style="56" customWidth="1"/>
    <col min="8" max="16384" width="9.109375" style="56"/>
  </cols>
  <sheetData>
    <row r="1" spans="1:7" ht="23.1" customHeight="1" x14ac:dyDescent="0.3">
      <c r="A1" s="766" t="s">
        <v>500</v>
      </c>
      <c r="B1" s="767"/>
      <c r="C1" s="767"/>
      <c r="D1" s="767"/>
      <c r="E1" s="767"/>
      <c r="F1" s="768"/>
    </row>
    <row r="2" spans="1:7" ht="23.1" customHeight="1" x14ac:dyDescent="0.3">
      <c r="A2" s="766" t="s">
        <v>1</v>
      </c>
      <c r="B2" s="767"/>
      <c r="C2" s="767"/>
      <c r="D2" s="767"/>
      <c r="E2" s="767"/>
      <c r="F2" s="768"/>
    </row>
    <row r="3" spans="1:7" ht="23.1" customHeight="1" x14ac:dyDescent="0.3">
      <c r="A3" s="766" t="s">
        <v>314</v>
      </c>
      <c r="B3" s="767"/>
      <c r="C3" s="767"/>
      <c r="D3" s="767"/>
      <c r="E3" s="767"/>
      <c r="F3" s="768"/>
    </row>
    <row r="4" spans="1:7" ht="23.1" customHeight="1" x14ac:dyDescent="0.3">
      <c r="A4" s="766" t="s">
        <v>502</v>
      </c>
      <c r="B4" s="767"/>
      <c r="C4" s="767"/>
      <c r="D4" s="767"/>
      <c r="E4" s="767"/>
      <c r="F4" s="768"/>
    </row>
    <row r="5" spans="1:7" ht="23.1" customHeight="1" x14ac:dyDescent="0.3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3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3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5">
      <c r="A8" s="70"/>
      <c r="B8" s="70"/>
      <c r="C8" s="70"/>
      <c r="D8" s="70"/>
      <c r="E8" s="222"/>
      <c r="F8" s="222"/>
    </row>
    <row r="9" spans="1:7" ht="15.75" customHeight="1" x14ac:dyDescent="0.3">
      <c r="A9" s="71"/>
      <c r="B9" s="72"/>
      <c r="C9" s="68"/>
      <c r="D9" s="68"/>
      <c r="E9" s="73"/>
      <c r="F9" s="73"/>
    </row>
    <row r="10" spans="1:7" ht="15.75" customHeight="1" x14ac:dyDescent="0.3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5">
      <c r="A11" s="74">
        <v>1</v>
      </c>
      <c r="B11" s="75" t="s">
        <v>71</v>
      </c>
      <c r="C11" s="76">
        <v>2865780000</v>
      </c>
      <c r="D11" s="76">
        <v>3038692000</v>
      </c>
      <c r="E11" s="76">
        <f t="shared" ref="E11:E20" si="0">D11-C11</f>
        <v>172912000</v>
      </c>
      <c r="F11" s="77">
        <f t="shared" ref="F11:F20" si="1">IF(C11=0,0,E11/C11)</f>
        <v>6.0336801848013454E-2</v>
      </c>
    </row>
    <row r="12" spans="1:7" ht="23.1" customHeight="1" x14ac:dyDescent="0.25">
      <c r="A12" s="74">
        <v>2</v>
      </c>
      <c r="B12" s="75" t="s">
        <v>72</v>
      </c>
      <c r="C12" s="76">
        <v>1669573000</v>
      </c>
      <c r="D12" s="76">
        <v>1773802000</v>
      </c>
      <c r="E12" s="76">
        <f t="shared" si="0"/>
        <v>104229000</v>
      </c>
      <c r="F12" s="77">
        <f t="shared" si="1"/>
        <v>6.2428537116975422E-2</v>
      </c>
    </row>
    <row r="13" spans="1:7" ht="23.1" customHeight="1" x14ac:dyDescent="0.25">
      <c r="A13" s="74">
        <v>3</v>
      </c>
      <c r="B13" s="75" t="s">
        <v>73</v>
      </c>
      <c r="C13" s="76">
        <v>33743000</v>
      </c>
      <c r="D13" s="76">
        <v>48617000</v>
      </c>
      <c r="E13" s="76">
        <f t="shared" si="0"/>
        <v>14874000</v>
      </c>
      <c r="F13" s="77">
        <f t="shared" si="1"/>
        <v>0.44080253682245207</v>
      </c>
    </row>
    <row r="14" spans="1:7" ht="23.1" customHeight="1" x14ac:dyDescent="0.25">
      <c r="A14" s="74">
        <v>4</v>
      </c>
      <c r="B14" s="75" t="s">
        <v>74</v>
      </c>
      <c r="C14" s="76">
        <v>0</v>
      </c>
      <c r="D14" s="76">
        <v>0</v>
      </c>
      <c r="E14" s="76">
        <f t="shared" si="0"/>
        <v>0</v>
      </c>
      <c r="F14" s="77">
        <f t="shared" si="1"/>
        <v>0</v>
      </c>
      <c r="G14" s="65"/>
    </row>
    <row r="15" spans="1:7" ht="23.1" customHeight="1" x14ac:dyDescent="0.3">
      <c r="A15" s="71"/>
      <c r="B15" s="78" t="s">
        <v>75</v>
      </c>
      <c r="C15" s="79">
        <f>C11-C12-C13-C14</f>
        <v>1162464000</v>
      </c>
      <c r="D15" s="79">
        <f>D11-D12-D13-D14</f>
        <v>1216273000</v>
      </c>
      <c r="E15" s="79">
        <f t="shared" si="0"/>
        <v>53809000</v>
      </c>
      <c r="F15" s="80">
        <f t="shared" si="1"/>
        <v>4.6288745285875517E-2</v>
      </c>
    </row>
    <row r="16" spans="1:7" ht="23.1" customHeight="1" x14ac:dyDescent="0.25">
      <c r="A16" s="74">
        <v>5</v>
      </c>
      <c r="B16" s="75" t="s">
        <v>76</v>
      </c>
      <c r="C16" s="76">
        <v>38642000</v>
      </c>
      <c r="D16" s="76">
        <v>34822000</v>
      </c>
      <c r="E16" s="76">
        <f t="shared" si="0"/>
        <v>-3820000</v>
      </c>
      <c r="F16" s="77">
        <f t="shared" si="1"/>
        <v>-9.8856166865069095E-2</v>
      </c>
      <c r="G16" s="65"/>
    </row>
    <row r="17" spans="1:7" ht="31.5" customHeight="1" x14ac:dyDescent="0.3">
      <c r="A17" s="71"/>
      <c r="B17" s="81" t="s">
        <v>77</v>
      </c>
      <c r="C17" s="79">
        <f>C15-C16</f>
        <v>1123822000</v>
      </c>
      <c r="D17" s="79">
        <f>D15-D16</f>
        <v>1181451000</v>
      </c>
      <c r="E17" s="79">
        <f t="shared" si="0"/>
        <v>57629000</v>
      </c>
      <c r="F17" s="80">
        <f t="shared" si="1"/>
        <v>5.1279473083815766E-2</v>
      </c>
    </row>
    <row r="18" spans="1:7" ht="23.1" customHeight="1" x14ac:dyDescent="0.25">
      <c r="A18" s="74">
        <v>6</v>
      </c>
      <c r="B18" s="75" t="s">
        <v>78</v>
      </c>
      <c r="C18" s="76">
        <v>25524000</v>
      </c>
      <c r="D18" s="76">
        <v>30367000</v>
      </c>
      <c r="E18" s="76">
        <f t="shared" si="0"/>
        <v>4843000</v>
      </c>
      <c r="F18" s="77">
        <f t="shared" si="1"/>
        <v>0.18974298699263439</v>
      </c>
      <c r="G18" s="65"/>
    </row>
    <row r="19" spans="1:7" ht="33" customHeight="1" x14ac:dyDescent="0.25">
      <c r="A19" s="74">
        <v>7</v>
      </c>
      <c r="B19" s="82" t="s">
        <v>79</v>
      </c>
      <c r="C19" s="76">
        <v>8093000</v>
      </c>
      <c r="D19" s="76">
        <v>8144000</v>
      </c>
      <c r="E19" s="76">
        <f t="shared" si="0"/>
        <v>51000</v>
      </c>
      <c r="F19" s="77">
        <f t="shared" si="1"/>
        <v>6.3017422463857659E-3</v>
      </c>
      <c r="G19" s="65"/>
    </row>
    <row r="20" spans="1:7" ht="23.1" customHeight="1" x14ac:dyDescent="0.3">
      <c r="A20" s="71"/>
      <c r="B20" s="78" t="s">
        <v>80</v>
      </c>
      <c r="C20" s="79">
        <f>SUM(C17:C19)</f>
        <v>1157439000</v>
      </c>
      <c r="D20" s="79">
        <f>SUM(D17:D19)</f>
        <v>1219962000</v>
      </c>
      <c r="E20" s="79">
        <f t="shared" si="0"/>
        <v>62523000</v>
      </c>
      <c r="F20" s="80">
        <f t="shared" si="1"/>
        <v>5.401839751382146E-2</v>
      </c>
    </row>
    <row r="21" spans="1:7" ht="15.75" customHeight="1" x14ac:dyDescent="0.3">
      <c r="A21" s="74"/>
      <c r="B21" s="78"/>
      <c r="C21" s="76"/>
      <c r="D21" s="76"/>
      <c r="E21" s="76"/>
      <c r="F21" s="77"/>
    </row>
    <row r="22" spans="1:7" ht="23.1" customHeight="1" x14ac:dyDescent="0.3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5">
      <c r="A23" s="74">
        <v>1</v>
      </c>
      <c r="B23" s="75" t="s">
        <v>82</v>
      </c>
      <c r="C23" s="76">
        <v>532907000</v>
      </c>
      <c r="D23" s="76">
        <v>554805000</v>
      </c>
      <c r="E23" s="76">
        <f t="shared" ref="E23:E32" si="2">D23-C23</f>
        <v>21898000</v>
      </c>
      <c r="F23" s="77">
        <f t="shared" ref="F23:F32" si="3">IF(C23=0,0,E23/C23)</f>
        <v>4.1091597595828165E-2</v>
      </c>
    </row>
    <row r="24" spans="1:7" ht="23.1" customHeight="1" x14ac:dyDescent="0.25">
      <c r="A24" s="74">
        <v>2</v>
      </c>
      <c r="B24" s="75" t="s">
        <v>83</v>
      </c>
      <c r="C24" s="76">
        <v>127826000</v>
      </c>
      <c r="D24" s="76">
        <v>130687000</v>
      </c>
      <c r="E24" s="76">
        <f t="shared" si="2"/>
        <v>2861000</v>
      </c>
      <c r="F24" s="77">
        <f t="shared" si="3"/>
        <v>2.2381988014957832E-2</v>
      </c>
    </row>
    <row r="25" spans="1:7" ht="23.1" customHeight="1" x14ac:dyDescent="0.25">
      <c r="A25" s="74">
        <v>3</v>
      </c>
      <c r="B25" s="75" t="s">
        <v>84</v>
      </c>
      <c r="C25" s="76">
        <v>24022000</v>
      </c>
      <c r="D25" s="76">
        <v>19696000</v>
      </c>
      <c r="E25" s="76">
        <f t="shared" si="2"/>
        <v>-4326000</v>
      </c>
      <c r="F25" s="77">
        <f t="shared" si="3"/>
        <v>-0.18008492215469155</v>
      </c>
      <c r="G25" s="65"/>
    </row>
    <row r="26" spans="1:7" ht="23.1" customHeight="1" x14ac:dyDescent="0.25">
      <c r="A26" s="74">
        <v>4</v>
      </c>
      <c r="B26" s="75" t="s">
        <v>85</v>
      </c>
      <c r="C26" s="76">
        <v>152939000</v>
      </c>
      <c r="D26" s="76">
        <v>172329000</v>
      </c>
      <c r="E26" s="76">
        <f t="shared" si="2"/>
        <v>19390000</v>
      </c>
      <c r="F26" s="77">
        <f t="shared" si="3"/>
        <v>0.1267825734443144</v>
      </c>
    </row>
    <row r="27" spans="1:7" ht="23.1" customHeight="1" x14ac:dyDescent="0.25">
      <c r="A27" s="74">
        <v>5</v>
      </c>
      <c r="B27" s="75" t="s">
        <v>86</v>
      </c>
      <c r="C27" s="76">
        <v>68744000</v>
      </c>
      <c r="D27" s="76">
        <v>74054000</v>
      </c>
      <c r="E27" s="76">
        <f t="shared" si="2"/>
        <v>5310000</v>
      </c>
      <c r="F27" s="77">
        <f t="shared" si="3"/>
        <v>7.7243104852787153E-2</v>
      </c>
    </row>
    <row r="28" spans="1:7" ht="23.1" customHeight="1" x14ac:dyDescent="0.25">
      <c r="A28" s="74">
        <v>6</v>
      </c>
      <c r="B28" s="75" t="s">
        <v>87</v>
      </c>
      <c r="C28" s="76">
        <v>0</v>
      </c>
      <c r="D28" s="76">
        <v>0</v>
      </c>
      <c r="E28" s="76">
        <f t="shared" si="2"/>
        <v>0</v>
      </c>
      <c r="F28" s="77">
        <f t="shared" si="3"/>
        <v>0</v>
      </c>
    </row>
    <row r="29" spans="1:7" ht="23.1" customHeight="1" x14ac:dyDescent="0.25">
      <c r="A29" s="74">
        <v>7</v>
      </c>
      <c r="B29" s="75" t="s">
        <v>88</v>
      </c>
      <c r="C29" s="76">
        <v>9510000</v>
      </c>
      <c r="D29" s="76">
        <v>9442000</v>
      </c>
      <c r="E29" s="76">
        <f t="shared" si="2"/>
        <v>-68000</v>
      </c>
      <c r="F29" s="77">
        <f t="shared" si="3"/>
        <v>-7.150368033648791E-3</v>
      </c>
    </row>
    <row r="30" spans="1:7" ht="23.1" customHeight="1" x14ac:dyDescent="0.25">
      <c r="A30" s="74">
        <v>8</v>
      </c>
      <c r="B30" s="75" t="s">
        <v>89</v>
      </c>
      <c r="C30" s="76">
        <v>9517000</v>
      </c>
      <c r="D30" s="76">
        <v>7102000</v>
      </c>
      <c r="E30" s="76">
        <f t="shared" si="2"/>
        <v>-2415000</v>
      </c>
      <c r="F30" s="77">
        <f t="shared" si="3"/>
        <v>-0.25375643585163393</v>
      </c>
    </row>
    <row r="31" spans="1:7" ht="23.1" customHeight="1" x14ac:dyDescent="0.25">
      <c r="A31" s="74">
        <v>9</v>
      </c>
      <c r="B31" s="75" t="s">
        <v>90</v>
      </c>
      <c r="C31" s="76">
        <v>219182000</v>
      </c>
      <c r="D31" s="76">
        <v>243204000</v>
      </c>
      <c r="E31" s="76">
        <f t="shared" si="2"/>
        <v>24022000</v>
      </c>
      <c r="F31" s="77">
        <f t="shared" si="3"/>
        <v>0.10959841592831528</v>
      </c>
    </row>
    <row r="32" spans="1:7" ht="23.1" customHeight="1" x14ac:dyDescent="0.3">
      <c r="A32" s="71"/>
      <c r="B32" s="78" t="s">
        <v>91</v>
      </c>
      <c r="C32" s="79">
        <f>SUM(C23:C31)</f>
        <v>1144647000</v>
      </c>
      <c r="D32" s="79">
        <f>SUM(D23:D31)</f>
        <v>1211319000</v>
      </c>
      <c r="E32" s="79">
        <f t="shared" si="2"/>
        <v>66672000</v>
      </c>
      <c r="F32" s="80">
        <f t="shared" si="3"/>
        <v>5.8246778264390682E-2</v>
      </c>
    </row>
    <row r="33" spans="1:6" ht="15" customHeight="1" x14ac:dyDescent="0.25">
      <c r="A33" s="74"/>
      <c r="B33" s="67"/>
      <c r="C33" s="76"/>
      <c r="D33" s="76"/>
      <c r="E33" s="76"/>
      <c r="F33" s="77"/>
    </row>
    <row r="34" spans="1:6" ht="23.1" customHeight="1" x14ac:dyDescent="0.3">
      <c r="A34" s="83"/>
      <c r="B34" s="78" t="s">
        <v>92</v>
      </c>
      <c r="C34" s="79">
        <f>+C20-C32</f>
        <v>12792000</v>
      </c>
      <c r="D34" s="79">
        <f>+D20-D32</f>
        <v>8643000</v>
      </c>
      <c r="E34" s="79">
        <f>D34-C34</f>
        <v>-4149000</v>
      </c>
      <c r="F34" s="80">
        <f>IF(C34=0,0,E34/C34)</f>
        <v>-0.32434333958724204</v>
      </c>
    </row>
    <row r="35" spans="1:6" ht="15.75" customHeight="1" x14ac:dyDescent="0.3">
      <c r="A35" s="84"/>
      <c r="B35" s="78"/>
      <c r="C35" s="76"/>
      <c r="D35" s="76"/>
      <c r="E35" s="76"/>
      <c r="F35" s="77"/>
    </row>
    <row r="36" spans="1:6" ht="15.75" customHeight="1" x14ac:dyDescent="0.3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5">
      <c r="A37" s="85">
        <v>1</v>
      </c>
      <c r="B37" s="75" t="s">
        <v>94</v>
      </c>
      <c r="C37" s="76">
        <v>9298000</v>
      </c>
      <c r="D37" s="76">
        <v>11589000</v>
      </c>
      <c r="E37" s="76">
        <f>D37-C37</f>
        <v>2291000</v>
      </c>
      <c r="F37" s="77">
        <f>IF(C37=0,0,E37/C37)</f>
        <v>0.24639707463970748</v>
      </c>
    </row>
    <row r="38" spans="1:6" ht="23.1" customHeight="1" x14ac:dyDescent="0.25">
      <c r="A38" s="85">
        <v>2</v>
      </c>
      <c r="B38" s="75" t="s">
        <v>95</v>
      </c>
      <c r="C38" s="76">
        <v>33105000</v>
      </c>
      <c r="D38" s="76">
        <v>26909000</v>
      </c>
      <c r="E38" s="76">
        <f>D38-C38</f>
        <v>-6196000</v>
      </c>
      <c r="F38" s="77">
        <f>IF(C38=0,0,E38/C38)</f>
        <v>-0.18716206011176559</v>
      </c>
    </row>
    <row r="39" spans="1:6" ht="23.1" customHeight="1" x14ac:dyDescent="0.25">
      <c r="A39" s="85">
        <v>3</v>
      </c>
      <c r="B39" s="75" t="s">
        <v>96</v>
      </c>
      <c r="C39" s="76">
        <v>-21845000</v>
      </c>
      <c r="D39" s="76">
        <v>15987000</v>
      </c>
      <c r="E39" s="76">
        <f>D39-C39</f>
        <v>37832000</v>
      </c>
      <c r="F39" s="77">
        <f>IF(C39=0,0,E39/C39)</f>
        <v>-1.7318379491874571</v>
      </c>
    </row>
    <row r="40" spans="1:6" ht="23.1" customHeight="1" x14ac:dyDescent="0.3">
      <c r="A40" s="83"/>
      <c r="B40" s="78" t="s">
        <v>97</v>
      </c>
      <c r="C40" s="79">
        <f>SUM(C37:C39)</f>
        <v>20558000</v>
      </c>
      <c r="D40" s="79">
        <f>SUM(D37:D39)</f>
        <v>54485000</v>
      </c>
      <c r="E40" s="79">
        <f>D40-C40</f>
        <v>33927000</v>
      </c>
      <c r="F40" s="80">
        <f>IF(C40=0,0,E40/C40)</f>
        <v>1.6503064500437785</v>
      </c>
    </row>
    <row r="41" spans="1:6" ht="15.75" customHeight="1" x14ac:dyDescent="0.3">
      <c r="A41" s="85"/>
      <c r="B41" s="78"/>
      <c r="C41" s="86"/>
      <c r="D41" s="86"/>
      <c r="E41" s="86"/>
      <c r="F41" s="80"/>
    </row>
    <row r="42" spans="1:6" ht="33" customHeight="1" x14ac:dyDescent="0.3">
      <c r="A42" s="83"/>
      <c r="B42" s="81" t="s">
        <v>503</v>
      </c>
      <c r="C42" s="79">
        <f>C34+C40</f>
        <v>33350000</v>
      </c>
      <c r="D42" s="79">
        <f>D34+D40</f>
        <v>63128000</v>
      </c>
      <c r="E42" s="79">
        <f>D42-C42</f>
        <v>29778000</v>
      </c>
      <c r="F42" s="80">
        <f>IF(C42=0,0,E42/C42)</f>
        <v>0.89289355322338826</v>
      </c>
    </row>
    <row r="43" spans="1:6" ht="15.75" customHeight="1" x14ac:dyDescent="0.3">
      <c r="A43" s="85"/>
      <c r="B43" s="78"/>
      <c r="C43" s="79"/>
      <c r="D43" s="79"/>
      <c r="E43" s="88"/>
      <c r="F43" s="80"/>
    </row>
    <row r="44" spans="1:6" ht="23.1" customHeight="1" x14ac:dyDescent="0.3">
      <c r="A44" s="83"/>
      <c r="B44" s="81" t="s">
        <v>99</v>
      </c>
      <c r="C44" s="86"/>
      <c r="D44" s="86"/>
      <c r="E44" s="86"/>
      <c r="F44" s="80"/>
    </row>
    <row r="45" spans="1:6" ht="23.1" customHeight="1" x14ac:dyDescent="0.25">
      <c r="A45" s="85"/>
      <c r="B45" s="75" t="s">
        <v>100</v>
      </c>
      <c r="C45" s="76">
        <v>0</v>
      </c>
      <c r="D45" s="76">
        <v>0</v>
      </c>
      <c r="E45" s="76">
        <f>D45-C45</f>
        <v>0</v>
      </c>
      <c r="F45" s="77">
        <f>IF(C45=0,0,E45/C45)</f>
        <v>0</v>
      </c>
    </row>
    <row r="46" spans="1:6" ht="23.1" customHeight="1" x14ac:dyDescent="0.25">
      <c r="A46" s="85"/>
      <c r="B46" s="75" t="s">
        <v>101</v>
      </c>
      <c r="C46" s="76">
        <v>-1968000</v>
      </c>
      <c r="D46" s="76">
        <v>-2019000</v>
      </c>
      <c r="E46" s="76">
        <f>D46-C46</f>
        <v>-51000</v>
      </c>
      <c r="F46" s="77">
        <f>IF(C46=0,0,E46/C46)</f>
        <v>2.5914634146341462E-2</v>
      </c>
    </row>
    <row r="47" spans="1:6" ht="23.1" customHeight="1" x14ac:dyDescent="0.3">
      <c r="A47" s="83"/>
      <c r="B47" s="78" t="s">
        <v>102</v>
      </c>
      <c r="C47" s="79">
        <f>SUM(C45:C46)</f>
        <v>-1968000</v>
      </c>
      <c r="D47" s="79">
        <f>SUM(D45:D46)</f>
        <v>-2019000</v>
      </c>
      <c r="E47" s="79">
        <f>D47-C47</f>
        <v>-51000</v>
      </c>
      <c r="F47" s="80">
        <f>IF(C47=0,0,E47/C47)</f>
        <v>2.5914634146341462E-2</v>
      </c>
    </row>
    <row r="48" spans="1:6" ht="15.75" customHeight="1" x14ac:dyDescent="0.3">
      <c r="A48" s="85"/>
      <c r="B48" s="78"/>
      <c r="C48" s="79"/>
      <c r="D48" s="79"/>
      <c r="E48" s="88"/>
      <c r="F48" s="80"/>
    </row>
    <row r="49" spans="1:6" ht="23.1" customHeight="1" x14ac:dyDescent="0.3">
      <c r="A49" s="83"/>
      <c r="B49" s="81" t="s">
        <v>103</v>
      </c>
      <c r="C49" s="79">
        <f>C42+C47</f>
        <v>31382000</v>
      </c>
      <c r="D49" s="79">
        <f>D42+D47</f>
        <v>61109000</v>
      </c>
      <c r="E49" s="79">
        <f>D49-C49</f>
        <v>29727000</v>
      </c>
      <c r="F49" s="80">
        <f>IF(C49=0,0,E49/C49)</f>
        <v>0.94726276209291949</v>
      </c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67" orientation="portrait" horizontalDpi="1200" verticalDpi="1200" r:id="rId1"/>
  <headerFooter>
    <oddHeader>&amp;LOFFICE OF HEALTH CARE ACCESS&amp;CTWELVE MONTHS ACTUAL FILING&amp;RDANBURY HOSPITAL</oddHeader>
    <oddFooter>&amp;LREPORT 150&amp;CPAGE &amp;P of &amp;N&amp;R&amp;D,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263</vt:i4>
      </vt:variant>
    </vt:vector>
  </HeadingPairs>
  <TitlesOfParts>
    <vt:vector size="282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Veyberman, Alla</cp:lastModifiedBy>
  <cp:lastPrinted>2017-09-19T20:03:51Z</cp:lastPrinted>
  <dcterms:created xsi:type="dcterms:W3CDTF">2017-09-14T19:14:54Z</dcterms:created>
  <dcterms:modified xsi:type="dcterms:W3CDTF">2017-09-19T20:04:01Z</dcterms:modified>
</cp:coreProperties>
</file>