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28800" windowHeight="13635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4">Report550!$A$1:$E$330</definedName>
    <definedName name="_xlnm.Print_Area" localSheetId="15">Report600!$A$11:$C$145</definedName>
    <definedName name="_xlnm.Print_Area" localSheetId="16">Report650!$A$1:$F$48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/>
  <c r="C96" i="22"/>
  <c r="C98" i="22" s="1"/>
  <c r="E92" i="22"/>
  <c r="D92" i="22"/>
  <c r="C92" i="22"/>
  <c r="E91" i="22"/>
  <c r="D91" i="22"/>
  <c r="D93" i="22" s="1"/>
  <c r="C91" i="22"/>
  <c r="C93" i="22" s="1"/>
  <c r="E87" i="22"/>
  <c r="D87" i="22"/>
  <c r="C87" i="22"/>
  <c r="E86" i="22"/>
  <c r="D86" i="22"/>
  <c r="D88" i="22"/>
  <c r="C86" i="22"/>
  <c r="E83" i="22"/>
  <c r="E101" i="22" s="1"/>
  <c r="D83" i="22"/>
  <c r="D101" i="22" s="1"/>
  <c r="C83" i="22"/>
  <c r="C101" i="22" s="1"/>
  <c r="E76" i="22"/>
  <c r="D76" i="22"/>
  <c r="C76" i="22"/>
  <c r="E75" i="22"/>
  <c r="E77" i="22" s="1"/>
  <c r="D75" i="22"/>
  <c r="D77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C12" i="22"/>
  <c r="C33" i="22" s="1"/>
  <c r="D21" i="21"/>
  <c r="C21" i="21"/>
  <c r="D19" i="21"/>
  <c r="E19" i="21" s="1"/>
  <c r="C19" i="21"/>
  <c r="F17" i="21"/>
  <c r="E17" i="21"/>
  <c r="F15" i="21"/>
  <c r="E15" i="21"/>
  <c r="D45" i="20"/>
  <c r="C45" i="20"/>
  <c r="D44" i="20"/>
  <c r="E44" i="20" s="1"/>
  <c r="C44" i="20"/>
  <c r="D43" i="20"/>
  <c r="C43" i="20"/>
  <c r="D36" i="20"/>
  <c r="D40" i="20" s="1"/>
  <c r="C36" i="20"/>
  <c r="C40" i="20" s="1"/>
  <c r="E40" i="20" s="1"/>
  <c r="F35" i="20"/>
  <c r="E35" i="20"/>
  <c r="F34" i="20"/>
  <c r="E34" i="20"/>
  <c r="E33" i="20"/>
  <c r="F30" i="20"/>
  <c r="E30" i="20"/>
  <c r="E29" i="20"/>
  <c r="F29" i="20" s="1"/>
  <c r="E28" i="20"/>
  <c r="F28" i="20" s="1"/>
  <c r="E27" i="20"/>
  <c r="F27" i="20" s="1"/>
  <c r="D25" i="20"/>
  <c r="D39" i="20" s="1"/>
  <c r="C25" i="20"/>
  <c r="C39" i="20" s="1"/>
  <c r="E24" i="20"/>
  <c r="F24" i="20" s="1"/>
  <c r="E23" i="20"/>
  <c r="E22" i="20"/>
  <c r="F22" i="20" s="1"/>
  <c r="D19" i="20"/>
  <c r="D20" i="20"/>
  <c r="E20" i="20" s="1"/>
  <c r="C19" i="20"/>
  <c r="C20" i="20" s="1"/>
  <c r="E18" i="20"/>
  <c r="F18" i="20" s="1"/>
  <c r="D16" i="20"/>
  <c r="E16" i="20" s="1"/>
  <c r="F16" i="20"/>
  <c r="C16" i="20"/>
  <c r="F15" i="20"/>
  <c r="E15" i="20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2" i="19"/>
  <c r="C33" i="19" s="1"/>
  <c r="C21" i="19"/>
  <c r="E328" i="18"/>
  <c r="E325" i="18"/>
  <c r="D324" i="18"/>
  <c r="D326" i="18" s="1"/>
  <c r="D330" i="18" s="1"/>
  <c r="C324" i="18"/>
  <c r="E318" i="18"/>
  <c r="E315" i="18"/>
  <c r="D314" i="18"/>
  <c r="D316" i="18" s="1"/>
  <c r="C314" i="18"/>
  <c r="C316" i="18" s="1"/>
  <c r="C320" i="18" s="1"/>
  <c r="E308" i="18"/>
  <c r="E305" i="18"/>
  <c r="D301" i="18"/>
  <c r="C301" i="18"/>
  <c r="D293" i="18"/>
  <c r="E293" i="18"/>
  <c r="C293" i="18"/>
  <c r="D292" i="18"/>
  <c r="C292" i="18"/>
  <c r="D291" i="18"/>
  <c r="E291" i="18" s="1"/>
  <c r="C291" i="18"/>
  <c r="D290" i="18"/>
  <c r="E290" i="18" s="1"/>
  <c r="C290" i="18"/>
  <c r="D288" i="18"/>
  <c r="E288" i="18" s="1"/>
  <c r="C288" i="18"/>
  <c r="D287" i="18"/>
  <c r="C287" i="18"/>
  <c r="D282" i="18"/>
  <c r="C282" i="18"/>
  <c r="D281" i="18"/>
  <c r="E281" i="18"/>
  <c r="C281" i="18"/>
  <c r="D280" i="18"/>
  <c r="C280" i="18"/>
  <c r="D279" i="18"/>
  <c r="E279" i="18" s="1"/>
  <c r="C279" i="18"/>
  <c r="D278" i="18"/>
  <c r="E278" i="18" s="1"/>
  <c r="C278" i="18"/>
  <c r="D277" i="18"/>
  <c r="C277" i="18"/>
  <c r="D276" i="18"/>
  <c r="C276" i="18"/>
  <c r="E276" i="18"/>
  <c r="E270" i="18"/>
  <c r="D265" i="18"/>
  <c r="D302" i="18" s="1"/>
  <c r="C265" i="18"/>
  <c r="C302" i="18" s="1"/>
  <c r="D262" i="18"/>
  <c r="C262" i="18"/>
  <c r="E262" i="18" s="1"/>
  <c r="D251" i="18"/>
  <c r="E251" i="18" s="1"/>
  <c r="C251" i="18"/>
  <c r="D233" i="18"/>
  <c r="C233" i="18"/>
  <c r="D232" i="18"/>
  <c r="C232" i="18"/>
  <c r="E232" i="18" s="1"/>
  <c r="D231" i="18"/>
  <c r="E231" i="18" s="1"/>
  <c r="C231" i="18"/>
  <c r="D230" i="18"/>
  <c r="E230" i="18"/>
  <c r="C230" i="18"/>
  <c r="D228" i="18"/>
  <c r="C228" i="18"/>
  <c r="E228" i="18" s="1"/>
  <c r="D227" i="18"/>
  <c r="C227" i="18"/>
  <c r="D221" i="18"/>
  <c r="D245" i="18" s="1"/>
  <c r="C221" i="18"/>
  <c r="C245" i="18"/>
  <c r="D220" i="18"/>
  <c r="D244" i="18" s="1"/>
  <c r="C220" i="18"/>
  <c r="C244" i="18" s="1"/>
  <c r="D219" i="18"/>
  <c r="C219" i="18"/>
  <c r="D218" i="18"/>
  <c r="D242" i="18" s="1"/>
  <c r="C218" i="18"/>
  <c r="C242" i="18" s="1"/>
  <c r="D216" i="18"/>
  <c r="D240" i="18" s="1"/>
  <c r="D253" i="18" s="1"/>
  <c r="C216" i="18"/>
  <c r="D215" i="18"/>
  <c r="D239" i="18" s="1"/>
  <c r="C215" i="18"/>
  <c r="C239" i="18" s="1"/>
  <c r="E209" i="18"/>
  <c r="E208" i="18"/>
  <c r="E207" i="18"/>
  <c r="E206" i="18"/>
  <c r="D205" i="18"/>
  <c r="D229" i="18" s="1"/>
  <c r="C205" i="18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8" i="18"/>
  <c r="D189" i="18" s="1"/>
  <c r="C188" i="18"/>
  <c r="E186" i="18"/>
  <c r="E185" i="18"/>
  <c r="D179" i="18"/>
  <c r="E179" i="18" s="1"/>
  <c r="C179" i="18"/>
  <c r="D178" i="18"/>
  <c r="E178" i="18" s="1"/>
  <c r="C178" i="18"/>
  <c r="D177" i="18"/>
  <c r="C177" i="18"/>
  <c r="E177" i="18" s="1"/>
  <c r="D176" i="18"/>
  <c r="C176" i="18"/>
  <c r="E176" i="18" s="1"/>
  <c r="D174" i="18"/>
  <c r="E174" i="18" s="1"/>
  <c r="C174" i="18"/>
  <c r="D173" i="18"/>
  <c r="C173" i="18"/>
  <c r="D167" i="18"/>
  <c r="C167" i="18"/>
  <c r="D166" i="18"/>
  <c r="E166" i="18" s="1"/>
  <c r="C166" i="18"/>
  <c r="D165" i="18"/>
  <c r="C165" i="18"/>
  <c r="D164" i="18"/>
  <c r="E164" i="18" s="1"/>
  <c r="C164" i="18"/>
  <c r="D162" i="18"/>
  <c r="C162" i="18"/>
  <c r="E162" i="18" s="1"/>
  <c r="D161" i="18"/>
  <c r="C161" i="18"/>
  <c r="E161" i="18" s="1"/>
  <c r="E155" i="18"/>
  <c r="E154" i="18"/>
  <c r="E153" i="18"/>
  <c r="E152" i="18"/>
  <c r="D151" i="18"/>
  <c r="D156" i="18" s="1"/>
  <c r="D157" i="18" s="1"/>
  <c r="C151" i="18"/>
  <c r="E150" i="18"/>
  <c r="E149" i="18"/>
  <c r="E143" i="18"/>
  <c r="E142" i="18"/>
  <c r="E141" i="18"/>
  <c r="E140" i="18"/>
  <c r="D139" i="18"/>
  <c r="C139" i="18"/>
  <c r="C144" i="18" s="1"/>
  <c r="E138" i="18"/>
  <c r="E137" i="18"/>
  <c r="D75" i="18"/>
  <c r="E75" i="18" s="1"/>
  <c r="C75" i="18"/>
  <c r="D74" i="18"/>
  <c r="C74" i="18"/>
  <c r="D73" i="18"/>
  <c r="C73" i="18"/>
  <c r="E73" i="18" s="1"/>
  <c r="D72" i="18"/>
  <c r="C72" i="18"/>
  <c r="D70" i="18"/>
  <c r="C70" i="18"/>
  <c r="D69" i="18"/>
  <c r="E69" i="18" s="1"/>
  <c r="C69" i="18"/>
  <c r="E64" i="18"/>
  <c r="E63" i="18"/>
  <c r="E62" i="18"/>
  <c r="E61" i="18"/>
  <c r="D60" i="18"/>
  <c r="C60" i="18"/>
  <c r="E60" i="18" s="1"/>
  <c r="E59" i="18"/>
  <c r="E58" i="18"/>
  <c r="D54" i="18"/>
  <c r="D55" i="18" s="1"/>
  <c r="E55" i="18" s="1"/>
  <c r="C54" i="18"/>
  <c r="C55" i="18" s="1"/>
  <c r="E53" i="18"/>
  <c r="E52" i="18"/>
  <c r="E51" i="18"/>
  <c r="E50" i="18"/>
  <c r="E49" i="18"/>
  <c r="E48" i="18"/>
  <c r="E47" i="18"/>
  <c r="D42" i="18"/>
  <c r="C42" i="18"/>
  <c r="D41" i="18"/>
  <c r="C41" i="18"/>
  <c r="C43" i="18" s="1"/>
  <c r="D40" i="18"/>
  <c r="C40" i="18"/>
  <c r="D39" i="18"/>
  <c r="C39" i="18"/>
  <c r="E39" i="18" s="1"/>
  <c r="D38" i="18"/>
  <c r="C38" i="18"/>
  <c r="D37" i="18"/>
  <c r="D43" i="18" s="1"/>
  <c r="C37" i="18"/>
  <c r="D36" i="18"/>
  <c r="C36" i="18"/>
  <c r="D32" i="18"/>
  <c r="D33" i="18" s="1"/>
  <c r="C32" i="18"/>
  <c r="E31" i="18"/>
  <c r="E30" i="18"/>
  <c r="E29" i="18"/>
  <c r="E28" i="18"/>
  <c r="E27" i="18"/>
  <c r="E26" i="18"/>
  <c r="E25" i="18"/>
  <c r="D21" i="18"/>
  <c r="C21" i="18"/>
  <c r="C283" i="18" s="1"/>
  <c r="E20" i="18"/>
  <c r="E19" i="18"/>
  <c r="E18" i="18"/>
  <c r="E17" i="18"/>
  <c r="E16" i="18"/>
  <c r="E15" i="18"/>
  <c r="E14" i="18"/>
  <c r="E335" i="17"/>
  <c r="F335" i="17" s="1"/>
  <c r="E334" i="17"/>
  <c r="F334" i="17" s="1"/>
  <c r="E333" i="17"/>
  <c r="F333" i="17" s="1"/>
  <c r="F332" i="17"/>
  <c r="E332" i="17"/>
  <c r="F331" i="17"/>
  <c r="E331" i="17"/>
  <c r="F330" i="17"/>
  <c r="E330" i="17"/>
  <c r="E329" i="17"/>
  <c r="F329" i="17" s="1"/>
  <c r="F316" i="17"/>
  <c r="E316" i="17"/>
  <c r="F311" i="17"/>
  <c r="D311" i="17"/>
  <c r="E311" i="17" s="1"/>
  <c r="C311" i="17"/>
  <c r="E308" i="17"/>
  <c r="F308" i="17" s="1"/>
  <c r="D307" i="17"/>
  <c r="E307" i="17" s="1"/>
  <c r="F307" i="17" s="1"/>
  <c r="C307" i="17"/>
  <c r="D299" i="17"/>
  <c r="E299" i="17" s="1"/>
  <c r="F299" i="17" s="1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 s="1"/>
  <c r="C250" i="17"/>
  <c r="C306" i="17" s="1"/>
  <c r="E249" i="17"/>
  <c r="F249" i="17" s="1"/>
  <c r="E248" i="17"/>
  <c r="F248" i="17" s="1"/>
  <c r="F245" i="17"/>
  <c r="E245" i="17"/>
  <c r="F244" i="17"/>
  <c r="E244" i="17"/>
  <c r="F243" i="17"/>
  <c r="E243" i="17"/>
  <c r="D238" i="17"/>
  <c r="C238" i="17"/>
  <c r="D237" i="17"/>
  <c r="C237" i="17"/>
  <c r="E234" i="17"/>
  <c r="F234" i="17" s="1"/>
  <c r="E233" i="17"/>
  <c r="F233" i="17" s="1"/>
  <c r="D230" i="17"/>
  <c r="C230" i="17"/>
  <c r="E230" i="17" s="1"/>
  <c r="D229" i="17"/>
  <c r="C229" i="17"/>
  <c r="E228" i="17"/>
  <c r="F228" i="17"/>
  <c r="D226" i="17"/>
  <c r="C226" i="17"/>
  <c r="E225" i="17"/>
  <c r="F225" i="17" s="1"/>
  <c r="E224" i="17"/>
  <c r="F224" i="17" s="1"/>
  <c r="D223" i="17"/>
  <c r="C223" i="17"/>
  <c r="E222" i="17"/>
  <c r="F222" i="17" s="1"/>
  <c r="E221" i="17"/>
  <c r="F221" i="17" s="1"/>
  <c r="D204" i="17"/>
  <c r="C204" i="17"/>
  <c r="C285" i="17"/>
  <c r="D203" i="17"/>
  <c r="C203" i="17"/>
  <c r="D198" i="17"/>
  <c r="C198" i="17"/>
  <c r="C290" i="17"/>
  <c r="D191" i="17"/>
  <c r="C191" i="17"/>
  <c r="D189" i="17"/>
  <c r="C189" i="17"/>
  <c r="C194" i="17" s="1"/>
  <c r="D188" i="17"/>
  <c r="C188" i="17"/>
  <c r="D180" i="17"/>
  <c r="C180" i="17"/>
  <c r="D179" i="17"/>
  <c r="D181" i="17" s="1"/>
  <c r="C179" i="17"/>
  <c r="D171" i="17"/>
  <c r="D172" i="17"/>
  <c r="C171" i="17"/>
  <c r="C172" i="17"/>
  <c r="D170" i="17"/>
  <c r="C170" i="17"/>
  <c r="F169" i="17"/>
  <c r="E169" i="17"/>
  <c r="F168" i="17"/>
  <c r="E168" i="17"/>
  <c r="D165" i="17"/>
  <c r="C165" i="17"/>
  <c r="D164" i="17"/>
  <c r="C164" i="17"/>
  <c r="F163" i="17"/>
  <c r="E163" i="17"/>
  <c r="D158" i="17"/>
  <c r="D159" i="17"/>
  <c r="C158" i="17"/>
  <c r="C159" i="17" s="1"/>
  <c r="F159" i="17" s="1"/>
  <c r="F157" i="17"/>
  <c r="E157" i="17"/>
  <c r="F156" i="17"/>
  <c r="E156" i="17"/>
  <c r="D155" i="17"/>
  <c r="C155" i="17"/>
  <c r="F154" i="17"/>
  <c r="E154" i="17"/>
  <c r="F153" i="17"/>
  <c r="E153" i="17"/>
  <c r="D145" i="17"/>
  <c r="C145" i="17"/>
  <c r="D144" i="17"/>
  <c r="D146" i="17" s="1"/>
  <c r="C144" i="17"/>
  <c r="D136" i="17"/>
  <c r="D137" i="17" s="1"/>
  <c r="C136" i="17"/>
  <c r="C137" i="17" s="1"/>
  <c r="D135" i="17"/>
  <c r="C135" i="17"/>
  <c r="E134" i="17"/>
  <c r="F134" i="17" s="1"/>
  <c r="E133" i="17"/>
  <c r="F133" i="17" s="1"/>
  <c r="D130" i="17"/>
  <c r="C130" i="17"/>
  <c r="D129" i="17"/>
  <c r="C129" i="17"/>
  <c r="E128" i="17"/>
  <c r="F128" i="17" s="1"/>
  <c r="D123" i="17"/>
  <c r="C123" i="17"/>
  <c r="E122" i="17"/>
  <c r="F122" i="17" s="1"/>
  <c r="E121" i="17"/>
  <c r="F121" i="17" s="1"/>
  <c r="D120" i="17"/>
  <c r="C120" i="17"/>
  <c r="E119" i="17"/>
  <c r="F119" i="17" s="1"/>
  <c r="E118" i="17"/>
  <c r="F118" i="17" s="1"/>
  <c r="D110" i="17"/>
  <c r="C110" i="17"/>
  <c r="D109" i="17"/>
  <c r="C109" i="17"/>
  <c r="D101" i="17"/>
  <c r="D102" i="17" s="1"/>
  <c r="C101" i="17"/>
  <c r="C102" i="17" s="1"/>
  <c r="D100" i="17"/>
  <c r="C100" i="17"/>
  <c r="E99" i="17"/>
  <c r="F99" i="17" s="1"/>
  <c r="E98" i="17"/>
  <c r="F98" i="17" s="1"/>
  <c r="D95" i="17"/>
  <c r="E95" i="17" s="1"/>
  <c r="F95" i="17" s="1"/>
  <c r="C95" i="17"/>
  <c r="D94" i="17"/>
  <c r="C94" i="17"/>
  <c r="E93" i="17"/>
  <c r="F93" i="17" s="1"/>
  <c r="D88" i="17"/>
  <c r="D89" i="17" s="1"/>
  <c r="C88" i="17"/>
  <c r="C89" i="17"/>
  <c r="E87" i="17"/>
  <c r="F87" i="17" s="1"/>
  <c r="E86" i="17"/>
  <c r="F86" i="17" s="1"/>
  <c r="D85" i="17"/>
  <c r="C85" i="17"/>
  <c r="E84" i="17"/>
  <c r="F84" i="17"/>
  <c r="E83" i="17"/>
  <c r="F83" i="17" s="1"/>
  <c r="D76" i="17"/>
  <c r="D77" i="17" s="1"/>
  <c r="C76" i="17"/>
  <c r="C77" i="17" s="1"/>
  <c r="F74" i="17"/>
  <c r="E74" i="17"/>
  <c r="F73" i="17"/>
  <c r="E73" i="17"/>
  <c r="D67" i="17"/>
  <c r="C67" i="17"/>
  <c r="D66" i="17"/>
  <c r="D68" i="17" s="1"/>
  <c r="C66" i="17"/>
  <c r="C68" i="17" s="1"/>
  <c r="D59" i="17"/>
  <c r="E59" i="17" s="1"/>
  <c r="F59" i="17" s="1"/>
  <c r="D60" i="17"/>
  <c r="D61" i="17" s="1"/>
  <c r="D174" i="17" s="1"/>
  <c r="C59" i="17"/>
  <c r="C60" i="17"/>
  <c r="D58" i="17"/>
  <c r="E58" i="17" s="1"/>
  <c r="C58" i="17"/>
  <c r="E57" i="17"/>
  <c r="F57" i="17" s="1"/>
  <c r="E56" i="17"/>
  <c r="F56" i="17" s="1"/>
  <c r="D53" i="17"/>
  <c r="E53" i="17" s="1"/>
  <c r="C53" i="17"/>
  <c r="D52" i="17"/>
  <c r="C52" i="17"/>
  <c r="E51" i="17"/>
  <c r="F51" i="17" s="1"/>
  <c r="D47" i="17"/>
  <c r="D48" i="17"/>
  <c r="C47" i="17"/>
  <c r="E46" i="17"/>
  <c r="F46" i="17" s="1"/>
  <c r="E45" i="17"/>
  <c r="F45" i="17" s="1"/>
  <c r="D44" i="17"/>
  <c r="C44" i="17"/>
  <c r="E43" i="17"/>
  <c r="F43" i="17" s="1"/>
  <c r="E42" i="17"/>
  <c r="F42" i="17" s="1"/>
  <c r="D36" i="17"/>
  <c r="E36" i="17" s="1"/>
  <c r="C36" i="17"/>
  <c r="D35" i="17"/>
  <c r="C35" i="17"/>
  <c r="D30" i="17"/>
  <c r="D31" i="17" s="1"/>
  <c r="C30" i="17"/>
  <c r="C31" i="17" s="1"/>
  <c r="D29" i="17"/>
  <c r="E29" i="17" s="1"/>
  <c r="F29" i="17"/>
  <c r="C29" i="17"/>
  <c r="F28" i="17"/>
  <c r="E28" i="17"/>
  <c r="F27" i="17"/>
  <c r="E27" i="17"/>
  <c r="D24" i="17"/>
  <c r="C24" i="17"/>
  <c r="D23" i="17"/>
  <c r="C23" i="17"/>
  <c r="F22" i="17"/>
  <c r="E22" i="17"/>
  <c r="D20" i="17"/>
  <c r="E20" i="17" s="1"/>
  <c r="F20" i="17" s="1"/>
  <c r="C20" i="17"/>
  <c r="E19" i="17"/>
  <c r="F19" i="17" s="1"/>
  <c r="E18" i="17"/>
  <c r="F18" i="17" s="1"/>
  <c r="D17" i="17"/>
  <c r="E17" i="17" s="1"/>
  <c r="F17" i="17" s="1"/>
  <c r="C17" i="17"/>
  <c r="F16" i="17"/>
  <c r="E16" i="17"/>
  <c r="E15" i="17"/>
  <c r="F15" i="17" s="1"/>
  <c r="D22" i="16"/>
  <c r="C22" i="16"/>
  <c r="E21" i="16"/>
  <c r="F21" i="16" s="1"/>
  <c r="D18" i="16"/>
  <c r="C18" i="16"/>
  <c r="F17" i="16"/>
  <c r="E17" i="16"/>
  <c r="D14" i="16"/>
  <c r="E14" i="16" s="1"/>
  <c r="F14" i="16" s="1"/>
  <c r="C14" i="16"/>
  <c r="F13" i="16"/>
  <c r="E13" i="16"/>
  <c r="E12" i="16"/>
  <c r="F12" i="16" s="1"/>
  <c r="D107" i="15"/>
  <c r="E107" i="15" s="1"/>
  <c r="F107" i="15" s="1"/>
  <c r="C107" i="15"/>
  <c r="F106" i="15"/>
  <c r="E106" i="15"/>
  <c r="F105" i="15"/>
  <c r="E105" i="15"/>
  <c r="E104" i="15"/>
  <c r="F104" i="15" s="1"/>
  <c r="D100" i="15"/>
  <c r="E100" i="15" s="1"/>
  <c r="F100" i="15" s="1"/>
  <c r="C100" i="15"/>
  <c r="F99" i="15"/>
  <c r="E99" i="15"/>
  <c r="F98" i="15"/>
  <c r="E98" i="15"/>
  <c r="E97" i="15"/>
  <c r="F97" i="15" s="1"/>
  <c r="F96" i="15"/>
  <c r="E96" i="15"/>
  <c r="F95" i="15"/>
  <c r="E95" i="15"/>
  <c r="D92" i="15"/>
  <c r="E92" i="15" s="1"/>
  <c r="C92" i="15"/>
  <c r="F92" i="15" s="1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E74" i="15"/>
  <c r="F74" i="15" s="1"/>
  <c r="F73" i="15"/>
  <c r="E73" i="15"/>
  <c r="E75" i="15" s="1"/>
  <c r="F75" i="15" s="1"/>
  <c r="D70" i="15"/>
  <c r="C70" i="15"/>
  <c r="E69" i="15"/>
  <c r="F69" i="15" s="1"/>
  <c r="E68" i="15"/>
  <c r="F68" i="15" s="1"/>
  <c r="D65" i="15"/>
  <c r="E65" i="15" s="1"/>
  <c r="C65" i="15"/>
  <c r="F64" i="15"/>
  <c r="E64" i="15"/>
  <c r="E63" i="15"/>
  <c r="F63" i="15" s="1"/>
  <c r="D60" i="15"/>
  <c r="C60" i="15"/>
  <c r="E59" i="15"/>
  <c r="F59" i="15" s="1"/>
  <c r="E58" i="15"/>
  <c r="F58" i="15" s="1"/>
  <c r="E60" i="15"/>
  <c r="F60" i="15" s="1"/>
  <c r="D55" i="15"/>
  <c r="C55" i="15"/>
  <c r="F54" i="15"/>
  <c r="E54" i="15"/>
  <c r="F53" i="15"/>
  <c r="E53" i="15"/>
  <c r="D50" i="15"/>
  <c r="C50" i="15"/>
  <c r="E49" i="15"/>
  <c r="F49" i="15" s="1"/>
  <c r="E48" i="15"/>
  <c r="F48" i="15" s="1"/>
  <c r="D45" i="15"/>
  <c r="C45" i="15"/>
  <c r="F45" i="15" s="1"/>
  <c r="F44" i="15"/>
  <c r="E44" i="15"/>
  <c r="F43" i="15"/>
  <c r="E43" i="15"/>
  <c r="F37" i="15"/>
  <c r="D37" i="15"/>
  <c r="E37" i="15" s="1"/>
  <c r="C37" i="15"/>
  <c r="F36" i="15"/>
  <c r="E36" i="15"/>
  <c r="F35" i="15"/>
  <c r="E35" i="15"/>
  <c r="F34" i="15"/>
  <c r="E34" i="15"/>
  <c r="F33" i="15"/>
  <c r="E33" i="15"/>
  <c r="F30" i="15"/>
  <c r="D30" i="15"/>
  <c r="E30" i="15" s="1"/>
  <c r="C30" i="15"/>
  <c r="F29" i="15"/>
  <c r="E29" i="15"/>
  <c r="F28" i="15"/>
  <c r="E28" i="15"/>
  <c r="F27" i="15"/>
  <c r="E27" i="15"/>
  <c r="F26" i="15"/>
  <c r="E26" i="15"/>
  <c r="D23" i="15"/>
  <c r="C23" i="15"/>
  <c r="F22" i="15"/>
  <c r="E22" i="15"/>
  <c r="E21" i="15"/>
  <c r="F21" i="15" s="1"/>
  <c r="E20" i="15"/>
  <c r="F20" i="15" s="1"/>
  <c r="E19" i="15"/>
  <c r="F19" i="15" s="1"/>
  <c r="D16" i="15"/>
  <c r="E16" i="15" s="1"/>
  <c r="F16" i="15" s="1"/>
  <c r="C16" i="15"/>
  <c r="F15" i="15"/>
  <c r="E15" i="15"/>
  <c r="E14" i="15"/>
  <c r="F14" i="15" s="1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3" i="14" s="1"/>
  <c r="F36" i="14" s="1"/>
  <c r="E17" i="14"/>
  <c r="E31" i="14" s="1"/>
  <c r="D17" i="14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C78" i="13"/>
  <c r="C80" i="13" s="1"/>
  <c r="C77" i="13" s="1"/>
  <c r="C75" i="13"/>
  <c r="E73" i="13"/>
  <c r="E75" i="13" s="1"/>
  <c r="D73" i="13"/>
  <c r="D75" i="13" s="1"/>
  <c r="C73" i="13"/>
  <c r="E71" i="13"/>
  <c r="D71" i="13"/>
  <c r="C71" i="13"/>
  <c r="E66" i="13"/>
  <c r="E65" i="13" s="1"/>
  <c r="D66" i="13"/>
  <c r="D65" i="13" s="1"/>
  <c r="C66" i="13"/>
  <c r="C65" i="13"/>
  <c r="E60" i="13"/>
  <c r="D60" i="13"/>
  <c r="C60" i="13"/>
  <c r="E58" i="13"/>
  <c r="D58" i="13"/>
  <c r="C58" i="13"/>
  <c r="E55" i="13"/>
  <c r="E50" i="13" s="1"/>
  <c r="D55" i="13"/>
  <c r="C55" i="13"/>
  <c r="E54" i="13"/>
  <c r="D54" i="13"/>
  <c r="C54" i="13"/>
  <c r="E48" i="13"/>
  <c r="E42" i="13" s="1"/>
  <c r="E46" i="13"/>
  <c r="E59" i="13" s="1"/>
  <c r="D46" i="13"/>
  <c r="D59" i="13" s="1"/>
  <c r="D61" i="13" s="1"/>
  <c r="C46" i="13"/>
  <c r="C59" i="13" s="1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E15" i="13"/>
  <c r="E24" i="13" s="1"/>
  <c r="E13" i="13"/>
  <c r="E25" i="13" s="1"/>
  <c r="D13" i="13"/>
  <c r="D25" i="13" s="1"/>
  <c r="C13" i="13"/>
  <c r="D47" i="12"/>
  <c r="E47" i="12" s="1"/>
  <c r="C47" i="12"/>
  <c r="F47" i="12" s="1"/>
  <c r="F46" i="12"/>
  <c r="E46" i="12"/>
  <c r="F45" i="12"/>
  <c r="E45" i="12"/>
  <c r="D40" i="12"/>
  <c r="E40" i="12" s="1"/>
  <c r="C40" i="12"/>
  <c r="E39" i="12"/>
  <c r="F39" i="12" s="1"/>
  <c r="E38" i="12"/>
  <c r="F38" i="12" s="1"/>
  <c r="E37" i="12"/>
  <c r="F37" i="12" s="1"/>
  <c r="D32" i="12"/>
  <c r="C32" i="12"/>
  <c r="C34" i="12" s="1"/>
  <c r="E31" i="12"/>
  <c r="F31" i="12" s="1"/>
  <c r="E30" i="12"/>
  <c r="F30" i="12" s="1"/>
  <c r="F29" i="12"/>
  <c r="E29" i="12"/>
  <c r="F28" i="12"/>
  <c r="E28" i="12"/>
  <c r="E27" i="12"/>
  <c r="F27" i="12" s="1"/>
  <c r="E26" i="12"/>
  <c r="F26" i="12" s="1"/>
  <c r="F25" i="12"/>
  <c r="E25" i="12"/>
  <c r="E24" i="12"/>
  <c r="F24" i="12" s="1"/>
  <c r="E23" i="12"/>
  <c r="F23" i="12" s="1"/>
  <c r="E19" i="12"/>
  <c r="F19" i="12" s="1"/>
  <c r="F18" i="12"/>
  <c r="E18" i="12"/>
  <c r="E16" i="12"/>
  <c r="F16" i="12" s="1"/>
  <c r="D15" i="12"/>
  <c r="C15" i="12"/>
  <c r="C17" i="12" s="1"/>
  <c r="F14" i="12"/>
  <c r="E14" i="12"/>
  <c r="E13" i="12"/>
  <c r="F13" i="12" s="1"/>
  <c r="E12" i="12"/>
  <c r="F12" i="12" s="1"/>
  <c r="E11" i="12"/>
  <c r="F11" i="12" s="1"/>
  <c r="D73" i="11"/>
  <c r="C73" i="11"/>
  <c r="E72" i="11"/>
  <c r="F72" i="11" s="1"/>
  <c r="F71" i="11"/>
  <c r="E71" i="11"/>
  <c r="F70" i="11"/>
  <c r="E70" i="11"/>
  <c r="F67" i="11"/>
  <c r="E67" i="11"/>
  <c r="E64" i="11"/>
  <c r="F64" i="11" s="1"/>
  <c r="F63" i="11"/>
  <c r="E63" i="11"/>
  <c r="D61" i="11"/>
  <c r="C61" i="11"/>
  <c r="C65" i="11" s="1"/>
  <c r="E60" i="11"/>
  <c r="F60" i="11" s="1"/>
  <c r="E59" i="11"/>
  <c r="F59" i="11" s="1"/>
  <c r="D56" i="11"/>
  <c r="C56" i="11"/>
  <c r="E55" i="11"/>
  <c r="F55" i="11" s="1"/>
  <c r="E54" i="11"/>
  <c r="F54" i="11" s="1"/>
  <c r="E53" i="11"/>
  <c r="F53" i="11" s="1"/>
  <c r="F52" i="11"/>
  <c r="E52" i="11"/>
  <c r="F51" i="11"/>
  <c r="E51" i="11"/>
  <c r="E50" i="11"/>
  <c r="F50" i="11" s="1"/>
  <c r="A50" i="11"/>
  <c r="A51" i="11" s="1"/>
  <c r="A52" i="11" s="1"/>
  <c r="A53" i="11" s="1"/>
  <c r="A54" i="11" s="1"/>
  <c r="A55" i="11" s="1"/>
  <c r="F49" i="11"/>
  <c r="E49" i="11"/>
  <c r="E40" i="11"/>
  <c r="F40" i="11" s="1"/>
  <c r="D38" i="11"/>
  <c r="D41" i="11" s="1"/>
  <c r="C38" i="11"/>
  <c r="C41" i="11" s="1"/>
  <c r="E37" i="11"/>
  <c r="F37" i="11" s="1"/>
  <c r="E36" i="11"/>
  <c r="F36" i="11" s="1"/>
  <c r="E33" i="11"/>
  <c r="F33" i="11" s="1"/>
  <c r="E32" i="11"/>
  <c r="F32" i="11" s="1"/>
  <c r="F31" i="11"/>
  <c r="E31" i="11"/>
  <c r="D29" i="11"/>
  <c r="C29" i="11"/>
  <c r="F28" i="11"/>
  <c r="E28" i="11"/>
  <c r="F27" i="11"/>
  <c r="E27" i="11"/>
  <c r="F26" i="11"/>
  <c r="E26" i="11"/>
  <c r="E25" i="11"/>
  <c r="F25" i="11" s="1"/>
  <c r="D22" i="11"/>
  <c r="C22" i="11"/>
  <c r="E21" i="11"/>
  <c r="F21" i="11" s="1"/>
  <c r="F20" i="11"/>
  <c r="E20" i="11"/>
  <c r="E19" i="11"/>
  <c r="F19" i="11" s="1"/>
  <c r="F18" i="11"/>
  <c r="E18" i="11"/>
  <c r="F17" i="11"/>
  <c r="E17" i="11"/>
  <c r="F16" i="11"/>
  <c r="E16" i="11"/>
  <c r="E15" i="11"/>
  <c r="F15" i="11" s="1"/>
  <c r="E14" i="11"/>
  <c r="F14" i="11" s="1"/>
  <c r="F13" i="11"/>
  <c r="E13" i="11"/>
  <c r="D120" i="10"/>
  <c r="E120" i="10" s="1"/>
  <c r="C120" i="10"/>
  <c r="F120" i="10" s="1"/>
  <c r="D119" i="10"/>
  <c r="C119" i="10"/>
  <c r="F119" i="10" s="1"/>
  <c r="D118" i="10"/>
  <c r="E118" i="10" s="1"/>
  <c r="C118" i="10"/>
  <c r="F118" i="10" s="1"/>
  <c r="D117" i="10"/>
  <c r="C117" i="10"/>
  <c r="F117" i="10" s="1"/>
  <c r="F116" i="10"/>
  <c r="D116" i="10"/>
  <c r="E116" i="10"/>
  <c r="C116" i="10"/>
  <c r="D115" i="10"/>
  <c r="E115" i="10" s="1"/>
  <c r="C115" i="10"/>
  <c r="F115" i="10" s="1"/>
  <c r="F114" i="10"/>
  <c r="D114" i="10"/>
  <c r="E114" i="10" s="1"/>
  <c r="C114" i="10"/>
  <c r="D113" i="10"/>
  <c r="D122" i="10"/>
  <c r="C113" i="10"/>
  <c r="F113" i="10" s="1"/>
  <c r="F112" i="10"/>
  <c r="D112" i="10"/>
  <c r="C112" i="10"/>
  <c r="F108" i="10"/>
  <c r="D108" i="10"/>
  <c r="C108" i="10"/>
  <c r="D107" i="10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 s="1"/>
  <c r="D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F83" i="10"/>
  <c r="D83" i="10"/>
  <c r="E83" i="10" s="1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 s="1"/>
  <c r="C60" i="10"/>
  <c r="D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 s="1"/>
  <c r="D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 s="1"/>
  <c r="D35" i="10"/>
  <c r="E35" i="10" s="1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E24" i="10" s="1"/>
  <c r="C24" i="10"/>
  <c r="F24" i="10" s="1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F206" i="9" s="1"/>
  <c r="D205" i="9"/>
  <c r="C205" i="9"/>
  <c r="F205" i="9" s="1"/>
  <c r="D204" i="9"/>
  <c r="E204" i="9" s="1"/>
  <c r="C204" i="9"/>
  <c r="F204" i="9" s="1"/>
  <c r="D203" i="9"/>
  <c r="C203" i="9"/>
  <c r="F203" i="9" s="1"/>
  <c r="D202" i="9"/>
  <c r="E202" i="9" s="1"/>
  <c r="C202" i="9"/>
  <c r="F202" i="9" s="1"/>
  <c r="D201" i="9"/>
  <c r="E201" i="9" s="1"/>
  <c r="C201" i="9"/>
  <c r="F201" i="9" s="1"/>
  <c r="D200" i="9"/>
  <c r="E200" i="9" s="1"/>
  <c r="C200" i="9"/>
  <c r="F200" i="9" s="1"/>
  <c r="D199" i="9"/>
  <c r="C199" i="9"/>
  <c r="D198" i="9"/>
  <c r="D207" i="9" s="1"/>
  <c r="C198" i="9"/>
  <c r="F198" i="9" s="1"/>
  <c r="D193" i="9"/>
  <c r="C193" i="9"/>
  <c r="F192" i="9"/>
  <c r="D192" i="9"/>
  <c r="E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D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 s="1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C128" i="9"/>
  <c r="F128" i="9" s="1"/>
  <c r="D127" i="9"/>
  <c r="E127" i="9" s="1"/>
  <c r="C127" i="9"/>
  <c r="F127" i="9" s="1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5" i="9"/>
  <c r="D115" i="9"/>
  <c r="E115" i="9" s="1"/>
  <c r="C115" i="9"/>
  <c r="D114" i="9"/>
  <c r="E114" i="9" s="1"/>
  <c r="C114" i="9"/>
  <c r="F114" i="9" s="1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 s="1"/>
  <c r="C102" i="9"/>
  <c r="F102" i="9" s="1"/>
  <c r="D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E89" i="9" s="1"/>
  <c r="C89" i="9"/>
  <c r="F89" i="9" s="1"/>
  <c r="D88" i="9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C76" i="9"/>
  <c r="F76" i="9" s="1"/>
  <c r="D75" i="9"/>
  <c r="C75" i="9"/>
  <c r="F75" i="9" s="1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D63" i="9"/>
  <c r="E63" i="9" s="1"/>
  <c r="C63" i="9"/>
  <c r="F63" i="9" s="1"/>
  <c r="F62" i="9"/>
  <c r="D62" i="9"/>
  <c r="E62" i="9" s="1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F50" i="9" s="1"/>
  <c r="D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D37" i="9"/>
  <c r="E37" i="9"/>
  <c r="C37" i="9"/>
  <c r="F37" i="9" s="1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F24" i="9" s="1"/>
  <c r="F23" i="9"/>
  <c r="D23" i="9"/>
  <c r="E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E160" i="8" s="1"/>
  <c r="D164" i="8"/>
  <c r="C164" i="8"/>
  <c r="C160" i="8" s="1"/>
  <c r="E162" i="8"/>
  <c r="D162" i="8"/>
  <c r="D166" i="8" s="1"/>
  <c r="D152" i="8" s="1"/>
  <c r="C162" i="8"/>
  <c r="E161" i="8"/>
  <c r="D161" i="8"/>
  <c r="C161" i="8"/>
  <c r="C166" i="8" s="1"/>
  <c r="D160" i="8"/>
  <c r="E147" i="8"/>
  <c r="D147" i="8"/>
  <c r="D143" i="8" s="1"/>
  <c r="D149" i="8" s="1"/>
  <c r="C147" i="8"/>
  <c r="C143" i="8" s="1"/>
  <c r="E145" i="8"/>
  <c r="D145" i="8"/>
  <c r="C145" i="8"/>
  <c r="E144" i="8"/>
  <c r="D144" i="8"/>
  <c r="C144" i="8"/>
  <c r="E143" i="8"/>
  <c r="E149" i="8" s="1"/>
  <c r="E126" i="8"/>
  <c r="D126" i="8"/>
  <c r="C126" i="8"/>
  <c r="E119" i="8"/>
  <c r="D119" i="8"/>
  <c r="C119" i="8"/>
  <c r="E108" i="8"/>
  <c r="E109" i="8" s="1"/>
  <c r="E106" i="8" s="1"/>
  <c r="D108" i="8"/>
  <c r="C108" i="8"/>
  <c r="C109" i="8" s="1"/>
  <c r="C106" i="8" s="1"/>
  <c r="E107" i="8"/>
  <c r="D107" i="8"/>
  <c r="D109" i="8" s="1"/>
  <c r="D106" i="8" s="1"/>
  <c r="C107" i="8"/>
  <c r="E102" i="8"/>
  <c r="E104" i="8" s="1"/>
  <c r="D102" i="8"/>
  <c r="D104" i="8" s="1"/>
  <c r="C102" i="8"/>
  <c r="C104" i="8" s="1"/>
  <c r="E100" i="8"/>
  <c r="D100" i="8"/>
  <c r="C100" i="8"/>
  <c r="E95" i="8"/>
  <c r="E94" i="8"/>
  <c r="D95" i="8"/>
  <c r="D94" i="8" s="1"/>
  <c r="C95" i="8"/>
  <c r="C94" i="8" s="1"/>
  <c r="E89" i="8"/>
  <c r="D89" i="8"/>
  <c r="C89" i="8"/>
  <c r="E87" i="8"/>
  <c r="D87" i="8"/>
  <c r="C87" i="8"/>
  <c r="E84" i="8"/>
  <c r="E79" i="8" s="1"/>
  <c r="D84" i="8"/>
  <c r="C84" i="8"/>
  <c r="E83" i="8"/>
  <c r="D83" i="8"/>
  <c r="D79" i="8" s="1"/>
  <c r="C83" i="8"/>
  <c r="C79" i="8"/>
  <c r="E77" i="8"/>
  <c r="E75" i="8"/>
  <c r="E88" i="8" s="1"/>
  <c r="E90" i="8" s="1"/>
  <c r="D75" i="8"/>
  <c r="D88" i="8"/>
  <c r="D90" i="8"/>
  <c r="C75" i="8"/>
  <c r="E74" i="8"/>
  <c r="D74" i="8"/>
  <c r="C74" i="8"/>
  <c r="E67" i="8"/>
  <c r="D67" i="8"/>
  <c r="C67" i="8"/>
  <c r="D53" i="8"/>
  <c r="E38" i="8"/>
  <c r="D38" i="8"/>
  <c r="D43" i="8" s="1"/>
  <c r="D57" i="8"/>
  <c r="D62" i="8" s="1"/>
  <c r="C38" i="8"/>
  <c r="C57" i="8" s="1"/>
  <c r="C62" i="8"/>
  <c r="E33" i="8"/>
  <c r="E34" i="8"/>
  <c r="D33" i="8"/>
  <c r="D34" i="8" s="1"/>
  <c r="E26" i="8"/>
  <c r="D26" i="8"/>
  <c r="C26" i="8"/>
  <c r="E15" i="8"/>
  <c r="E24" i="8" s="1"/>
  <c r="E20" i="8" s="1"/>
  <c r="E13" i="8"/>
  <c r="E25" i="8" s="1"/>
  <c r="E27" i="8" s="1"/>
  <c r="E21" i="8" s="1"/>
  <c r="D13" i="8"/>
  <c r="D25" i="8" s="1"/>
  <c r="D27" i="8" s="1"/>
  <c r="C13" i="8"/>
  <c r="E186" i="7"/>
  <c r="F186" i="7" s="1"/>
  <c r="D183" i="7"/>
  <c r="C183" i="7"/>
  <c r="E182" i="7"/>
  <c r="F182" i="7" s="1"/>
  <c r="F181" i="7"/>
  <c r="E181" i="7"/>
  <c r="F180" i="7"/>
  <c r="E180" i="7"/>
  <c r="E179" i="7"/>
  <c r="F179" i="7" s="1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E171" i="7"/>
  <c r="F171" i="7" s="1"/>
  <c r="F170" i="7"/>
  <c r="E170" i="7"/>
  <c r="D167" i="7"/>
  <c r="C167" i="7"/>
  <c r="E166" i="7"/>
  <c r="F166" i="7" s="1"/>
  <c r="F165" i="7"/>
  <c r="E165" i="7"/>
  <c r="E164" i="7"/>
  <c r="F164" i="7" s="1"/>
  <c r="E163" i="7"/>
  <c r="F163" i="7" s="1"/>
  <c r="F162" i="7"/>
  <c r="E162" i="7"/>
  <c r="E161" i="7"/>
  <c r="F161" i="7" s="1"/>
  <c r="F160" i="7"/>
  <c r="E160" i="7"/>
  <c r="F159" i="7"/>
  <c r="E159" i="7"/>
  <c r="F158" i="7"/>
  <c r="E158" i="7"/>
  <c r="E157" i="7"/>
  <c r="F157" i="7" s="1"/>
  <c r="F156" i="7"/>
  <c r="E156" i="7"/>
  <c r="F155" i="7"/>
  <c r="E155" i="7"/>
  <c r="E154" i="7"/>
  <c r="F154" i="7" s="1"/>
  <c r="F153" i="7"/>
  <c r="E153" i="7"/>
  <c r="F152" i="7"/>
  <c r="E152" i="7"/>
  <c r="F151" i="7"/>
  <c r="E151" i="7"/>
  <c r="E150" i="7"/>
  <c r="F150" i="7" s="1"/>
  <c r="E149" i="7"/>
  <c r="F149" i="7" s="1"/>
  <c r="E148" i="7"/>
  <c r="F148" i="7" s="1"/>
  <c r="E147" i="7"/>
  <c r="F147" i="7" s="1"/>
  <c r="E146" i="7"/>
  <c r="F146" i="7" s="1"/>
  <c r="F145" i="7"/>
  <c r="E145" i="7"/>
  <c r="F144" i="7"/>
  <c r="E144" i="7"/>
  <c r="F143" i="7"/>
  <c r="E143" i="7"/>
  <c r="E142" i="7"/>
  <c r="F142" i="7" s="1"/>
  <c r="E141" i="7"/>
  <c r="F141" i="7" s="1"/>
  <c r="F140" i="7"/>
  <c r="E140" i="7"/>
  <c r="F139" i="7"/>
  <c r="E139" i="7"/>
  <c r="E138" i="7"/>
  <c r="F138" i="7" s="1"/>
  <c r="E137" i="7"/>
  <c r="F137" i="7" s="1"/>
  <c r="F136" i="7"/>
  <c r="E136" i="7"/>
  <c r="E135" i="7"/>
  <c r="F135" i="7" s="1"/>
  <c r="E134" i="7"/>
  <c r="F134" i="7" s="1"/>
  <c r="E133" i="7"/>
  <c r="F133" i="7" s="1"/>
  <c r="D130" i="7"/>
  <c r="E130" i="7" s="1"/>
  <c r="F130" i="7"/>
  <c r="C130" i="7"/>
  <c r="E129" i="7"/>
  <c r="F129" i="7" s="1"/>
  <c r="E128" i="7"/>
  <c r="F128" i="7" s="1"/>
  <c r="F127" i="7"/>
  <c r="E127" i="7"/>
  <c r="E126" i="7"/>
  <c r="F126" i="7" s="1"/>
  <c r="E125" i="7"/>
  <c r="F125" i="7" s="1"/>
  <c r="E124" i="7"/>
  <c r="F124" i="7" s="1"/>
  <c r="D121" i="7"/>
  <c r="E121" i="7" s="1"/>
  <c r="F121" i="7" s="1"/>
  <c r="C121" i="7"/>
  <c r="E120" i="7"/>
  <c r="F120" i="7" s="1"/>
  <c r="E119" i="7"/>
  <c r="F119" i="7" s="1"/>
  <c r="E118" i="7"/>
  <c r="F118" i="7" s="1"/>
  <c r="E117" i="7"/>
  <c r="F117" i="7" s="1"/>
  <c r="E116" i="7"/>
  <c r="F116" i="7" s="1"/>
  <c r="E115" i="7"/>
  <c r="F115" i="7" s="1"/>
  <c r="E114" i="7"/>
  <c r="F114" i="7" s="1"/>
  <c r="E113" i="7"/>
  <c r="F113" i="7" s="1"/>
  <c r="E112" i="7"/>
  <c r="F112" i="7" s="1"/>
  <c r="F111" i="7"/>
  <c r="E111" i="7"/>
  <c r="F110" i="7"/>
  <c r="E110" i="7"/>
  <c r="E109" i="7"/>
  <c r="F109" i="7" s="1"/>
  <c r="E108" i="7"/>
  <c r="F108" i="7" s="1"/>
  <c r="E107" i="7"/>
  <c r="F107" i="7" s="1"/>
  <c r="F106" i="7"/>
  <c r="E106" i="7"/>
  <c r="F105" i="7"/>
  <c r="E105" i="7"/>
  <c r="E104" i="7"/>
  <c r="F104" i="7" s="1"/>
  <c r="F103" i="7"/>
  <c r="E103" i="7"/>
  <c r="E93" i="7"/>
  <c r="F93" i="7" s="1"/>
  <c r="D90" i="7"/>
  <c r="C90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E76" i="7"/>
  <c r="F76" i="7" s="1"/>
  <c r="F75" i="7"/>
  <c r="E75" i="7"/>
  <c r="E74" i="7"/>
  <c r="F74" i="7" s="1"/>
  <c r="E73" i="7"/>
  <c r="F73" i="7" s="1"/>
  <c r="E72" i="7"/>
  <c r="F72" i="7" s="1"/>
  <c r="E71" i="7"/>
  <c r="F71" i="7" s="1"/>
  <c r="E70" i="7"/>
  <c r="F70" i="7" s="1"/>
  <c r="E69" i="7"/>
  <c r="F69" i="7" s="1"/>
  <c r="E68" i="7"/>
  <c r="F68" i="7" s="1"/>
  <c r="E67" i="7"/>
  <c r="F67" i="7" s="1"/>
  <c r="E66" i="7"/>
  <c r="F66" i="7" s="1"/>
  <c r="E65" i="7"/>
  <c r="F65" i="7" s="1"/>
  <c r="E64" i="7"/>
  <c r="F64" i="7" s="1"/>
  <c r="F63" i="7"/>
  <c r="E63" i="7"/>
  <c r="E62" i="7"/>
  <c r="F62" i="7" s="1"/>
  <c r="D59" i="7"/>
  <c r="E59" i="7"/>
  <c r="C59" i="7"/>
  <c r="E58" i="7"/>
  <c r="F58" i="7" s="1"/>
  <c r="E57" i="7"/>
  <c r="F57" i="7" s="1"/>
  <c r="E56" i="7"/>
  <c r="F56" i="7" s="1"/>
  <c r="F55" i="7"/>
  <c r="E55" i="7"/>
  <c r="E54" i="7"/>
  <c r="F54" i="7" s="1"/>
  <c r="E53" i="7"/>
  <c r="F53" i="7" s="1"/>
  <c r="F50" i="7"/>
  <c r="E50" i="7"/>
  <c r="E47" i="7"/>
  <c r="F47" i="7" s="1"/>
  <c r="F44" i="7"/>
  <c r="E44" i="7"/>
  <c r="D41" i="7"/>
  <c r="C41" i="7"/>
  <c r="E40" i="7"/>
  <c r="F40" i="7" s="1"/>
  <c r="F39" i="7"/>
  <c r="E39" i="7"/>
  <c r="E38" i="7"/>
  <c r="F38" i="7" s="1"/>
  <c r="D35" i="7"/>
  <c r="E35" i="7"/>
  <c r="F35" i="7" s="1"/>
  <c r="C35" i="7"/>
  <c r="E34" i="7"/>
  <c r="F34" i="7" s="1"/>
  <c r="E33" i="7"/>
  <c r="F33" i="7" s="1"/>
  <c r="D30" i="7"/>
  <c r="E30" i="7" s="1"/>
  <c r="F30" i="7" s="1"/>
  <c r="C30" i="7"/>
  <c r="F29" i="7"/>
  <c r="E29" i="7"/>
  <c r="E28" i="7"/>
  <c r="F28" i="7" s="1"/>
  <c r="F27" i="7"/>
  <c r="E27" i="7"/>
  <c r="D24" i="7"/>
  <c r="C24" i="7"/>
  <c r="E23" i="7"/>
  <c r="F23" i="7" s="1"/>
  <c r="F22" i="7"/>
  <c r="E22" i="7"/>
  <c r="E21" i="7"/>
  <c r="F21" i="7" s="1"/>
  <c r="D18" i="7"/>
  <c r="C18" i="7"/>
  <c r="E17" i="7"/>
  <c r="F17" i="7" s="1"/>
  <c r="F16" i="7"/>
  <c r="E16" i="7"/>
  <c r="E15" i="7"/>
  <c r="F15" i="7" s="1"/>
  <c r="D179" i="6"/>
  <c r="C179" i="6"/>
  <c r="E179" i="6" s="1"/>
  <c r="F178" i="6"/>
  <c r="E178" i="6"/>
  <c r="F177" i="6"/>
  <c r="E177" i="6"/>
  <c r="E176" i="6"/>
  <c r="F176" i="6" s="1"/>
  <c r="F175" i="6"/>
  <c r="E175" i="6"/>
  <c r="E174" i="6"/>
  <c r="F174" i="6" s="1"/>
  <c r="F173" i="6"/>
  <c r="E173" i="6"/>
  <c r="E172" i="6"/>
  <c r="F172" i="6" s="1"/>
  <c r="F171" i="6"/>
  <c r="E171" i="6"/>
  <c r="E170" i="6"/>
  <c r="F170" i="6" s="1"/>
  <c r="F169" i="6"/>
  <c r="E169" i="6"/>
  <c r="E168" i="6"/>
  <c r="F168" i="6" s="1"/>
  <c r="D166" i="6"/>
  <c r="E166" i="6"/>
  <c r="F166" i="6" s="1"/>
  <c r="C166" i="6"/>
  <c r="F165" i="6"/>
  <c r="E165" i="6"/>
  <c r="F164" i="6"/>
  <c r="E164" i="6"/>
  <c r="E163" i="6"/>
  <c r="F163" i="6" s="1"/>
  <c r="F162" i="6"/>
  <c r="E162" i="6"/>
  <c r="E161" i="6"/>
  <c r="F161" i="6" s="1"/>
  <c r="F160" i="6"/>
  <c r="E160" i="6"/>
  <c r="E159" i="6"/>
  <c r="F159" i="6" s="1"/>
  <c r="F158" i="6"/>
  <c r="E158" i="6"/>
  <c r="E157" i="6"/>
  <c r="F157" i="6" s="1"/>
  <c r="F156" i="6"/>
  <c r="E156" i="6"/>
  <c r="E155" i="6"/>
  <c r="F155" i="6" s="1"/>
  <c r="D153" i="6"/>
  <c r="C153" i="6"/>
  <c r="F152" i="6"/>
  <c r="E152" i="6"/>
  <c r="F151" i="6"/>
  <c r="E151" i="6"/>
  <c r="F150" i="6"/>
  <c r="E150" i="6"/>
  <c r="F149" i="6"/>
  <c r="E149" i="6"/>
  <c r="E148" i="6"/>
  <c r="F148" i="6" s="1"/>
  <c r="F147" i="6"/>
  <c r="E147" i="6"/>
  <c r="F146" i="6"/>
  <c r="E146" i="6"/>
  <c r="F145" i="6"/>
  <c r="E145" i="6"/>
  <c r="E144" i="6"/>
  <c r="F144" i="6" s="1"/>
  <c r="F143" i="6"/>
  <c r="E143" i="6"/>
  <c r="E142" i="6"/>
  <c r="F142" i="6" s="1"/>
  <c r="D137" i="6"/>
  <c r="C137" i="6"/>
  <c r="F136" i="6"/>
  <c r="E136" i="6"/>
  <c r="F135" i="6"/>
  <c r="E135" i="6"/>
  <c r="E134" i="6"/>
  <c r="F134" i="6" s="1"/>
  <c r="F133" i="6"/>
  <c r="E133" i="6"/>
  <c r="E132" i="6"/>
  <c r="F132" i="6" s="1"/>
  <c r="F131" i="6"/>
  <c r="E131" i="6"/>
  <c r="E130" i="6"/>
  <c r="F130" i="6" s="1"/>
  <c r="F129" i="6"/>
  <c r="E129" i="6"/>
  <c r="E128" i="6"/>
  <c r="F128" i="6" s="1"/>
  <c r="F127" i="6"/>
  <c r="E127" i="6"/>
  <c r="E126" i="6"/>
  <c r="F126" i="6" s="1"/>
  <c r="D124" i="6"/>
  <c r="E124" i="6"/>
  <c r="C124" i="6"/>
  <c r="F123" i="6"/>
  <c r="E123" i="6"/>
  <c r="F122" i="6"/>
  <c r="E122" i="6"/>
  <c r="E121" i="6"/>
  <c r="F121" i="6" s="1"/>
  <c r="F120" i="6"/>
  <c r="E120" i="6"/>
  <c r="E119" i="6"/>
  <c r="F119" i="6" s="1"/>
  <c r="F118" i="6"/>
  <c r="E118" i="6"/>
  <c r="E117" i="6"/>
  <c r="F117" i="6" s="1"/>
  <c r="F116" i="6"/>
  <c r="E116" i="6"/>
  <c r="F115" i="6"/>
  <c r="E115" i="6"/>
  <c r="F114" i="6"/>
  <c r="E114" i="6"/>
  <c r="E113" i="6"/>
  <c r="F113" i="6" s="1"/>
  <c r="D111" i="6"/>
  <c r="E111" i="6"/>
  <c r="F111" i="6" s="1"/>
  <c r="C111" i="6"/>
  <c r="F110" i="6"/>
  <c r="E110" i="6"/>
  <c r="F109" i="6"/>
  <c r="E109" i="6"/>
  <c r="E108" i="6"/>
  <c r="F108" i="6" s="1"/>
  <c r="F107" i="6"/>
  <c r="E107" i="6"/>
  <c r="E106" i="6"/>
  <c r="F106" i="6" s="1"/>
  <c r="F105" i="6"/>
  <c r="E105" i="6"/>
  <c r="E104" i="6"/>
  <c r="F104" i="6" s="1"/>
  <c r="F103" i="6"/>
  <c r="E103" i="6"/>
  <c r="E102" i="6"/>
  <c r="F102" i="6" s="1"/>
  <c r="F101" i="6"/>
  <c r="E101" i="6"/>
  <c r="E100" i="6"/>
  <c r="F100" i="6" s="1"/>
  <c r="D94" i="6"/>
  <c r="C94" i="6"/>
  <c r="D93" i="6"/>
  <c r="E93" i="6" s="1"/>
  <c r="C93" i="6"/>
  <c r="F93" i="6" s="1"/>
  <c r="D92" i="6"/>
  <c r="C92" i="6"/>
  <c r="D91" i="6"/>
  <c r="C91" i="6"/>
  <c r="F91" i="6" s="1"/>
  <c r="D90" i="6"/>
  <c r="C90" i="6"/>
  <c r="D89" i="6"/>
  <c r="E89" i="6" s="1"/>
  <c r="C89" i="6"/>
  <c r="F89" i="6" s="1"/>
  <c r="D88" i="6"/>
  <c r="C88" i="6"/>
  <c r="D87" i="6"/>
  <c r="C87" i="6"/>
  <c r="F87" i="6" s="1"/>
  <c r="D86" i="6"/>
  <c r="C86" i="6"/>
  <c r="D85" i="6"/>
  <c r="E85" i="6" s="1"/>
  <c r="C85" i="6"/>
  <c r="F85" i="6" s="1"/>
  <c r="D84" i="6"/>
  <c r="C84" i="6"/>
  <c r="D81" i="6"/>
  <c r="E81" i="6"/>
  <c r="C81" i="6"/>
  <c r="F80" i="6"/>
  <c r="E80" i="6"/>
  <c r="F79" i="6"/>
  <c r="E79" i="6"/>
  <c r="E78" i="6"/>
  <c r="F78" i="6" s="1"/>
  <c r="F77" i="6"/>
  <c r="E77" i="6"/>
  <c r="E76" i="6"/>
  <c r="F76" i="6" s="1"/>
  <c r="F75" i="6"/>
  <c r="E75" i="6"/>
  <c r="E74" i="6"/>
  <c r="F74" i="6" s="1"/>
  <c r="F73" i="6"/>
  <c r="E73" i="6"/>
  <c r="F72" i="6"/>
  <c r="E72" i="6"/>
  <c r="F71" i="6"/>
  <c r="E71" i="6"/>
  <c r="E70" i="6"/>
  <c r="F70" i="6" s="1"/>
  <c r="D68" i="6"/>
  <c r="E68" i="6"/>
  <c r="F68" i="6" s="1"/>
  <c r="C68" i="6"/>
  <c r="F67" i="6"/>
  <c r="E67" i="6"/>
  <c r="F66" i="6"/>
  <c r="E66" i="6"/>
  <c r="E65" i="6"/>
  <c r="F65" i="6" s="1"/>
  <c r="F64" i="6"/>
  <c r="E64" i="6"/>
  <c r="E63" i="6"/>
  <c r="F63" i="6" s="1"/>
  <c r="F62" i="6"/>
  <c r="E62" i="6"/>
  <c r="E61" i="6"/>
  <c r="F61" i="6" s="1"/>
  <c r="F60" i="6"/>
  <c r="E60" i="6"/>
  <c r="E59" i="6"/>
  <c r="F59" i="6" s="1"/>
  <c r="F58" i="6"/>
  <c r="E58" i="6"/>
  <c r="E57" i="6"/>
  <c r="F57" i="6" s="1"/>
  <c r="D51" i="6"/>
  <c r="C51" i="6"/>
  <c r="D50" i="6"/>
  <c r="C50" i="6"/>
  <c r="F50" i="6" s="1"/>
  <c r="D49" i="6"/>
  <c r="C49" i="6"/>
  <c r="D48" i="6"/>
  <c r="C48" i="6"/>
  <c r="F48" i="6" s="1"/>
  <c r="D47" i="6"/>
  <c r="C47" i="6"/>
  <c r="D46" i="6"/>
  <c r="C46" i="6"/>
  <c r="F46" i="6" s="1"/>
  <c r="D45" i="6"/>
  <c r="C45" i="6"/>
  <c r="D44" i="6"/>
  <c r="C44" i="6"/>
  <c r="F44" i="6" s="1"/>
  <c r="D43" i="6"/>
  <c r="C43" i="6"/>
  <c r="D42" i="6"/>
  <c r="C42" i="6"/>
  <c r="F42" i="6" s="1"/>
  <c r="D41" i="6"/>
  <c r="D52" i="6" s="1"/>
  <c r="C41" i="6"/>
  <c r="C52" i="6" s="1"/>
  <c r="D38" i="6"/>
  <c r="C38" i="6"/>
  <c r="F37" i="6"/>
  <c r="E37" i="6"/>
  <c r="F36" i="6"/>
  <c r="E36" i="6"/>
  <c r="E35" i="6"/>
  <c r="F35" i="6" s="1"/>
  <c r="F34" i="6"/>
  <c r="E34" i="6"/>
  <c r="E33" i="6"/>
  <c r="F33" i="6" s="1"/>
  <c r="F32" i="6"/>
  <c r="E32" i="6"/>
  <c r="E31" i="6"/>
  <c r="F31" i="6" s="1"/>
  <c r="F30" i="6"/>
  <c r="E30" i="6"/>
  <c r="F29" i="6"/>
  <c r="E29" i="6"/>
  <c r="F28" i="6"/>
  <c r="E28" i="6"/>
  <c r="E27" i="6"/>
  <c r="F27" i="6" s="1"/>
  <c r="D25" i="6"/>
  <c r="E25" i="6" s="1"/>
  <c r="F25" i="6" s="1"/>
  <c r="C25" i="6"/>
  <c r="F24" i="6"/>
  <c r="E24" i="6"/>
  <c r="F23" i="6"/>
  <c r="E23" i="6"/>
  <c r="E22" i="6"/>
  <c r="F22" i="6" s="1"/>
  <c r="F21" i="6"/>
  <c r="E21" i="6"/>
  <c r="E20" i="6"/>
  <c r="F20" i="6" s="1"/>
  <c r="F19" i="6"/>
  <c r="E19" i="6"/>
  <c r="E18" i="6"/>
  <c r="F18" i="6" s="1"/>
  <c r="F17" i="6"/>
  <c r="E17" i="6"/>
  <c r="E16" i="6"/>
  <c r="F16" i="6" s="1"/>
  <c r="F15" i="6"/>
  <c r="E15" i="6"/>
  <c r="E14" i="6"/>
  <c r="F14" i="6" s="1"/>
  <c r="E51" i="5"/>
  <c r="F51" i="5" s="1"/>
  <c r="D48" i="5"/>
  <c r="C48" i="5"/>
  <c r="E48" i="5" s="1"/>
  <c r="F48" i="5"/>
  <c r="F47" i="5"/>
  <c r="E47" i="5"/>
  <c r="F46" i="5"/>
  <c r="E46" i="5"/>
  <c r="D41" i="5"/>
  <c r="C41" i="5"/>
  <c r="E41" i="5" s="1"/>
  <c r="E40" i="5"/>
  <c r="F40" i="5" s="1"/>
  <c r="F39" i="5"/>
  <c r="E39" i="5"/>
  <c r="E38" i="5"/>
  <c r="F38" i="5" s="1"/>
  <c r="D33" i="5"/>
  <c r="C33" i="5"/>
  <c r="E32" i="5"/>
  <c r="F32" i="5" s="1"/>
  <c r="E31" i="5"/>
  <c r="F31" i="5" s="1"/>
  <c r="E30" i="5"/>
  <c r="F30" i="5" s="1"/>
  <c r="F29" i="5"/>
  <c r="E29" i="5"/>
  <c r="F28" i="5"/>
  <c r="E28" i="5"/>
  <c r="E27" i="5"/>
  <c r="F27" i="5" s="1"/>
  <c r="E26" i="5"/>
  <c r="F26" i="5" s="1"/>
  <c r="E25" i="5"/>
  <c r="F25" i="5" s="1"/>
  <c r="E24" i="5"/>
  <c r="F24" i="5" s="1"/>
  <c r="E20" i="5"/>
  <c r="F20" i="5" s="1"/>
  <c r="E19" i="5"/>
  <c r="F19" i="5" s="1"/>
  <c r="E17" i="5"/>
  <c r="F17" i="5" s="1"/>
  <c r="D16" i="5"/>
  <c r="D18" i="5" s="1"/>
  <c r="C16" i="5"/>
  <c r="C18" i="5" s="1"/>
  <c r="E15" i="5"/>
  <c r="F15" i="5" s="1"/>
  <c r="E14" i="5"/>
  <c r="F14" i="5" s="1"/>
  <c r="E13" i="5"/>
  <c r="F13" i="5" s="1"/>
  <c r="E12" i="5"/>
  <c r="F12" i="5" s="1"/>
  <c r="D73" i="4"/>
  <c r="C73" i="4"/>
  <c r="E72" i="4"/>
  <c r="F72" i="4" s="1"/>
  <c r="E71" i="4"/>
  <c r="F71" i="4" s="1"/>
  <c r="E70" i="4"/>
  <c r="F70" i="4"/>
  <c r="F67" i="4"/>
  <c r="E67" i="4"/>
  <c r="E64" i="4"/>
  <c r="F64" i="4"/>
  <c r="E63" i="4"/>
  <c r="F63" i="4" s="1"/>
  <c r="D61" i="4"/>
  <c r="D65" i="4" s="1"/>
  <c r="C61" i="4"/>
  <c r="E60" i="4"/>
  <c r="F60" i="4" s="1"/>
  <c r="E59" i="4"/>
  <c r="F59" i="4" s="1"/>
  <c r="D56" i="4"/>
  <c r="C56" i="4"/>
  <c r="E55" i="4"/>
  <c r="F55" i="4"/>
  <c r="E54" i="4"/>
  <c r="F54" i="4" s="1"/>
  <c r="E53" i="4"/>
  <c r="F53" i="4" s="1"/>
  <c r="E52" i="4"/>
  <c r="F52" i="4" s="1"/>
  <c r="E51" i="4"/>
  <c r="F51" i="4"/>
  <c r="E50" i="4"/>
  <c r="F50" i="4" s="1"/>
  <c r="A50" i="4"/>
  <c r="A51" i="4" s="1"/>
  <c r="A52" i="4" s="1"/>
  <c r="A53" i="4"/>
  <c r="A54" i="4" s="1"/>
  <c r="A55" i="4" s="1"/>
  <c r="E49" i="4"/>
  <c r="F49" i="4"/>
  <c r="E40" i="4"/>
  <c r="F40" i="4" s="1"/>
  <c r="D38" i="4"/>
  <c r="D41" i="4"/>
  <c r="E41" i="4" s="1"/>
  <c r="F41" i="4" s="1"/>
  <c r="C38" i="4"/>
  <c r="E37" i="4"/>
  <c r="F37" i="4" s="1"/>
  <c r="E36" i="4"/>
  <c r="F36" i="4" s="1"/>
  <c r="E33" i="4"/>
  <c r="F33" i="4"/>
  <c r="F32" i="4"/>
  <c r="E32" i="4"/>
  <c r="E31" i="4"/>
  <c r="F31" i="4" s="1"/>
  <c r="D29" i="4"/>
  <c r="C29" i="4"/>
  <c r="F28" i="4"/>
  <c r="E28" i="4"/>
  <c r="F27" i="4"/>
  <c r="E27" i="4"/>
  <c r="F26" i="4"/>
  <c r="E26" i="4"/>
  <c r="E25" i="4"/>
  <c r="F25" i="4" s="1"/>
  <c r="D22" i="4"/>
  <c r="C22" i="4"/>
  <c r="E21" i="4"/>
  <c r="F21" i="4"/>
  <c r="E20" i="4"/>
  <c r="F20" i="4" s="1"/>
  <c r="E19" i="4"/>
  <c r="F19" i="4" s="1"/>
  <c r="F18" i="4"/>
  <c r="E18" i="4"/>
  <c r="E17" i="4"/>
  <c r="F17" i="4" s="1"/>
  <c r="E16" i="4"/>
  <c r="F16" i="4" s="1"/>
  <c r="E15" i="4"/>
  <c r="F15" i="4" s="1"/>
  <c r="F14" i="4"/>
  <c r="E14" i="4"/>
  <c r="E13" i="4"/>
  <c r="F13" i="4"/>
  <c r="D108" i="22"/>
  <c r="D109" i="22"/>
  <c r="D22" i="22"/>
  <c r="D39" i="22" s="1"/>
  <c r="C23" i="22"/>
  <c r="E23" i="22"/>
  <c r="C34" i="22"/>
  <c r="E34" i="22"/>
  <c r="E102" i="22"/>
  <c r="E103" i="22" s="1"/>
  <c r="C22" i="22"/>
  <c r="E22" i="22"/>
  <c r="D41" i="20"/>
  <c r="E39" i="20"/>
  <c r="F20" i="20"/>
  <c r="E19" i="20"/>
  <c r="F19" i="20"/>
  <c r="E43" i="20"/>
  <c r="F43" i="20" s="1"/>
  <c r="E85" i="17"/>
  <c r="F85" i="17" s="1"/>
  <c r="D192" i="17"/>
  <c r="E135" i="17"/>
  <c r="F135" i="17" s="1"/>
  <c r="E155" i="17"/>
  <c r="E164" i="17"/>
  <c r="E165" i="17"/>
  <c r="E170" i="17"/>
  <c r="E180" i="17"/>
  <c r="C22" i="19"/>
  <c r="E94" i="17"/>
  <c r="F94" i="17" s="1"/>
  <c r="E100" i="17"/>
  <c r="E120" i="17"/>
  <c r="F120" i="17" s="1"/>
  <c r="E294" i="17"/>
  <c r="E295" i="17"/>
  <c r="F295" i="17" s="1"/>
  <c r="E296" i="17"/>
  <c r="E297" i="17"/>
  <c r="F297" i="17" s="1"/>
  <c r="E298" i="17"/>
  <c r="E36" i="18"/>
  <c r="E54" i="18"/>
  <c r="E129" i="17"/>
  <c r="E130" i="17"/>
  <c r="D289" i="18"/>
  <c r="D71" i="18"/>
  <c r="D65" i="18"/>
  <c r="D144" i="18"/>
  <c r="E144" i="18" s="1"/>
  <c r="C145" i="18"/>
  <c r="C240" i="18"/>
  <c r="C222" i="18"/>
  <c r="E216" i="18"/>
  <c r="E242" i="18"/>
  <c r="E244" i="18"/>
  <c r="E245" i="18"/>
  <c r="C303" i="18"/>
  <c r="C306" i="18" s="1"/>
  <c r="C261" i="18"/>
  <c r="C189" i="18"/>
  <c r="E189" i="18"/>
  <c r="E188" i="18"/>
  <c r="D260" i="18"/>
  <c r="E195" i="18"/>
  <c r="E215" i="18"/>
  <c r="D320" i="18"/>
  <c r="E221" i="18"/>
  <c r="E265" i="18"/>
  <c r="E314" i="18"/>
  <c r="E218" i="18"/>
  <c r="E220" i="18"/>
  <c r="E233" i="18"/>
  <c r="E301" i="18"/>
  <c r="C32" i="17"/>
  <c r="C61" i="17"/>
  <c r="C207" i="17"/>
  <c r="C138" i="17"/>
  <c r="C173" i="17"/>
  <c r="F173" i="17" s="1"/>
  <c r="F172" i="17"/>
  <c r="D32" i="17"/>
  <c r="E31" i="17"/>
  <c r="F31" i="17" s="1"/>
  <c r="D160" i="17"/>
  <c r="E60" i="17"/>
  <c r="C103" i="17"/>
  <c r="D207" i="17"/>
  <c r="E137" i="17"/>
  <c r="F137" i="17" s="1"/>
  <c r="D138" i="17"/>
  <c r="E172" i="17"/>
  <c r="D173" i="17"/>
  <c r="E173" i="17" s="1"/>
  <c r="C21" i="17"/>
  <c r="E30" i="17"/>
  <c r="F30" i="17" s="1"/>
  <c r="E35" i="17"/>
  <c r="F35" i="17" s="1"/>
  <c r="C37" i="17"/>
  <c r="E66" i="17"/>
  <c r="F66" i="17" s="1"/>
  <c r="E76" i="17"/>
  <c r="F76" i="17" s="1"/>
  <c r="F100" i="17"/>
  <c r="D124" i="17"/>
  <c r="F129" i="17"/>
  <c r="F130" i="17"/>
  <c r="F155" i="17"/>
  <c r="F158" i="17"/>
  <c r="F164" i="17"/>
  <c r="F165" i="17"/>
  <c r="F170" i="17"/>
  <c r="F171" i="17"/>
  <c r="F180" i="17"/>
  <c r="D277" i="17"/>
  <c r="D261" i="17"/>
  <c r="D280" i="17"/>
  <c r="E191" i="17"/>
  <c r="F191" i="17" s="1"/>
  <c r="D264" i="17"/>
  <c r="D200" i="17"/>
  <c r="D193" i="17"/>
  <c r="D282" i="17" s="1"/>
  <c r="D21" i="17"/>
  <c r="E88" i="17"/>
  <c r="F88" i="17" s="1"/>
  <c r="E101" i="17"/>
  <c r="F101" i="17"/>
  <c r="C193" i="17"/>
  <c r="C192" i="17"/>
  <c r="E136" i="17"/>
  <c r="F136" i="17"/>
  <c r="E158" i="17"/>
  <c r="E171" i="17"/>
  <c r="E179" i="17"/>
  <c r="C277" i="17"/>
  <c r="C261" i="17"/>
  <c r="C254" i="17"/>
  <c r="C206" i="17"/>
  <c r="E188" i="17"/>
  <c r="F188" i="17" s="1"/>
  <c r="C278" i="17"/>
  <c r="C255" i="17"/>
  <c r="C280" i="17"/>
  <c r="C264" i="17"/>
  <c r="C200" i="17"/>
  <c r="D290" i="17"/>
  <c r="E290" i="17" s="1"/>
  <c r="F290" i="17" s="1"/>
  <c r="D274" i="17"/>
  <c r="D285" i="17"/>
  <c r="E285" i="17"/>
  <c r="F285" i="17" s="1"/>
  <c r="D269" i="17"/>
  <c r="D227" i="17"/>
  <c r="E198" i="17"/>
  <c r="F198" i="17" s="1"/>
  <c r="E204" i="17"/>
  <c r="F204" i="17" s="1"/>
  <c r="E250" i="17"/>
  <c r="F250" i="17" s="1"/>
  <c r="C267" i="17"/>
  <c r="C268" i="17" s="1"/>
  <c r="C269" i="17"/>
  <c r="C274" i="17"/>
  <c r="F294" i="17"/>
  <c r="F296" i="17"/>
  <c r="F298" i="17"/>
  <c r="F38" i="14"/>
  <c r="F40" i="14" s="1"/>
  <c r="I31" i="14"/>
  <c r="I17" i="14"/>
  <c r="F31" i="14"/>
  <c r="H31" i="14" s="1"/>
  <c r="C33" i="14"/>
  <c r="C36" i="14" s="1"/>
  <c r="C38" i="14" s="1"/>
  <c r="C40" i="14" s="1"/>
  <c r="E33" i="14"/>
  <c r="E36" i="14" s="1"/>
  <c r="E38" i="14" s="1"/>
  <c r="E40" i="14" s="1"/>
  <c r="G33" i="14"/>
  <c r="H17" i="14"/>
  <c r="D15" i="13"/>
  <c r="E17" i="13"/>
  <c r="E28" i="13" s="1"/>
  <c r="E70" i="13" s="1"/>
  <c r="E72" i="13" s="1"/>
  <c r="E69" i="13" s="1"/>
  <c r="D48" i="13"/>
  <c r="D42" i="13"/>
  <c r="C20" i="12"/>
  <c r="E56" i="11"/>
  <c r="F56" i="11" s="1"/>
  <c r="E112" i="10"/>
  <c r="E113" i="10"/>
  <c r="E140" i="8"/>
  <c r="E138" i="8"/>
  <c r="E136" i="8"/>
  <c r="E139" i="8"/>
  <c r="E137" i="8"/>
  <c r="E135" i="8"/>
  <c r="D139" i="8"/>
  <c r="D140" i="8"/>
  <c r="D138" i="8"/>
  <c r="C157" i="8"/>
  <c r="C153" i="8"/>
  <c r="C152" i="8"/>
  <c r="D21" i="8"/>
  <c r="D156" i="8"/>
  <c r="D154" i="8"/>
  <c r="D157" i="8"/>
  <c r="D155" i="8"/>
  <c r="D153" i="8"/>
  <c r="D15" i="8"/>
  <c r="E17" i="8"/>
  <c r="E28" i="8" s="1"/>
  <c r="E22" i="8" s="1"/>
  <c r="C43" i="8"/>
  <c r="D49" i="8"/>
  <c r="C53" i="8"/>
  <c r="E53" i="8"/>
  <c r="D77" i="8"/>
  <c r="D71" i="8" s="1"/>
  <c r="C49" i="8"/>
  <c r="E49" i="8"/>
  <c r="E90" i="7"/>
  <c r="F90" i="7" s="1"/>
  <c r="E183" i="7"/>
  <c r="F183" i="7" s="1"/>
  <c r="E41" i="6"/>
  <c r="F41" i="6" s="1"/>
  <c r="E84" i="6"/>
  <c r="F84" i="6" s="1"/>
  <c r="D21" i="5"/>
  <c r="D35" i="5" s="1"/>
  <c r="D43" i="5" s="1"/>
  <c r="D50" i="5" s="1"/>
  <c r="E16" i="5"/>
  <c r="F16" i="5" s="1"/>
  <c r="E22" i="4"/>
  <c r="F22" i="4" s="1"/>
  <c r="E29" i="4"/>
  <c r="F29" i="4" s="1"/>
  <c r="E38" i="4"/>
  <c r="F38" i="4" s="1"/>
  <c r="C41" i="4"/>
  <c r="C43" i="4" s="1"/>
  <c r="E56" i="4"/>
  <c r="E61" i="4"/>
  <c r="F61" i="4" s="1"/>
  <c r="C65" i="4"/>
  <c r="E53" i="22"/>
  <c r="E45" i="22"/>
  <c r="E35" i="22"/>
  <c r="E29" i="22"/>
  <c r="E47" i="22" s="1"/>
  <c r="C54" i="22"/>
  <c r="C46" i="22"/>
  <c r="C40" i="22"/>
  <c r="C36" i="22"/>
  <c r="C30" i="22"/>
  <c r="C53" i="22"/>
  <c r="C45" i="22"/>
  <c r="C39" i="22"/>
  <c r="C35" i="22"/>
  <c r="C29" i="22"/>
  <c r="E111" i="22"/>
  <c r="E54" i="22"/>
  <c r="E46" i="22"/>
  <c r="E40" i="22"/>
  <c r="E36" i="22"/>
  <c r="E30" i="22"/>
  <c r="E113" i="22" s="1"/>
  <c r="D53" i="22"/>
  <c r="D45" i="22"/>
  <c r="D35" i="22"/>
  <c r="D29" i="22"/>
  <c r="D266" i="17"/>
  <c r="D66" i="18"/>
  <c r="E260" i="18"/>
  <c r="D76" i="18"/>
  <c r="E269" i="17"/>
  <c r="F269" i="17" s="1"/>
  <c r="E193" i="17"/>
  <c r="D194" i="17"/>
  <c r="D195" i="17" s="1"/>
  <c r="D300" i="17"/>
  <c r="E280" i="17"/>
  <c r="F280" i="17"/>
  <c r="D281" i="17"/>
  <c r="E138" i="17"/>
  <c r="F138" i="17" s="1"/>
  <c r="D208" i="17"/>
  <c r="D175" i="17"/>
  <c r="D176" i="17" s="1"/>
  <c r="C208" i="17"/>
  <c r="C210" i="17" s="1"/>
  <c r="C175" i="17"/>
  <c r="C140" i="17"/>
  <c r="C300" i="17"/>
  <c r="E300" i="17" s="1"/>
  <c r="F300" i="17" s="1"/>
  <c r="C271" i="17"/>
  <c r="F193" i="17"/>
  <c r="D126" i="17"/>
  <c r="E21" i="17"/>
  <c r="F21" i="17" s="1"/>
  <c r="E200" i="17"/>
  <c r="F200" i="17"/>
  <c r="C161" i="17"/>
  <c r="C162" i="17" s="1"/>
  <c r="C91" i="17"/>
  <c r="C92" i="17" s="1"/>
  <c r="C282" i="17"/>
  <c r="E282" i="17" s="1"/>
  <c r="F282" i="17" s="1"/>
  <c r="E192" i="17"/>
  <c r="F192" i="17" s="1"/>
  <c r="G36" i="14"/>
  <c r="G38" i="14"/>
  <c r="G40" i="14"/>
  <c r="I33" i="14"/>
  <c r="I36" i="14"/>
  <c r="I38" i="14" s="1"/>
  <c r="I40" i="14" s="1"/>
  <c r="H33" i="14"/>
  <c r="H36" i="14" s="1"/>
  <c r="E112" i="8"/>
  <c r="E111" i="8" s="1"/>
  <c r="D24" i="8"/>
  <c r="D20" i="8" s="1"/>
  <c r="D17" i="8"/>
  <c r="D112" i="8" s="1"/>
  <c r="D111" i="8" s="1"/>
  <c r="E65" i="4"/>
  <c r="F65" i="4" s="1"/>
  <c r="D112" i="22"/>
  <c r="D55" i="22"/>
  <c r="D47" i="22"/>
  <c r="D37" i="22"/>
  <c r="C56" i="22"/>
  <c r="C48" i="22"/>
  <c r="C38" i="22"/>
  <c r="C55" i="22"/>
  <c r="C47" i="22"/>
  <c r="C37" i="22"/>
  <c r="D77" i="18"/>
  <c r="D122" i="18" s="1"/>
  <c r="E208" i="17"/>
  <c r="F208" i="17" s="1"/>
  <c r="D28" i="8"/>
  <c r="D99" i="8" s="1"/>
  <c r="D101" i="8" s="1"/>
  <c r="D98" i="8" s="1"/>
  <c r="E99" i="8"/>
  <c r="E101" i="8" s="1"/>
  <c r="E98" i="8" s="1"/>
  <c r="F162" i="17"/>
  <c r="D22" i="8"/>
  <c r="C21" i="5" l="1"/>
  <c r="E18" i="5"/>
  <c r="F24" i="17"/>
  <c r="D44" i="18"/>
  <c r="D259" i="18"/>
  <c r="E43" i="18"/>
  <c r="C42" i="12"/>
  <c r="C49" i="12" s="1"/>
  <c r="C324" i="17"/>
  <c r="D33" i="14"/>
  <c r="D36" i="14" s="1"/>
  <c r="D38" i="14" s="1"/>
  <c r="D40" i="14" s="1"/>
  <c r="D31" i="14"/>
  <c r="D214" i="17"/>
  <c r="D254" i="17" s="1"/>
  <c r="E254" i="17" s="1"/>
  <c r="F254" i="17" s="1"/>
  <c r="D283" i="17"/>
  <c r="D286" i="17" s="1"/>
  <c r="D267" i="17"/>
  <c r="D114" i="18"/>
  <c r="E38" i="11"/>
  <c r="F38" i="11" s="1"/>
  <c r="C22" i="18"/>
  <c r="C284" i="18" s="1"/>
  <c r="C88" i="8"/>
  <c r="C90" i="8" s="1"/>
  <c r="C77" i="8"/>
  <c r="C71" i="8" s="1"/>
  <c r="E50" i="9"/>
  <c r="E128" i="9"/>
  <c r="F141" i="9"/>
  <c r="E141" i="9"/>
  <c r="E119" i="10"/>
  <c r="E50" i="15"/>
  <c r="D37" i="17"/>
  <c r="D278" i="17"/>
  <c r="D288" i="17" s="1"/>
  <c r="E288" i="17" s="1"/>
  <c r="D262" i="17"/>
  <c r="E189" i="17"/>
  <c r="D199" i="17"/>
  <c r="E199" i="17" s="1"/>
  <c r="D215" i="17"/>
  <c r="D190" i="17"/>
  <c r="D22" i="18"/>
  <c r="D283" i="18"/>
  <c r="E283" i="18" s="1"/>
  <c r="E21" i="18"/>
  <c r="E32" i="18"/>
  <c r="C33" i="18"/>
  <c r="E33" i="18" s="1"/>
  <c r="D124" i="18"/>
  <c r="D112" i="18"/>
  <c r="F230" i="17"/>
  <c r="D123" i="18"/>
  <c r="D265" i="17"/>
  <c r="D284" i="17"/>
  <c r="E141" i="8"/>
  <c r="C25" i="8"/>
  <c r="C27" i="8" s="1"/>
  <c r="C21" i="8" s="1"/>
  <c r="C15" i="8"/>
  <c r="D86" i="8"/>
  <c r="C48" i="17"/>
  <c r="C266" i="17"/>
  <c r="E266" i="17" s="1"/>
  <c r="E47" i="17"/>
  <c r="F47" i="17" s="1"/>
  <c r="E145" i="17"/>
  <c r="F145" i="17"/>
  <c r="C181" i="17"/>
  <c r="F181" i="17" s="1"/>
  <c r="F179" i="17"/>
  <c r="C156" i="18"/>
  <c r="C163" i="18"/>
  <c r="E163" i="18" s="1"/>
  <c r="C175" i="18"/>
  <c r="E175" i="18" s="1"/>
  <c r="C229" i="18"/>
  <c r="C210" i="18"/>
  <c r="E205" i="18"/>
  <c r="D125" i="18"/>
  <c r="D263" i="17"/>
  <c r="E203" i="17"/>
  <c r="E37" i="18"/>
  <c r="D75" i="4"/>
  <c r="D65" i="11"/>
  <c r="E65" i="11" s="1"/>
  <c r="F65" i="11" s="1"/>
  <c r="E61" i="11"/>
  <c r="F61" i="11" s="1"/>
  <c r="D90" i="17"/>
  <c r="E68" i="17"/>
  <c r="F68" i="17" s="1"/>
  <c r="E110" i="17"/>
  <c r="F110" i="17" s="1"/>
  <c r="E123" i="17"/>
  <c r="F123" i="17"/>
  <c r="C124" i="17"/>
  <c r="C126" i="17" s="1"/>
  <c r="C127" i="17" s="1"/>
  <c r="C197" i="17" s="1"/>
  <c r="D163" i="18"/>
  <c r="D175" i="18"/>
  <c r="E139" i="18"/>
  <c r="E167" i="18"/>
  <c r="C243" i="18"/>
  <c r="C252" i="18" s="1"/>
  <c r="C217" i="18"/>
  <c r="C241" i="18" s="1"/>
  <c r="C46" i="20"/>
  <c r="H38" i="14"/>
  <c r="H40" i="14" s="1"/>
  <c r="D139" i="17"/>
  <c r="C279" i="17"/>
  <c r="D168" i="18"/>
  <c r="E137" i="6"/>
  <c r="F137" i="6" s="1"/>
  <c r="E109" i="22"/>
  <c r="E108" i="22"/>
  <c r="F166" i="9"/>
  <c r="E166" i="9"/>
  <c r="E41" i="11"/>
  <c r="F41" i="11" s="1"/>
  <c r="D113" i="18"/>
  <c r="D115" i="18"/>
  <c r="E261" i="17"/>
  <c r="F261" i="17" s="1"/>
  <c r="C270" i="17"/>
  <c r="C288" i="17"/>
  <c r="D145" i="18"/>
  <c r="E145" i="18" s="1"/>
  <c r="E198" i="9"/>
  <c r="E316" i="18"/>
  <c r="E52" i="6"/>
  <c r="F52" i="6" s="1"/>
  <c r="E45" i="6"/>
  <c r="E49" i="6"/>
  <c r="F49" i="6" s="1"/>
  <c r="E86" i="8"/>
  <c r="E75" i="9"/>
  <c r="F193" i="9"/>
  <c r="E193" i="9"/>
  <c r="E117" i="10"/>
  <c r="D50" i="13"/>
  <c r="E70" i="15"/>
  <c r="E74" i="18"/>
  <c r="D303" i="18"/>
  <c r="E302" i="18"/>
  <c r="F44" i="20"/>
  <c r="C77" i="22"/>
  <c r="C102" i="22"/>
  <c r="C103" i="22" s="1"/>
  <c r="F32" i="12"/>
  <c r="E206" i="9"/>
  <c r="C262" i="17"/>
  <c r="C215" i="17"/>
  <c r="F189" i="17"/>
  <c r="C190" i="17"/>
  <c r="C199" i="17"/>
  <c r="E287" i="18"/>
  <c r="F40" i="20"/>
  <c r="D209" i="17"/>
  <c r="D158" i="8"/>
  <c r="D205" i="17"/>
  <c r="D206" i="17"/>
  <c r="E206" i="17" s="1"/>
  <c r="F206" i="17" s="1"/>
  <c r="C75" i="4"/>
  <c r="D121" i="10"/>
  <c r="D43" i="11"/>
  <c r="E22" i="11"/>
  <c r="F22" i="11" s="1"/>
  <c r="D17" i="12"/>
  <c r="E15" i="12"/>
  <c r="F15" i="12" s="1"/>
  <c r="D57" i="13"/>
  <c r="E237" i="17"/>
  <c r="F237" i="17" s="1"/>
  <c r="D239" i="17"/>
  <c r="E41" i="18"/>
  <c r="E239" i="18"/>
  <c r="E88" i="22"/>
  <c r="E274" i="17"/>
  <c r="F274" i="17" s="1"/>
  <c r="C105" i="17"/>
  <c r="C106" i="17" s="1"/>
  <c r="E88" i="9"/>
  <c r="E203" i="9"/>
  <c r="E72" i="10"/>
  <c r="C122" i="10"/>
  <c r="E32" i="12"/>
  <c r="E27" i="13"/>
  <c r="D80" i="13"/>
  <c r="D77" i="13" s="1"/>
  <c r="E45" i="15"/>
  <c r="E24" i="17"/>
  <c r="E226" i="17"/>
  <c r="E238" i="17"/>
  <c r="F238" i="17" s="1"/>
  <c r="E38" i="18"/>
  <c r="E70" i="18"/>
  <c r="E292" i="18"/>
  <c r="E45" i="20"/>
  <c r="F45" i="20" s="1"/>
  <c r="E21" i="21"/>
  <c r="F21" i="21" s="1"/>
  <c r="E42" i="6"/>
  <c r="E46" i="6"/>
  <c r="E50" i="6"/>
  <c r="E41" i="7"/>
  <c r="F41" i="7" s="1"/>
  <c r="C188" i="7"/>
  <c r="C75" i="11"/>
  <c r="E18" i="16"/>
  <c r="F18" i="16" s="1"/>
  <c r="E44" i="17"/>
  <c r="C37" i="19"/>
  <c r="C38" i="19" s="1"/>
  <c r="C127" i="19" s="1"/>
  <c r="C129" i="19" s="1"/>
  <c r="C133" i="19" s="1"/>
  <c r="E93" i="22"/>
  <c r="C50" i="13"/>
  <c r="C44" i="18"/>
  <c r="E42" i="18"/>
  <c r="E277" i="17"/>
  <c r="E207" i="17"/>
  <c r="F207" i="17" s="1"/>
  <c r="E41" i="20"/>
  <c r="E86" i="6"/>
  <c r="E90" i="6"/>
  <c r="E167" i="7"/>
  <c r="F167" i="7" s="1"/>
  <c r="C207" i="9"/>
  <c r="F207" i="9" s="1"/>
  <c r="E95" i="10"/>
  <c r="E108" i="10"/>
  <c r="E23" i="15"/>
  <c r="F23" i="15" s="1"/>
  <c r="C239" i="17"/>
  <c r="E306" i="17"/>
  <c r="E165" i="18"/>
  <c r="E173" i="18"/>
  <c r="C43" i="11"/>
  <c r="F53" i="17"/>
  <c r="C64" i="19"/>
  <c r="D102" i="22"/>
  <c r="D103" i="22" s="1"/>
  <c r="E61" i="17"/>
  <c r="E320" i="18"/>
  <c r="E44" i="6"/>
  <c r="E48" i="6"/>
  <c r="C149" i="8"/>
  <c r="C121" i="10"/>
  <c r="F121" i="10" s="1"/>
  <c r="E73" i="11"/>
  <c r="F73" i="11" s="1"/>
  <c r="E55" i="15"/>
  <c r="F55" i="15" s="1"/>
  <c r="E22" i="16"/>
  <c r="F22" i="16" s="1"/>
  <c r="E23" i="17"/>
  <c r="F23" i="17" s="1"/>
  <c r="E67" i="17"/>
  <c r="F67" i="17" s="1"/>
  <c r="C111" i="17"/>
  <c r="E223" i="17"/>
  <c r="F223" i="17" s="1"/>
  <c r="E40" i="18"/>
  <c r="E282" i="18"/>
  <c r="C49" i="19"/>
  <c r="F19" i="21"/>
  <c r="E32" i="17"/>
  <c r="F32" i="17" s="1"/>
  <c r="D62" i="17"/>
  <c r="F73" i="4"/>
  <c r="E73" i="4"/>
  <c r="E56" i="22"/>
  <c r="E48" i="22"/>
  <c r="E38" i="22"/>
  <c r="D243" i="18"/>
  <c r="D222" i="18"/>
  <c r="D217" i="18"/>
  <c r="E219" i="18"/>
  <c r="C176" i="17"/>
  <c r="C195" i="17"/>
  <c r="E195" i="17" s="1"/>
  <c r="C196" i="17"/>
  <c r="D210" i="17"/>
  <c r="E33" i="5"/>
  <c r="F33" i="5" s="1"/>
  <c r="C141" i="17"/>
  <c r="D127" i="17"/>
  <c r="D169" i="18"/>
  <c r="E112" i="22"/>
  <c r="D49" i="17"/>
  <c r="D196" i="17"/>
  <c r="D161" i="17"/>
  <c r="D91" i="17"/>
  <c r="E124" i="17"/>
  <c r="F124" i="17" s="1"/>
  <c r="D125" i="17"/>
  <c r="D294" i="18"/>
  <c r="E166" i="8"/>
  <c r="C113" i="17"/>
  <c r="D295" i="18"/>
  <c r="E175" i="17"/>
  <c r="F175" i="17" s="1"/>
  <c r="E22" i="13"/>
  <c r="D140" i="17"/>
  <c r="E37" i="17"/>
  <c r="F37" i="17" s="1"/>
  <c r="C310" i="18"/>
  <c r="C246" i="18"/>
  <c r="C223" i="18"/>
  <c r="F49" i="9"/>
  <c r="E49" i="9"/>
  <c r="E55" i="22"/>
  <c r="E37" i="22"/>
  <c r="E194" i="17"/>
  <c r="F194" i="17" s="1"/>
  <c r="D110" i="18"/>
  <c r="D126" i="18"/>
  <c r="D121" i="18"/>
  <c r="D111" i="18"/>
  <c r="D127" i="18"/>
  <c r="D109" i="18"/>
  <c r="C209" i="17"/>
  <c r="C323" i="17"/>
  <c r="F323" i="17" s="1"/>
  <c r="D24" i="13"/>
  <c r="D17" i="13"/>
  <c r="D28" i="13" s="1"/>
  <c r="D70" i="13" s="1"/>
  <c r="D72" i="13" s="1"/>
  <c r="D69" i="13" s="1"/>
  <c r="C265" i="17"/>
  <c r="E264" i="17"/>
  <c r="F264" i="17" s="1"/>
  <c r="C174" i="17"/>
  <c r="C139" i="17"/>
  <c r="C62" i="17"/>
  <c r="C104" i="17"/>
  <c r="F61" i="17"/>
  <c r="E21" i="5"/>
  <c r="F21" i="5" s="1"/>
  <c r="C35" i="5"/>
  <c r="F18" i="7"/>
  <c r="E18" i="7"/>
  <c r="C281" i="17"/>
  <c r="E281" i="17" s="1"/>
  <c r="D110" i="22"/>
  <c r="F41" i="5"/>
  <c r="F45" i="6"/>
  <c r="C95" i="6"/>
  <c r="E87" i="6"/>
  <c r="E91" i="6"/>
  <c r="E229" i="18"/>
  <c r="F39" i="20"/>
  <c r="C41" i="20"/>
  <c r="F41" i="20" s="1"/>
  <c r="D216" i="17"/>
  <c r="E240" i="18"/>
  <c r="C253" i="18"/>
  <c r="D95" i="6"/>
  <c r="E95" i="6" s="1"/>
  <c r="E88" i="6"/>
  <c r="F88" i="6" s="1"/>
  <c r="E92" i="6"/>
  <c r="F92" i="6" s="1"/>
  <c r="E153" i="6"/>
  <c r="F153" i="6" s="1"/>
  <c r="F179" i="6"/>
  <c r="E24" i="7"/>
  <c r="F24" i="7" s="1"/>
  <c r="E57" i="8"/>
  <c r="E62" i="8" s="1"/>
  <c r="E43" i="8"/>
  <c r="C86" i="8"/>
  <c r="C135" i="8"/>
  <c r="C140" i="8"/>
  <c r="E39" i="22"/>
  <c r="E110" i="22"/>
  <c r="D137" i="8"/>
  <c r="D135" i="8"/>
  <c r="D136" i="8"/>
  <c r="C25" i="13"/>
  <c r="C27" i="13" s="1"/>
  <c r="C15" i="13"/>
  <c r="F60" i="17"/>
  <c r="E102" i="17"/>
  <c r="F102" i="17" s="1"/>
  <c r="D103" i="17"/>
  <c r="D105" i="17" s="1"/>
  <c r="C146" i="17"/>
  <c r="E144" i="17"/>
  <c r="F144" i="17" s="1"/>
  <c r="F277" i="17"/>
  <c r="D255" i="17"/>
  <c r="E255" i="17" s="1"/>
  <c r="F255" i="17" s="1"/>
  <c r="F38" i="6"/>
  <c r="F51" i="6"/>
  <c r="E51" i="6"/>
  <c r="C283" i="17"/>
  <c r="C214" i="17"/>
  <c r="C205" i="17"/>
  <c r="F203" i="17"/>
  <c r="D43" i="4"/>
  <c r="E43" i="4" s="1"/>
  <c r="F43" i="4" s="1"/>
  <c r="E38" i="6"/>
  <c r="E43" i="6"/>
  <c r="F43" i="6" s="1"/>
  <c r="E47" i="6"/>
  <c r="F47" i="6" s="1"/>
  <c r="F81" i="6"/>
  <c r="F86" i="6"/>
  <c r="F90" i="6"/>
  <c r="F94" i="6"/>
  <c r="E94" i="6"/>
  <c r="C24" i="8"/>
  <c r="C20" i="8" s="1"/>
  <c r="C17" i="8"/>
  <c r="C155" i="8"/>
  <c r="C156" i="8"/>
  <c r="C154" i="8"/>
  <c r="F101" i="9"/>
  <c r="E101" i="9"/>
  <c r="D111" i="17"/>
  <c r="E111" i="17" s="1"/>
  <c r="F111" i="17" s="1"/>
  <c r="E109" i="17"/>
  <c r="F109" i="17" s="1"/>
  <c r="C326" i="18"/>
  <c r="E324" i="18"/>
  <c r="F56" i="4"/>
  <c r="F18" i="5"/>
  <c r="F124" i="6"/>
  <c r="D208" i="9"/>
  <c r="E199" i="9"/>
  <c r="F59" i="7"/>
  <c r="D188" i="7"/>
  <c r="E188" i="7" s="1"/>
  <c r="F188" i="7" s="1"/>
  <c r="F199" i="9"/>
  <c r="C208" i="9"/>
  <c r="F208" i="9" s="1"/>
  <c r="E59" i="10"/>
  <c r="E84" i="10"/>
  <c r="E121" i="10"/>
  <c r="E29" i="11"/>
  <c r="F29" i="11" s="1"/>
  <c r="D27" i="13"/>
  <c r="F65" i="15"/>
  <c r="F36" i="17"/>
  <c r="E146" i="17"/>
  <c r="E159" i="17"/>
  <c r="E229" i="17"/>
  <c r="F229" i="17" s="1"/>
  <c r="E72" i="18"/>
  <c r="E227" i="18"/>
  <c r="F33" i="20"/>
  <c r="E36" i="20"/>
  <c r="F36" i="20" s="1"/>
  <c r="C88" i="22"/>
  <c r="E47" i="10"/>
  <c r="E107" i="10"/>
  <c r="C61" i="13"/>
  <c r="C57" i="13" s="1"/>
  <c r="E280" i="18"/>
  <c r="C95" i="7"/>
  <c r="E24" i="9"/>
  <c r="C71" i="18"/>
  <c r="C76" i="18" s="1"/>
  <c r="C65" i="18"/>
  <c r="E65" i="18" s="1"/>
  <c r="C289" i="18"/>
  <c r="E289" i="18" s="1"/>
  <c r="D46" i="20"/>
  <c r="D75" i="11"/>
  <c r="E75" i="11" s="1"/>
  <c r="F75" i="11" s="1"/>
  <c r="F58" i="17"/>
  <c r="E89" i="17"/>
  <c r="F89" i="17" s="1"/>
  <c r="E181" i="17"/>
  <c r="E277" i="18"/>
  <c r="D23" i="22"/>
  <c r="D33" i="22"/>
  <c r="D34" i="22"/>
  <c r="D95" i="7"/>
  <c r="E95" i="7" s="1"/>
  <c r="E52" i="17"/>
  <c r="F52" i="17" s="1"/>
  <c r="C65" i="19"/>
  <c r="C114" i="19" s="1"/>
  <c r="C116" i="19" s="1"/>
  <c r="C119" i="19" s="1"/>
  <c r="C123" i="19" s="1"/>
  <c r="E25" i="20"/>
  <c r="F25" i="20" s="1"/>
  <c r="F23" i="20"/>
  <c r="E71" i="8"/>
  <c r="E205" i="9"/>
  <c r="E36" i="10"/>
  <c r="F40" i="12"/>
  <c r="E61" i="13"/>
  <c r="E57" i="13" s="1"/>
  <c r="F50" i="15"/>
  <c r="F70" i="15"/>
  <c r="E77" i="17"/>
  <c r="C48" i="13"/>
  <c r="C42" i="13" s="1"/>
  <c r="D210" i="18"/>
  <c r="D180" i="18" s="1"/>
  <c r="C227" i="17"/>
  <c r="E151" i="18"/>
  <c r="D261" i="18"/>
  <c r="E261" i="18" s="1"/>
  <c r="E23" i="10"/>
  <c r="E48" i="10"/>
  <c r="E71" i="10"/>
  <c r="E96" i="10"/>
  <c r="F44" i="17"/>
  <c r="F226" i="17"/>
  <c r="C158" i="8" l="1"/>
  <c r="D141" i="8"/>
  <c r="E209" i="17"/>
  <c r="C148" i="17"/>
  <c r="E303" i="18"/>
  <c r="D306" i="18"/>
  <c r="F288" i="17"/>
  <c r="C180" i="18"/>
  <c r="E180" i="18" s="1"/>
  <c r="C234" i="18"/>
  <c r="C211" i="18"/>
  <c r="D279" i="17"/>
  <c r="E279" i="17" s="1"/>
  <c r="F279" i="17" s="1"/>
  <c r="E46" i="20"/>
  <c r="F46" i="20" s="1"/>
  <c r="E126" i="17"/>
  <c r="F126" i="17" s="1"/>
  <c r="C263" i="17"/>
  <c r="E263" i="17" s="1"/>
  <c r="C272" i="17"/>
  <c r="C273" i="17" s="1"/>
  <c r="E75" i="4"/>
  <c r="F75" i="4" s="1"/>
  <c r="D272" i="17"/>
  <c r="E272" i="17" s="1"/>
  <c r="F272" i="17" s="1"/>
  <c r="E262" i="17"/>
  <c r="F262" i="17" s="1"/>
  <c r="D89" i="18"/>
  <c r="D97" i="18"/>
  <c r="E97" i="18" s="1"/>
  <c r="D87" i="18"/>
  <c r="E87" i="18" s="1"/>
  <c r="D95" i="18"/>
  <c r="D88" i="18"/>
  <c r="D85" i="18"/>
  <c r="D86" i="18"/>
  <c r="D258" i="18"/>
  <c r="D83" i="18"/>
  <c r="D100" i="18"/>
  <c r="E100" i="18" s="1"/>
  <c r="D101" i="18"/>
  <c r="E101" i="18" s="1"/>
  <c r="D84" i="18"/>
  <c r="D98" i="18"/>
  <c r="D96" i="18"/>
  <c r="D99" i="18"/>
  <c r="E44" i="18"/>
  <c r="D270" i="17"/>
  <c r="E270" i="17" s="1"/>
  <c r="F270" i="17" s="1"/>
  <c r="D268" i="17"/>
  <c r="E268" i="17" s="1"/>
  <c r="F268" i="17" s="1"/>
  <c r="E267" i="17"/>
  <c r="F267" i="17" s="1"/>
  <c r="E20" i="13"/>
  <c r="E21" i="13"/>
  <c r="C49" i="17"/>
  <c r="C50" i="17" s="1"/>
  <c r="C160" i="17"/>
  <c r="C90" i="17"/>
  <c r="C125" i="17"/>
  <c r="E125" i="17" s="1"/>
  <c r="E43" i="11"/>
  <c r="F43" i="11" s="1"/>
  <c r="C157" i="18"/>
  <c r="E156" i="18"/>
  <c r="C168" i="18"/>
  <c r="E168" i="18" s="1"/>
  <c r="D284" i="18"/>
  <c r="E284" i="18" s="1"/>
  <c r="E22" i="18"/>
  <c r="D271" i="17"/>
  <c r="F266" i="17"/>
  <c r="C138" i="8"/>
  <c r="C136" i="8"/>
  <c r="C141" i="8" s="1"/>
  <c r="C139" i="8"/>
  <c r="C137" i="8"/>
  <c r="C84" i="18"/>
  <c r="C90" i="18" s="1"/>
  <c r="C258" i="18"/>
  <c r="C100" i="18"/>
  <c r="C101" i="18"/>
  <c r="C98" i="18"/>
  <c r="C99" i="18"/>
  <c r="C96" i="18"/>
  <c r="C102" i="18" s="1"/>
  <c r="C97" i="18"/>
  <c r="C89" i="18"/>
  <c r="E89" i="18" s="1"/>
  <c r="C95" i="18"/>
  <c r="C87" i="18"/>
  <c r="C86" i="18"/>
  <c r="C85" i="18"/>
  <c r="C83" i="18"/>
  <c r="C88" i="18"/>
  <c r="F122" i="10"/>
  <c r="E122" i="10"/>
  <c r="F199" i="17"/>
  <c r="C109" i="22"/>
  <c r="C108" i="22"/>
  <c r="C110" i="22"/>
  <c r="C112" i="22"/>
  <c r="C113" i="22"/>
  <c r="C111" i="22"/>
  <c r="E48" i="17"/>
  <c r="F48" i="17" s="1"/>
  <c r="E278" i="17"/>
  <c r="F278" i="17" s="1"/>
  <c r="E190" i="17"/>
  <c r="F190" i="17" s="1"/>
  <c r="D20" i="12"/>
  <c r="E17" i="12"/>
  <c r="F17" i="12" s="1"/>
  <c r="E239" i="17"/>
  <c r="F239" i="17" s="1"/>
  <c r="E90" i="17"/>
  <c r="E207" i="9"/>
  <c r="E215" i="17"/>
  <c r="F215" i="17" s="1"/>
  <c r="D287" i="17"/>
  <c r="E105" i="17"/>
  <c r="F105" i="17" s="1"/>
  <c r="D106" i="17"/>
  <c r="E106" i="17" s="1"/>
  <c r="F106" i="17" s="1"/>
  <c r="D54" i="22"/>
  <c r="D30" i="22"/>
  <c r="D36" i="22"/>
  <c r="D40" i="22"/>
  <c r="D111" i="22"/>
  <c r="D46" i="22"/>
  <c r="E205" i="17"/>
  <c r="F205" i="17" s="1"/>
  <c r="C21" i="13"/>
  <c r="C322" i="17"/>
  <c r="C211" i="17"/>
  <c r="D63" i="17"/>
  <c r="E62" i="17"/>
  <c r="F62" i="17" s="1"/>
  <c r="C63" i="17"/>
  <c r="F95" i="7"/>
  <c r="E214" i="17"/>
  <c r="F214" i="17" s="1"/>
  <c r="C216" i="17"/>
  <c r="C304" i="17"/>
  <c r="E35" i="5"/>
  <c r="F35" i="5" s="1"/>
  <c r="C43" i="5"/>
  <c r="E174" i="17"/>
  <c r="F174" i="17" s="1"/>
  <c r="D116" i="18"/>
  <c r="D241" i="18"/>
  <c r="E241" i="18" s="1"/>
  <c r="E217" i="18"/>
  <c r="E283" i="17"/>
  <c r="F283" i="17" s="1"/>
  <c r="C284" i="17"/>
  <c r="C286" i="17"/>
  <c r="C254" i="18"/>
  <c r="E253" i="18"/>
  <c r="C287" i="17"/>
  <c r="E222" i="18"/>
  <c r="D246" i="18"/>
  <c r="E246" i="18" s="1"/>
  <c r="D223" i="18"/>
  <c r="D128" i="18"/>
  <c r="D129" i="18" s="1"/>
  <c r="C77" i="18"/>
  <c r="E76" i="18"/>
  <c r="D21" i="13"/>
  <c r="D20" i="13"/>
  <c r="D22" i="13"/>
  <c r="E326" i="18"/>
  <c r="C330" i="18"/>
  <c r="E330" i="18" s="1"/>
  <c r="C112" i="8"/>
  <c r="C111" i="8" s="1"/>
  <c r="C28" i="8"/>
  <c r="F146" i="17"/>
  <c r="F95" i="6"/>
  <c r="F281" i="17"/>
  <c r="F265" i="17"/>
  <c r="E265" i="17"/>
  <c r="F209" i="17"/>
  <c r="E91" i="17"/>
  <c r="F91" i="17" s="1"/>
  <c r="D92" i="17"/>
  <c r="C183" i="17"/>
  <c r="F183" i="17" s="1"/>
  <c r="F176" i="17"/>
  <c r="E243" i="18"/>
  <c r="D252" i="18"/>
  <c r="C24" i="13"/>
  <c r="C20" i="13" s="1"/>
  <c r="C17" i="13"/>
  <c r="C28" i="13" s="1"/>
  <c r="C70" i="13" s="1"/>
  <c r="C72" i="13" s="1"/>
  <c r="C69" i="13" s="1"/>
  <c r="E210" i="18"/>
  <c r="D211" i="18"/>
  <c r="D234" i="18"/>
  <c r="E234" i="18" s="1"/>
  <c r="C259" i="18"/>
  <c r="E103" i="17"/>
  <c r="F103" i="17" s="1"/>
  <c r="D104" i="17"/>
  <c r="E104" i="17" s="1"/>
  <c r="F104" i="17" s="1"/>
  <c r="D117" i="18"/>
  <c r="C247" i="18"/>
  <c r="E161" i="17"/>
  <c r="F161" i="17" s="1"/>
  <c r="D162" i="17"/>
  <c r="E210" i="17"/>
  <c r="F210" i="17" s="1"/>
  <c r="D211" i="17"/>
  <c r="E211" i="17" s="1"/>
  <c r="E139" i="17"/>
  <c r="F139" i="17" s="1"/>
  <c r="F148" i="17"/>
  <c r="E140" i="17"/>
  <c r="F140" i="17" s="1"/>
  <c r="D141" i="17"/>
  <c r="E216" i="17"/>
  <c r="D197" i="17"/>
  <c r="E197" i="17" s="1"/>
  <c r="F197" i="17" s="1"/>
  <c r="E196" i="17"/>
  <c r="F196" i="17" s="1"/>
  <c r="C294" i="18"/>
  <c r="C66" i="18"/>
  <c r="E208" i="9"/>
  <c r="E227" i="17"/>
  <c r="F227" i="17" s="1"/>
  <c r="E156" i="8"/>
  <c r="E155" i="8"/>
  <c r="E157" i="8"/>
  <c r="E153" i="8"/>
  <c r="E154" i="8"/>
  <c r="E152" i="8"/>
  <c r="D50" i="17"/>
  <c r="E49" i="17"/>
  <c r="F49" i="17" s="1"/>
  <c r="E127" i="17"/>
  <c r="F127" i="17" s="1"/>
  <c r="D148" i="17"/>
  <c r="E148" i="17" s="1"/>
  <c r="D263" i="18"/>
  <c r="E176" i="17"/>
  <c r="E71" i="18"/>
  <c r="E294" i="18"/>
  <c r="F195" i="17"/>
  <c r="D273" i="17" l="1"/>
  <c r="E273" i="17" s="1"/>
  <c r="F273" i="17" s="1"/>
  <c r="D304" i="17"/>
  <c r="E271" i="17"/>
  <c r="F271" i="17" s="1"/>
  <c r="F90" i="17"/>
  <c r="E83" i="18"/>
  <c r="D91" i="18"/>
  <c r="D310" i="18"/>
  <c r="E310" i="18" s="1"/>
  <c r="E306" i="18"/>
  <c r="C103" i="18"/>
  <c r="E103" i="18" s="1"/>
  <c r="E160" i="17"/>
  <c r="F160" i="17" s="1"/>
  <c r="E258" i="18"/>
  <c r="C91" i="18"/>
  <c r="E99" i="18"/>
  <c r="E86" i="18"/>
  <c r="C169" i="18"/>
  <c r="E169" i="18" s="1"/>
  <c r="E157" i="18"/>
  <c r="D102" i="18"/>
  <c r="E102" i="18" s="1"/>
  <c r="E96" i="18"/>
  <c r="E85" i="18"/>
  <c r="F125" i="17"/>
  <c r="D34" i="12"/>
  <c r="E20" i="12"/>
  <c r="F20" i="12" s="1"/>
  <c r="E98" i="18"/>
  <c r="E88" i="18"/>
  <c r="C181" i="18"/>
  <c r="C235" i="18"/>
  <c r="F263" i="17"/>
  <c r="D291" i="17"/>
  <c r="D305" i="17" s="1"/>
  <c r="D289" i="17"/>
  <c r="D90" i="18"/>
  <c r="E90" i="18" s="1"/>
  <c r="E84" i="18"/>
  <c r="D103" i="18"/>
  <c r="E95" i="18"/>
  <c r="C325" i="17"/>
  <c r="C263" i="18"/>
  <c r="C264" i="18" s="1"/>
  <c r="C266" i="18" s="1"/>
  <c r="C267" i="18" s="1"/>
  <c r="E259" i="18"/>
  <c r="C50" i="5"/>
  <c r="E43" i="5"/>
  <c r="F43" i="5" s="1"/>
  <c r="E50" i="17"/>
  <c r="F50" i="17" s="1"/>
  <c r="D70" i="17"/>
  <c r="D247" i="18"/>
  <c r="E247" i="18" s="1"/>
  <c r="E223" i="18"/>
  <c r="E158" i="8"/>
  <c r="D322" i="17"/>
  <c r="E322" i="17" s="1"/>
  <c r="F322" i="17" s="1"/>
  <c r="E141" i="17"/>
  <c r="F141" i="17" s="1"/>
  <c r="C70" i="17"/>
  <c r="F63" i="17"/>
  <c r="E162" i="17"/>
  <c r="D183" i="17"/>
  <c r="E183" i="17" s="1"/>
  <c r="D323" i="17"/>
  <c r="E323" i="17" s="1"/>
  <c r="E263" i="18"/>
  <c r="D264" i="18"/>
  <c r="C295" i="18"/>
  <c r="E295" i="18" s="1"/>
  <c r="E66" i="18"/>
  <c r="D235" i="18"/>
  <c r="E235" i="18" s="1"/>
  <c r="E211" i="18"/>
  <c r="D181" i="18"/>
  <c r="E181" i="18" s="1"/>
  <c r="D324" i="17"/>
  <c r="D113" i="17"/>
  <c r="E113" i="17" s="1"/>
  <c r="F113" i="17" s="1"/>
  <c r="E92" i="17"/>
  <c r="F92" i="17" s="1"/>
  <c r="C291" i="17"/>
  <c r="C289" i="17"/>
  <c r="F287" i="17"/>
  <c r="E287" i="17"/>
  <c r="C22" i="13"/>
  <c r="C99" i="8"/>
  <c r="C101" i="8" s="1"/>
  <c r="C98" i="8" s="1"/>
  <c r="C22" i="8"/>
  <c r="D309" i="17"/>
  <c r="D131" i="18"/>
  <c r="E63" i="17"/>
  <c r="D48" i="22"/>
  <c r="D113" i="22"/>
  <c r="D56" i="22"/>
  <c r="D38" i="22"/>
  <c r="E304" i="17"/>
  <c r="F304" i="17" s="1"/>
  <c r="C122" i="18"/>
  <c r="C121" i="18"/>
  <c r="C113" i="18"/>
  <c r="E113" i="18" s="1"/>
  <c r="C112" i="18"/>
  <c r="E112" i="18" s="1"/>
  <c r="C111" i="18"/>
  <c r="E111" i="18" s="1"/>
  <c r="C110" i="18"/>
  <c r="C126" i="18"/>
  <c r="E126" i="18" s="1"/>
  <c r="C125" i="18"/>
  <c r="E125" i="18" s="1"/>
  <c r="C124" i="18"/>
  <c r="E124" i="18" s="1"/>
  <c r="C115" i="18"/>
  <c r="E115" i="18" s="1"/>
  <c r="C109" i="18"/>
  <c r="C127" i="18"/>
  <c r="E127" i="18" s="1"/>
  <c r="C114" i="18"/>
  <c r="E114" i="18" s="1"/>
  <c r="C123" i="18"/>
  <c r="E123" i="18" s="1"/>
  <c r="E77" i="18"/>
  <c r="E286" i="17"/>
  <c r="F286" i="17" s="1"/>
  <c r="F216" i="17"/>
  <c r="F211" i="17"/>
  <c r="E252" i="18"/>
  <c r="D254" i="18"/>
  <c r="E254" i="18" s="1"/>
  <c r="F284" i="17"/>
  <c r="E284" i="17"/>
  <c r="D42" i="12" l="1"/>
  <c r="E34" i="12"/>
  <c r="F34" i="12" s="1"/>
  <c r="D105" i="18"/>
  <c r="E91" i="18"/>
  <c r="C105" i="18"/>
  <c r="E105" i="18" s="1"/>
  <c r="E70" i="17"/>
  <c r="F70" i="17" s="1"/>
  <c r="E289" i="17"/>
  <c r="F289" i="17" s="1"/>
  <c r="C305" i="17"/>
  <c r="E291" i="17"/>
  <c r="F291" i="17" s="1"/>
  <c r="E109" i="18"/>
  <c r="D310" i="17"/>
  <c r="E50" i="5"/>
  <c r="F50" i="5" s="1"/>
  <c r="C116" i="18"/>
  <c r="E116" i="18" s="1"/>
  <c r="E110" i="18"/>
  <c r="E121" i="18"/>
  <c r="E264" i="18"/>
  <c r="D266" i="18"/>
  <c r="D325" i="17"/>
  <c r="E325" i="17" s="1"/>
  <c r="F325" i="17" s="1"/>
  <c r="E324" i="17"/>
  <c r="F324" i="17" s="1"/>
  <c r="C269" i="18"/>
  <c r="C268" i="18"/>
  <c r="C128" i="18"/>
  <c r="E128" i="18" s="1"/>
  <c r="E122" i="18"/>
  <c r="D49" i="12" l="1"/>
  <c r="E49" i="12" s="1"/>
  <c r="F49" i="12" s="1"/>
  <c r="E42" i="12"/>
  <c r="F42" i="12" s="1"/>
  <c r="C309" i="17"/>
  <c r="E305" i="17"/>
  <c r="F305" i="17" s="1"/>
  <c r="C271" i="18"/>
  <c r="E266" i="18"/>
  <c r="D267" i="18"/>
  <c r="D312" i="17"/>
  <c r="C129" i="18"/>
  <c r="E129" i="18" s="1"/>
  <c r="C117" i="18"/>
  <c r="D313" i="17" l="1"/>
  <c r="E267" i="18"/>
  <c r="D268" i="18"/>
  <c r="D269" i="18"/>
  <c r="E269" i="18" s="1"/>
  <c r="C131" i="18"/>
  <c r="E131" i="18" s="1"/>
  <c r="E117" i="18"/>
  <c r="F309" i="17"/>
  <c r="C310" i="17"/>
  <c r="E309" i="17"/>
  <c r="C312" i="17" l="1"/>
  <c r="E310" i="17"/>
  <c r="F310" i="17" s="1"/>
  <c r="D315" i="17"/>
  <c r="D314" i="17"/>
  <c r="D251" i="17"/>
  <c r="D256" i="17"/>
  <c r="E268" i="18"/>
  <c r="D271" i="18"/>
  <c r="E271" i="18" s="1"/>
  <c r="D257" i="17" l="1"/>
  <c r="C313" i="17"/>
  <c r="E312" i="17"/>
  <c r="F312" i="17" s="1"/>
  <c r="D318" i="17"/>
  <c r="C314" i="17" l="1"/>
  <c r="C251" i="17"/>
  <c r="C256" i="17"/>
  <c r="C315" i="17"/>
  <c r="E313" i="17"/>
  <c r="F313" i="17" s="1"/>
  <c r="C257" i="17" l="1"/>
  <c r="E256" i="17"/>
  <c r="F256" i="17" s="1"/>
  <c r="E251" i="17"/>
  <c r="F251" i="17" s="1"/>
  <c r="E315" i="17"/>
  <c r="F315" i="17" s="1"/>
  <c r="C318" i="17"/>
  <c r="E314" i="17"/>
  <c r="F314" i="17" s="1"/>
  <c r="E318" i="17" l="1"/>
  <c r="F318" i="17" s="1"/>
  <c r="E257" i="17"/>
  <c r="F257" i="17" s="1"/>
</calcChain>
</file>

<file path=xl/sharedStrings.xml><?xml version="1.0" encoding="utf-8"?>
<sst xmlns="http://schemas.openxmlformats.org/spreadsheetml/2006/main" count="2334" uniqueCount="1011">
  <si>
    <t>CT CHILDREN`S MEDICAL CENTER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</si>
  <si>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</si>
  <si>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</si>
  <si>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</si>
  <si>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</si>
  <si>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</si>
  <si>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</si>
  <si>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</si>
  <si>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</si>
  <si>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</si>
  <si>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</si>
  <si>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</si>
  <si>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</si>
  <si>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</si>
  <si>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</si>
  <si>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</si>
  <si>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</si>
  <si>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</si>
  <si>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</si>
  <si>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</si>
  <si>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</si>
  <si>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</si>
  <si>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</si>
  <si>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</si>
  <si>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</si>
  <si>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</si>
  <si>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</si>
  <si>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</si>
  <si>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</si>
  <si>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</si>
  <si>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</si>
  <si>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</si>
  <si>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</si>
  <si>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</si>
  <si>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</si>
  <si>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</si>
  <si>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</si>
  <si>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</si>
  <si>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</si>
  <si>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</si>
  <si>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</si>
  <si>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</si>
  <si>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</si>
  <si>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</si>
  <si>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</si>
  <si>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</si>
  <si>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</si>
  <si>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</si>
  <si>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</si>
  <si>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</si>
  <si>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</si>
  <si>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</si>
  <si>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</si>
  <si>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</si>
  <si>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</si>
  <si>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</si>
  <si>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</si>
  <si>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</si>
  <si>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</si>
  <si>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</si>
  <si>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</si>
  <si>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</si>
  <si>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</si>
  <si>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</si>
  <si>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</si>
  <si>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</si>
  <si>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</si>
  <si>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</si>
  <si>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</si>
  <si>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</si>
  <si>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</si>
  <si>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</si>
  <si>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</si>
  <si>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</si>
  <si>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</si>
  <si>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</si>
  <si>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</si>
  <si>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</si>
  <si>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</si>
  <si>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</si>
  <si>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</si>
  <si>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</si>
  <si>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</si>
  <si>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</si>
  <si>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</si>
  <si>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</si>
  <si>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</si>
  <si>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</si>
  <si>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</si>
  <si>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</si>
  <si>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</si>
  <si>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</si>
  <si>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</si>
  <si>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</si>
  <si>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</si>
  <si>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</si>
  <si>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</si>
  <si>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</si>
  <si>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</si>
  <si>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</si>
  <si>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</si>
  <si>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</si>
  <si>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</si>
  <si>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</si>
  <si>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</si>
  <si>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</si>
  <si>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</si>
  <si>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</si>
  <si>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</si>
  <si>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</si>
  <si>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</si>
  <si>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</si>
  <si>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</si>
  <si>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</si>
  <si>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</si>
  <si>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</si>
  <si>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</si>
  <si>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</si>
  <si>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</si>
  <si>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</si>
  <si>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</si>
  <si>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</si>
  <si>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</si>
  <si>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</si>
  <si>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</si>
  <si>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</si>
  <si>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</si>
  <si>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</si>
  <si>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</si>
  <si>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</si>
  <si>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</si>
  <si>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</si>
  <si>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</si>
  <si>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</si>
  <si>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</si>
  <si>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</si>
  <si>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</si>
  <si>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</si>
  <si>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</si>
  <si>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</si>
  <si>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</si>
  <si>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</si>
  <si>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</si>
  <si>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</si>
  <si>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</si>
  <si>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</si>
  <si>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</si>
  <si>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</si>
  <si>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</si>
  <si>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</si>
  <si>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</si>
  <si>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</si>
  <si>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</si>
  <si>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</si>
  <si>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</si>
  <si>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</si>
  <si>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</si>
  <si>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</si>
  <si>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</si>
  <si>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</si>
  <si>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</si>
  <si>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</si>
  <si>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</si>
  <si>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</si>
  <si>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</si>
  <si>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</si>
  <si>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</si>
  <si>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</si>
  <si>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</si>
  <si>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</si>
  <si>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</si>
  <si>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</si>
  <si>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</si>
  <si>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</si>
  <si>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</si>
  <si>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</si>
  <si>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</si>
  <si>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</si>
  <si>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</si>
  <si>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</si>
  <si>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</si>
  <si>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</si>
  <si>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</si>
  <si>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</si>
  <si>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</si>
  <si>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</si>
  <si>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</si>
  <si>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</si>
  <si>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</si>
  <si>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</si>
  <si>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</si>
  <si>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</si>
  <si>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</si>
  <si>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</si>
  <si>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</si>
  <si>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</si>
  <si>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</si>
  <si>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</si>
  <si>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</si>
  <si>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</si>
  <si>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</si>
  <si>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</si>
  <si>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</si>
  <si>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</si>
  <si>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</si>
  <si>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</si>
  <si>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</si>
  <si>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</si>
  <si>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</si>
  <si>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</si>
  <si>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</si>
  <si>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</si>
  <si>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</si>
  <si>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</si>
  <si>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</si>
  <si>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</si>
  <si>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</si>
  <si>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</si>
  <si>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</si>
  <si>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</si>
  <si>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</si>
  <si>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</si>
  <si>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</si>
  <si>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</si>
  <si>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</si>
  <si>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</si>
  <si>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</si>
  <si>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</si>
  <si>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</si>
  <si>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</si>
  <si>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</si>
  <si>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</si>
  <si>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</si>
  <si>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</si>
  <si>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</si>
  <si>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</si>
  <si>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</si>
  <si>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</si>
  <si>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</si>
  <si>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</si>
  <si>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</si>
  <si>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</si>
  <si>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</si>
  <si>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</si>
  <si>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</si>
  <si>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</si>
  <si>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</si>
  <si>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</si>
  <si>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</si>
  <si>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</si>
  <si>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</si>
  <si>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</si>
  <si>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</si>
  <si>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</si>
  <si>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</si>
  <si>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</si>
  <si>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</si>
  <si>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</si>
  <si>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</si>
  <si>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</si>
  <si>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</si>
  <si>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</si>
  <si>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</si>
  <si>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</si>
  <si>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</si>
  <si>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</si>
  <si>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</si>
  <si>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</si>
  <si>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</si>
  <si>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</si>
  <si>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</si>
  <si>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</si>
  <si>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</si>
  <si>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</si>
  <si>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</si>
  <si>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</si>
  <si>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</si>
  <si>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</si>
  <si>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</si>
  <si>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</si>
  <si>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</si>
  <si>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</si>
  <si>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</si>
  <si>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</si>
  <si>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</si>
  <si>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</si>
  <si>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</si>
  <si>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</si>
  <si>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</si>
  <si>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</si>
  <si>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</si>
  <si>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</si>
  <si>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</si>
  <si>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</si>
  <si>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</si>
  <si>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</si>
  <si>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</si>
  <si>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</si>
  <si>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</si>
  <si>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</si>
  <si>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</si>
  <si>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</si>
  <si>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</si>
  <si>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</si>
  <si>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</si>
  <si>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</si>
  <si>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</si>
  <si>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</si>
  <si>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</si>
  <si>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</si>
  <si>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</si>
  <si>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</si>
  <si>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</si>
  <si>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</si>
  <si>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</si>
  <si>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</si>
  <si>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</si>
  <si>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</si>
  <si>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</si>
  <si>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</si>
  <si>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</si>
  <si>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</si>
  <si>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</si>
  <si>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</si>
  <si>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</si>
  <si>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</si>
  <si>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</si>
  <si>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</si>
  <si>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</si>
  <si>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</si>
  <si>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</si>
  <si>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</si>
  <si>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</si>
  <si>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</si>
  <si>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</si>
  <si>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</si>
  <si>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</si>
  <si>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</si>
  <si>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</si>
  <si>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</si>
  <si>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</si>
  <si>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</si>
  <si>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</si>
  <si>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</si>
  <si>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</si>
  <si>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</si>
  <si>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</si>
  <si>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</si>
  <si>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</si>
  <si>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</si>
  <si>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</si>
  <si>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</si>
  <si>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</si>
  <si>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</si>
  <si>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</si>
  <si>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</si>
  <si>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</si>
  <si>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</si>
  <si>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</si>
  <si>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</si>
  <si>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</si>
  <si>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</si>
  <si>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</si>
  <si>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</si>
  <si>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</si>
  <si>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</si>
  <si>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</si>
  <si>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</si>
  <si>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</si>
  <si>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</si>
  <si>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</si>
  <si>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</si>
  <si>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</si>
  <si>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</si>
  <si>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</si>
  <si>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</si>
  <si>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</si>
  <si>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</si>
  <si>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</si>
  <si>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</si>
  <si>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</si>
  <si>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</si>
  <si>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</si>
  <si>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</si>
  <si>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</si>
  <si>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</si>
  <si>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</si>
  <si>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</si>
  <si>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</si>
  <si>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</si>
  <si>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</si>
  <si>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</si>
  <si>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</si>
  <si>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</si>
  <si>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</si>
  <si>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</si>
  <si>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</si>
  <si>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</si>
  <si>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</si>
  <si>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</si>
  <si>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</si>
  <si>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</si>
  <si>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</si>
  <si>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</si>
  <si>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</si>
  <si>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</si>
  <si>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</si>
  <si>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</si>
  <si>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</si>
  <si>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</si>
  <si>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</si>
  <si>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</si>
  <si>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</si>
  <si>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</si>
  <si>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</si>
  <si>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</si>
  <si>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</si>
  <si>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</si>
  <si>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</si>
  <si>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</si>
  <si>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</si>
  <si>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</si>
  <si>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</si>
  <si>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</si>
  <si>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</si>
  <si>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</si>
  <si>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</si>
  <si>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</si>
  <si>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</si>
  <si>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</si>
  <si>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</si>
  <si>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</si>
  <si>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</si>
  <si>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</si>
  <si>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</si>
  <si>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</si>
  <si>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</si>
  <si>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</si>
  <si>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</si>
  <si>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</si>
  <si>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</si>
  <si>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</si>
  <si>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</si>
  <si>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</si>
  <si>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</si>
  <si>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</si>
  <si>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</si>
  <si>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</si>
  <si>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</si>
  <si>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</si>
  <si>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</si>
  <si>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</si>
  <si>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</si>
  <si>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</si>
  <si>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</si>
  <si>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</si>
  <si>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</si>
  <si>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</si>
  <si>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</si>
  <si>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</si>
  <si>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</si>
  <si>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</si>
  <si>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</si>
  <si>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</si>
  <si>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</si>
  <si>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</si>
  <si>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</si>
  <si>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</si>
  <si>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</si>
  <si>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</si>
  <si>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</si>
  <si>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</si>
  <si>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</si>
  <si>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</si>
  <si>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</si>
  <si>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</si>
  <si>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</si>
  <si>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</si>
  <si>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</si>
  <si>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</si>
  <si>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</si>
  <si>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</si>
  <si>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</si>
  <si>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</si>
  <si>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</si>
  <si>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</si>
  <si>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</si>
  <si>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</si>
  <si>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</si>
  <si>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</si>
  <si>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</si>
  <si>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</si>
  <si>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</si>
  <si>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</si>
  <si>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</si>
  <si>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</si>
  <si>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</si>
  <si>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</si>
  <si>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</si>
  <si>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</si>
  <si>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CCMC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</si>
  <si>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</si>
  <si>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</si>
  <si>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</si>
  <si>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</si>
  <si>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</si>
  <si>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</si>
  <si>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</si>
  <si>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</si>
  <si>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</si>
  <si>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</si>
  <si>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</si>
  <si>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</si>
  <si>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</si>
  <si>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</si>
  <si>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</si>
  <si>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</si>
  <si>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</si>
  <si>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</si>
  <si>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</si>
  <si>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</si>
  <si>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</si>
  <si>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</si>
  <si>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</si>
  <si>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</si>
  <si>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</si>
  <si>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</si>
  <si>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</si>
  <si>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</si>
  <si>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</si>
  <si>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</si>
  <si>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</si>
  <si>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</si>
  <si>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</si>
  <si>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</si>
  <si>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</si>
  <si>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</si>
  <si>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</si>
  <si>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</si>
  <si>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</si>
  <si>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</si>
  <si>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</si>
  <si>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</si>
  <si>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</si>
  <si>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</si>
  <si>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</si>
  <si>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</si>
  <si>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</si>
  <si>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</si>
  <si>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</si>
  <si>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</si>
  <si>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</si>
  <si>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</si>
  <si>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</si>
  <si>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</si>
  <si>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</si>
  <si>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</si>
  <si>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</si>
  <si>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</si>
  <si>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</si>
  <si>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</si>
  <si>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</si>
  <si>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</si>
  <si>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</si>
  <si>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</si>
  <si>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</si>
  <si>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</si>
  <si>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</si>
  <si>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</si>
  <si>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</si>
  <si>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</si>
  <si>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</si>
  <si>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</si>
  <si>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</si>
  <si>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</si>
  <si>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</si>
  <si>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</si>
  <si>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</si>
  <si>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</si>
  <si>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</si>
  <si>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</si>
  <si>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</si>
  <si>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</si>
  <si>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</si>
  <si>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</si>
  <si>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</si>
  <si>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</si>
  <si>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</si>
  <si>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</si>
  <si>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</si>
  <si>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</si>
  <si>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</si>
  <si>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</si>
  <si>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</si>
  <si>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</si>
  <si>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</si>
  <si>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</si>
  <si>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</si>
  <si>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</si>
  <si>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</si>
  <si>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</si>
  <si>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</si>
  <si>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</si>
  <si>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</si>
  <si>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</si>
  <si>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</si>
  <si>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</si>
  <si>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</si>
  <si>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</si>
  <si>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</si>
  <si>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</si>
  <si>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</si>
  <si>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</si>
  <si>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</si>
  <si>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</si>
  <si>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</si>
  <si>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</si>
  <si>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</si>
  <si>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</si>
  <si>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</si>
  <si>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</si>
  <si>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Farmington ASC</t>
  </si>
  <si>
    <t>Hospital OR Suite</t>
  </si>
  <si>
    <t>Total Outpatient Surgical Procedures(A)</t>
  </si>
  <si>
    <t>Hospital ENDO Suite</t>
  </si>
  <si>
    <t>Total Outpatient Endoscopy Procedures(B)</t>
  </si>
  <si>
    <t>Outpatient Hospital Emergency Room Visits</t>
  </si>
  <si>
    <t>Hospital Emergency Department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</si>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</sst>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8339532</v>
      </c>
      <c r="D13" s="22">
        <v>4161628</v>
      </c>
      <c r="E13" s="22">
        <f t="shared" ref="E13:E22" si="0">D13-C13</f>
        <v>-4177904</v>
      </c>
      <c r="F13" s="23">
        <f t="shared" ref="F13:F22" si="1">IF(C13=0,0,E13/C13)</f>
        <v>-0.50097583413553659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31383650</v>
      </c>
      <c r="D15" s="22">
        <v>32051457</v>
      </c>
      <c r="E15" s="22">
        <f t="shared" si="0"/>
        <v>667807</v>
      </c>
      <c r="F15" s="23">
        <f t="shared" si="1"/>
        <v>2.1278818747978646E-2</v>
      </c>
    </row>
    <row r="16" spans="1:8" ht="24" customHeight="1" x14ac:dyDescent="0.2">
      <c r="A16" s="20">
        <v>4</v>
      </c>
      <c r="B16" s="21" t="s">
        <v>19</v>
      </c>
      <c r="C16" s="22">
        <v>435186</v>
      </c>
      <c r="D16" s="22">
        <v>0</v>
      </c>
      <c r="E16" s="22">
        <f t="shared" si="0"/>
        <v>-435186</v>
      </c>
      <c r="F16" s="23">
        <f t="shared" si="1"/>
        <v>-1</v>
      </c>
    </row>
    <row r="17" spans="1:11" ht="24" customHeight="1" x14ac:dyDescent="0.2">
      <c r="A17" s="20">
        <v>5</v>
      </c>
      <c r="B17" s="21" t="s">
        <v>20</v>
      </c>
      <c r="C17" s="22">
        <v>640957</v>
      </c>
      <c r="D17" s="22">
        <v>18853</v>
      </c>
      <c r="E17" s="22">
        <f t="shared" si="0"/>
        <v>-622104</v>
      </c>
      <c r="F17" s="23">
        <f t="shared" si="1"/>
        <v>-0.97058617036712291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1443429</v>
      </c>
      <c r="D19" s="22">
        <v>2407715</v>
      </c>
      <c r="E19" s="22">
        <f t="shared" si="0"/>
        <v>964286</v>
      </c>
      <c r="F19" s="23">
        <f t="shared" si="1"/>
        <v>0.66805225612066821</v>
      </c>
    </row>
    <row r="20" spans="1:11" ht="24" customHeight="1" x14ac:dyDescent="0.2">
      <c r="A20" s="20">
        <v>8</v>
      </c>
      <c r="B20" s="21" t="s">
        <v>23</v>
      </c>
      <c r="C20" s="22">
        <v>761737</v>
      </c>
      <c r="D20" s="22">
        <v>647914</v>
      </c>
      <c r="E20" s="22">
        <f t="shared" si="0"/>
        <v>-113823</v>
      </c>
      <c r="F20" s="23">
        <f t="shared" si="1"/>
        <v>-0.14942558914691029</v>
      </c>
    </row>
    <row r="21" spans="1:11" ht="24" customHeight="1" x14ac:dyDescent="0.2">
      <c r="A21" s="20">
        <v>9</v>
      </c>
      <c r="B21" s="21" t="s">
        <v>24</v>
      </c>
      <c r="C21" s="22">
        <v>6401505</v>
      </c>
      <c r="D21" s="22">
        <v>7633586</v>
      </c>
      <c r="E21" s="22">
        <f t="shared" si="0"/>
        <v>1232081</v>
      </c>
      <c r="F21" s="23">
        <f t="shared" si="1"/>
        <v>0.1924673963388297</v>
      </c>
    </row>
    <row r="22" spans="1:11" ht="24" customHeight="1" x14ac:dyDescent="0.25">
      <c r="A22" s="24"/>
      <c r="B22" s="25" t="s">
        <v>25</v>
      </c>
      <c r="C22" s="26">
        <f>SUM(C13:C21)</f>
        <v>49405996</v>
      </c>
      <c r="D22" s="26">
        <f>SUM(D13:D21)</f>
        <v>46921153</v>
      </c>
      <c r="E22" s="26">
        <f t="shared" si="0"/>
        <v>-2484843</v>
      </c>
      <c r="F22" s="27">
        <f t="shared" si="1"/>
        <v>-5.0294361032616364E-2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75285353</v>
      </c>
      <c r="D25" s="22">
        <v>80740462</v>
      </c>
      <c r="E25" s="22">
        <f>D25-C25</f>
        <v>5455109</v>
      </c>
      <c r="F25" s="23">
        <f>IF(C25=0,0,E25/C25)</f>
        <v>7.2459101041871976E-2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75285353</v>
      </c>
      <c r="D29" s="26">
        <f>SUM(D25:D28)</f>
        <v>80740462</v>
      </c>
      <c r="E29" s="26">
        <f>D29-C29</f>
        <v>5455109</v>
      </c>
      <c r="F29" s="27">
        <f>IF(C29=0,0,E29/C29)</f>
        <v>7.2459101041871976E-2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100379776</v>
      </c>
      <c r="D31" s="22">
        <v>108498436</v>
      </c>
      <c r="E31" s="22">
        <f>D31-C31</f>
        <v>8118660</v>
      </c>
      <c r="F31" s="23">
        <f>IF(C31=0,0,E31/C31)</f>
        <v>8.0879439300601749E-2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24740751</v>
      </c>
      <c r="D33" s="22">
        <v>22532232</v>
      </c>
      <c r="E33" s="22">
        <f>D33-C33</f>
        <v>-2208519</v>
      </c>
      <c r="F33" s="23">
        <f>IF(C33=0,0,E33/C33)</f>
        <v>-8.9266449510768689E-2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250597819</v>
      </c>
      <c r="D36" s="22">
        <v>275932208</v>
      </c>
      <c r="E36" s="22">
        <f>D36-C36</f>
        <v>25334389</v>
      </c>
      <c r="F36" s="23">
        <f>IF(C36=0,0,E36/C36)</f>
        <v>0.10109580802057978</v>
      </c>
    </row>
    <row r="37" spans="1:8" ht="24" customHeight="1" x14ac:dyDescent="0.2">
      <c r="A37" s="20">
        <v>2</v>
      </c>
      <c r="B37" s="21" t="s">
        <v>39</v>
      </c>
      <c r="C37" s="22">
        <v>134135876</v>
      </c>
      <c r="D37" s="22">
        <v>151474917</v>
      </c>
      <c r="E37" s="22">
        <f>D37-C37</f>
        <v>17339041</v>
      </c>
      <c r="F37" s="23">
        <f>IF(C37=0,0,E37/C37)</f>
        <v>0.12926475389775663</v>
      </c>
    </row>
    <row r="38" spans="1:8" ht="24" customHeight="1" x14ac:dyDescent="0.25">
      <c r="A38" s="24"/>
      <c r="B38" s="25" t="s">
        <v>40</v>
      </c>
      <c r="C38" s="26">
        <f>C36-C37</f>
        <v>116461943</v>
      </c>
      <c r="D38" s="26">
        <f>D36-D37</f>
        <v>124457291</v>
      </c>
      <c r="E38" s="26">
        <f>D38-C38</f>
        <v>7995348</v>
      </c>
      <c r="F38" s="27">
        <f>IF(C38=0,0,E38/C38)</f>
        <v>6.8652023090495756E-2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13845701</v>
      </c>
      <c r="D40" s="22">
        <v>2121842</v>
      </c>
      <c r="E40" s="22">
        <f>D40-C40</f>
        <v>-11723859</v>
      </c>
      <c r="F40" s="23">
        <f>IF(C40=0,0,E40/C40)</f>
        <v>-0.84675084345675233</v>
      </c>
    </row>
    <row r="41" spans="1:8" ht="24" customHeight="1" x14ac:dyDescent="0.25">
      <c r="A41" s="24"/>
      <c r="B41" s="25" t="s">
        <v>42</v>
      </c>
      <c r="C41" s="26">
        <f>+C38+C40</f>
        <v>130307644</v>
      </c>
      <c r="D41" s="26">
        <f>+D38+D40</f>
        <v>126579133</v>
      </c>
      <c r="E41" s="26">
        <f>D41-C41</f>
        <v>-3728511</v>
      </c>
      <c r="F41" s="27">
        <f>IF(C41=0,0,E41/C41)</f>
        <v>-2.8613141067917704E-2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380119520</v>
      </c>
      <c r="D43" s="26">
        <f>D22+D29+D31+D32+D33+D41</f>
        <v>385271416</v>
      </c>
      <c r="E43" s="26">
        <f>D43-C43</f>
        <v>5151896</v>
      </c>
      <c r="F43" s="27">
        <f>IF(C43=0,0,E43/C43)</f>
        <v>1.3553358164821422E-2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35669910</v>
      </c>
      <c r="D49" s="22">
        <v>36868927</v>
      </c>
      <c r="E49" s="22">
        <f t="shared" ref="E49:E56" si="2">D49-C49</f>
        <v>1199017</v>
      </c>
      <c r="F49" s="23">
        <f t="shared" ref="F49:F56" si="3">IF(C49=0,0,E49/C49)</f>
        <v>3.3614242368427617E-2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14239585</v>
      </c>
      <c r="D50" s="22">
        <v>10784228</v>
      </c>
      <c r="E50" s="22">
        <f t="shared" si="2"/>
        <v>-3455357</v>
      </c>
      <c r="F50" s="23">
        <f t="shared" si="3"/>
        <v>-0.2426585465798336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12264644</v>
      </c>
      <c r="D51" s="22">
        <v>3164295</v>
      </c>
      <c r="E51" s="22">
        <f t="shared" si="2"/>
        <v>-9100349</v>
      </c>
      <c r="F51" s="23">
        <f t="shared" si="3"/>
        <v>-0.74199862629522717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14848033</v>
      </c>
      <c r="D52" s="22">
        <v>15089703</v>
      </c>
      <c r="E52" s="22">
        <f t="shared" si="2"/>
        <v>241670</v>
      </c>
      <c r="F52" s="23">
        <f t="shared" si="3"/>
        <v>1.627622998952117E-2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1415000</v>
      </c>
      <c r="D53" s="22">
        <v>1500000</v>
      </c>
      <c r="E53" s="22">
        <f t="shared" si="2"/>
        <v>85000</v>
      </c>
      <c r="F53" s="23">
        <f t="shared" si="3"/>
        <v>6.0070671378091869E-2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5904502</v>
      </c>
      <c r="D54" s="22">
        <v>6033372</v>
      </c>
      <c r="E54" s="22">
        <f t="shared" si="2"/>
        <v>128870</v>
      </c>
      <c r="F54" s="23">
        <f t="shared" si="3"/>
        <v>2.1825718748168771E-2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50382</v>
      </c>
      <c r="D55" s="22">
        <v>53729</v>
      </c>
      <c r="E55" s="22">
        <f t="shared" si="2"/>
        <v>3347</v>
      </c>
      <c r="F55" s="23">
        <f t="shared" si="3"/>
        <v>6.6432456035885837E-2</v>
      </c>
    </row>
    <row r="56" spans="1:6" ht="24" customHeight="1" x14ac:dyDescent="0.25">
      <c r="A56" s="24"/>
      <c r="B56" s="25" t="s">
        <v>54</v>
      </c>
      <c r="C56" s="26">
        <f>SUM(C49:C55)</f>
        <v>84392056</v>
      </c>
      <c r="D56" s="26">
        <f>SUM(D49:D55)</f>
        <v>73494254</v>
      </c>
      <c r="E56" s="26">
        <f t="shared" si="2"/>
        <v>-10897802</v>
      </c>
      <c r="F56" s="27">
        <f t="shared" si="3"/>
        <v>-0.12913303119431052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35269625</v>
      </c>
      <c r="D59" s="22">
        <v>33769625</v>
      </c>
      <c r="E59" s="22">
        <f>D59-C59</f>
        <v>-1500000</v>
      </c>
      <c r="F59" s="23">
        <f>IF(C59=0,0,E59/C59)</f>
        <v>-4.252951371045198E-2</v>
      </c>
    </row>
    <row r="60" spans="1:6" ht="24" customHeight="1" x14ac:dyDescent="0.2">
      <c r="A60" s="20">
        <v>2</v>
      </c>
      <c r="B60" s="21" t="s">
        <v>57</v>
      </c>
      <c r="C60" s="22">
        <v>16874755</v>
      </c>
      <c r="D60" s="22">
        <v>10924043</v>
      </c>
      <c r="E60" s="22">
        <f>D60-C60</f>
        <v>-5950712</v>
      </c>
      <c r="F60" s="23">
        <f>IF(C60=0,0,E60/C60)</f>
        <v>-0.35263990499417619</v>
      </c>
    </row>
    <row r="61" spans="1:6" ht="24" customHeight="1" x14ac:dyDescent="0.25">
      <c r="A61" s="24"/>
      <c r="B61" s="25" t="s">
        <v>58</v>
      </c>
      <c r="C61" s="26">
        <f>SUM(C59:C60)</f>
        <v>52144380</v>
      </c>
      <c r="D61" s="26">
        <f>SUM(D59:D60)</f>
        <v>44693668</v>
      </c>
      <c r="E61" s="26">
        <f>D61-C61</f>
        <v>-7450712</v>
      </c>
      <c r="F61" s="27">
        <f>IF(C61=0,0,E61/C61)</f>
        <v>-0.14288619406348296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19397464</v>
      </c>
      <c r="D63" s="22">
        <v>24478050</v>
      </c>
      <c r="E63" s="22">
        <f>D63-C63</f>
        <v>5080586</v>
      </c>
      <c r="F63" s="23">
        <f>IF(C63=0,0,E63/C63)</f>
        <v>0.26192011491811507</v>
      </c>
    </row>
    <row r="64" spans="1:6" ht="24" customHeight="1" x14ac:dyDescent="0.2">
      <c r="A64" s="20">
        <v>4</v>
      </c>
      <c r="B64" s="21" t="s">
        <v>60</v>
      </c>
      <c r="C64" s="22">
        <v>25935775</v>
      </c>
      <c r="D64" s="22">
        <v>29700191</v>
      </c>
      <c r="E64" s="22">
        <f>D64-C64</f>
        <v>3764416</v>
      </c>
      <c r="F64" s="23">
        <f>IF(C64=0,0,E64/C64)</f>
        <v>0.14514376377802476</v>
      </c>
    </row>
    <row r="65" spans="1:6" ht="24" customHeight="1" x14ac:dyDescent="0.25">
      <c r="A65" s="24"/>
      <c r="B65" s="25" t="s">
        <v>61</v>
      </c>
      <c r="C65" s="26">
        <f>SUM(C61:C64)</f>
        <v>97477619</v>
      </c>
      <c r="D65" s="26">
        <f>SUM(D61:D64)</f>
        <v>98871909</v>
      </c>
      <c r="E65" s="26">
        <f>D65-C65</f>
        <v>1394290</v>
      </c>
      <c r="F65" s="27">
        <f>IF(C65=0,0,E65/C65)</f>
        <v>1.4303693650949764E-2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75698045</v>
      </c>
      <c r="D70" s="22">
        <v>86365161</v>
      </c>
      <c r="E70" s="22">
        <f>D70-C70</f>
        <v>10667116</v>
      </c>
      <c r="F70" s="23">
        <f>IF(C70=0,0,E70/C70)</f>
        <v>0.14091666436035435</v>
      </c>
    </row>
    <row r="71" spans="1:6" ht="24" customHeight="1" x14ac:dyDescent="0.2">
      <c r="A71" s="20">
        <v>2</v>
      </c>
      <c r="B71" s="21" t="s">
        <v>65</v>
      </c>
      <c r="C71" s="22">
        <v>29429877</v>
      </c>
      <c r="D71" s="22">
        <v>27079719</v>
      </c>
      <c r="E71" s="22">
        <f>D71-C71</f>
        <v>-2350158</v>
      </c>
      <c r="F71" s="23">
        <f>IF(C71=0,0,E71/C71)</f>
        <v>-7.9856195117635045E-2</v>
      </c>
    </row>
    <row r="72" spans="1:6" ht="24" customHeight="1" x14ac:dyDescent="0.2">
      <c r="A72" s="20">
        <v>3</v>
      </c>
      <c r="B72" s="21" t="s">
        <v>66</v>
      </c>
      <c r="C72" s="22">
        <v>93121923</v>
      </c>
      <c r="D72" s="22">
        <v>99460373</v>
      </c>
      <c r="E72" s="22">
        <f>D72-C72</f>
        <v>6338450</v>
      </c>
      <c r="F72" s="23">
        <f>IF(C72=0,0,E72/C72)</f>
        <v>6.8066141632405944E-2</v>
      </c>
    </row>
    <row r="73" spans="1:6" ht="24" customHeight="1" x14ac:dyDescent="0.25">
      <c r="A73" s="20"/>
      <c r="B73" s="25" t="s">
        <v>67</v>
      </c>
      <c r="C73" s="26">
        <f>SUM(C70:C72)</f>
        <v>198249845</v>
      </c>
      <c r="D73" s="26">
        <f>SUM(D70:D72)</f>
        <v>212905253</v>
      </c>
      <c r="E73" s="26">
        <f>D73-C73</f>
        <v>14655408</v>
      </c>
      <c r="F73" s="27">
        <f>IF(C73=0,0,E73/C73)</f>
        <v>7.3923931693364003E-2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380119520</v>
      </c>
      <c r="D75" s="26">
        <f>D56+D65+D67+D73</f>
        <v>385271416</v>
      </c>
      <c r="E75" s="26">
        <f>D75-C75</f>
        <v>5151896</v>
      </c>
      <c r="F75" s="27">
        <f>IF(C75=0,0,E75/C75)</f>
        <v>1.3553358164821422E-2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45" zoomScale="70" zoomScaleNormal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304605441</v>
      </c>
      <c r="D11" s="76">
        <v>341250390</v>
      </c>
      <c r="E11" s="76">
        <v>358221225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33242787</v>
      </c>
      <c r="D12" s="185">
        <v>39119347</v>
      </c>
      <c r="E12" s="185">
        <v>40148735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337848228</v>
      </c>
      <c r="D13" s="76">
        <f>+D11+D12</f>
        <v>380369737</v>
      </c>
      <c r="E13" s="76">
        <f>+E11+E12</f>
        <v>398369960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372489049</v>
      </c>
      <c r="D14" s="185">
        <v>379326166</v>
      </c>
      <c r="E14" s="185">
        <v>397642833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-34640821</v>
      </c>
      <c r="D15" s="76">
        <f>+D13-D14</f>
        <v>1043571</v>
      </c>
      <c r="E15" s="76">
        <f>+E13-E14</f>
        <v>727127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17542732</v>
      </c>
      <c r="D16" s="185">
        <v>10376378</v>
      </c>
      <c r="E16" s="185">
        <v>12526617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-17098089</v>
      </c>
      <c r="D17" s="76">
        <f>D15+D16</f>
        <v>11419949</v>
      </c>
      <c r="E17" s="76">
        <f>E15+E16</f>
        <v>13253744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-9.7472431487846511E-2</v>
      </c>
      <c r="D20" s="189">
        <f>IF(+D27=0,0,+D24/+D27)</f>
        <v>2.6707136934681999E-3</v>
      </c>
      <c r="E20" s="189">
        <f>IF(+E27=0,0,+E24/+E27)</f>
        <v>1.7696107504930614E-3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4.9361784554114711E-2</v>
      </c>
      <c r="D21" s="189">
        <f>IF(+D27=0,0,+D26/+D27)</f>
        <v>2.6555294094222793E-2</v>
      </c>
      <c r="E21" s="189">
        <f>IF(+E27=0,0,+E26/+E27)</f>
        <v>3.0486058295881108E-2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-4.81106469337318E-2</v>
      </c>
      <c r="D22" s="189">
        <f>IF(+D27=0,0,+D28/+D27)</f>
        <v>2.9226007787690991E-2</v>
      </c>
      <c r="E22" s="189">
        <f>IF(+E27=0,0,+E28/+E27)</f>
        <v>3.2255669046374169E-2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-34640821</v>
      </c>
      <c r="D24" s="76">
        <f>+D15</f>
        <v>1043571</v>
      </c>
      <c r="E24" s="76">
        <f>+E15</f>
        <v>727127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337848228</v>
      </c>
      <c r="D25" s="76">
        <f>+D13</f>
        <v>380369737</v>
      </c>
      <c r="E25" s="76">
        <f>+E13</f>
        <v>398369960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17542732</v>
      </c>
      <c r="D26" s="76">
        <f>+D16</f>
        <v>10376378</v>
      </c>
      <c r="E26" s="76">
        <f>+E16</f>
        <v>12526617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355390960</v>
      </c>
      <c r="D27" s="76">
        <f>SUM(D25:D26)</f>
        <v>390746115</v>
      </c>
      <c r="E27" s="76">
        <f>SUM(E25:E26)</f>
        <v>410896577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-17098089</v>
      </c>
      <c r="D28" s="76">
        <f>+D17</f>
        <v>11419949</v>
      </c>
      <c r="E28" s="76">
        <f>+E17</f>
        <v>13253744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106219054</v>
      </c>
      <c r="D31" s="76">
        <v>100983261</v>
      </c>
      <c r="E31" s="76">
        <v>116834494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232687351</v>
      </c>
      <c r="D32" s="76">
        <v>223611054</v>
      </c>
      <c r="E32" s="76">
        <v>243450081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-13025187</v>
      </c>
      <c r="D33" s="76">
        <f>+D32-C32</f>
        <v>-9076297</v>
      </c>
      <c r="E33" s="76">
        <f>+E32-D32</f>
        <v>19839027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0.94689999999999996</v>
      </c>
      <c r="D34" s="193">
        <f>IF(C32=0,0,+D33/C32)</f>
        <v>-3.9006404778745361E-2</v>
      </c>
      <c r="E34" s="193">
        <f>IF(D32=0,0,+E33/D32)</f>
        <v>8.8721137193870564E-2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0.72166577645255225</v>
      </c>
      <c r="D38" s="338">
        <f>IF(+D40=0,0,+D39/+D40)</f>
        <v>0.7274004821614598</v>
      </c>
      <c r="E38" s="338">
        <f>IF(+E40=0,0,+E39/+E40)</f>
        <v>1.8134244547197571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77825229</v>
      </c>
      <c r="D39" s="341">
        <v>66100976</v>
      </c>
      <c r="E39" s="341">
        <v>130295510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107841097</v>
      </c>
      <c r="D40" s="341">
        <v>90872879</v>
      </c>
      <c r="E40" s="341">
        <v>71850531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18.31503295146959</v>
      </c>
      <c r="D42" s="343">
        <f>IF((D48/365)=0,0,+D45/(D48/365))</f>
        <v>14.136612368604014</v>
      </c>
      <c r="E42" s="343">
        <f>IF((E48/365)=0,0,+E45/(E48/365))</f>
        <v>71.751058025054704</v>
      </c>
    </row>
    <row r="43" spans="1:14" ht="24" customHeight="1" x14ac:dyDescent="0.2">
      <c r="A43" s="339">
        <v>5</v>
      </c>
      <c r="B43" s="344" t="s">
        <v>16</v>
      </c>
      <c r="C43" s="345">
        <v>6660856</v>
      </c>
      <c r="D43" s="345">
        <v>11576841</v>
      </c>
      <c r="E43" s="345">
        <v>6899401</v>
      </c>
    </row>
    <row r="44" spans="1:14" ht="24" customHeight="1" x14ac:dyDescent="0.2">
      <c r="A44" s="339">
        <v>6</v>
      </c>
      <c r="B44" s="346" t="s">
        <v>17</v>
      </c>
      <c r="C44" s="345">
        <v>11232933</v>
      </c>
      <c r="D44" s="345">
        <v>2402355</v>
      </c>
      <c r="E44" s="345">
        <v>67013057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17893789</v>
      </c>
      <c r="D45" s="341">
        <f>+D43+D44</f>
        <v>13979196</v>
      </c>
      <c r="E45" s="341">
        <f>+E43+E44</f>
        <v>73912458</v>
      </c>
    </row>
    <row r="46" spans="1:14" ht="24" customHeight="1" x14ac:dyDescent="0.2">
      <c r="A46" s="339">
        <v>8</v>
      </c>
      <c r="B46" s="340" t="s">
        <v>334</v>
      </c>
      <c r="C46" s="341">
        <f>+C14</f>
        <v>372489049</v>
      </c>
      <c r="D46" s="341">
        <f>+D14</f>
        <v>379326166</v>
      </c>
      <c r="E46" s="341">
        <f>+E14</f>
        <v>397642833</v>
      </c>
    </row>
    <row r="47" spans="1:14" ht="24" customHeight="1" x14ac:dyDescent="0.2">
      <c r="A47" s="339">
        <v>9</v>
      </c>
      <c r="B47" s="340" t="s">
        <v>356</v>
      </c>
      <c r="C47" s="341">
        <v>15884013</v>
      </c>
      <c r="D47" s="341">
        <v>18390575</v>
      </c>
      <c r="E47" s="341">
        <v>21647720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356605036</v>
      </c>
      <c r="D48" s="341">
        <f>+D46-D47</f>
        <v>360935591</v>
      </c>
      <c r="E48" s="341">
        <f>+E46-E47</f>
        <v>375995113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7.2990871328526268</v>
      </c>
      <c r="D50" s="350">
        <f>IF((D55/365)=0,0,+D54/(D55/365))</f>
        <v>19.498963327192094</v>
      </c>
      <c r="E50" s="350">
        <f>IF((E55/365)=0,0,+E54/(E55/365))</f>
        <v>36.770683632718857</v>
      </c>
    </row>
    <row r="51" spans="1:5" ht="24" customHeight="1" x14ac:dyDescent="0.2">
      <c r="A51" s="339">
        <v>12</v>
      </c>
      <c r="B51" s="344" t="s">
        <v>359</v>
      </c>
      <c r="C51" s="351">
        <v>39656117</v>
      </c>
      <c r="D51" s="351">
        <v>38599255</v>
      </c>
      <c r="E51" s="351">
        <v>40588898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33564770</v>
      </c>
      <c r="D53" s="341">
        <v>20369039</v>
      </c>
      <c r="E53" s="341">
        <v>4501119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6091347</v>
      </c>
      <c r="D54" s="352">
        <f>+D51+D52-D53</f>
        <v>18230216</v>
      </c>
      <c r="E54" s="352">
        <f>+E51+E52-E53</f>
        <v>36087779</v>
      </c>
    </row>
    <row r="55" spans="1:5" ht="24" customHeight="1" x14ac:dyDescent="0.2">
      <c r="A55" s="339">
        <v>16</v>
      </c>
      <c r="B55" s="340" t="s">
        <v>75</v>
      </c>
      <c r="C55" s="341">
        <f>+C11</f>
        <v>304605441</v>
      </c>
      <c r="D55" s="341">
        <f>+D11</f>
        <v>341250390</v>
      </c>
      <c r="E55" s="341">
        <f>+E11</f>
        <v>358221225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110.37982201967557</v>
      </c>
      <c r="D57" s="355">
        <f>IF((D61/365)=0,0,+D58/(D61/365))</f>
        <v>91.896176664384413</v>
      </c>
      <c r="E57" s="355">
        <f>IF((E61/365)=0,0,+E58/(E61/365))</f>
        <v>69.749427341626117</v>
      </c>
    </row>
    <row r="58" spans="1:5" ht="24" customHeight="1" x14ac:dyDescent="0.2">
      <c r="A58" s="339">
        <v>18</v>
      </c>
      <c r="B58" s="340" t="s">
        <v>54</v>
      </c>
      <c r="C58" s="353">
        <f>+C40</f>
        <v>107841097</v>
      </c>
      <c r="D58" s="353">
        <f>+D40</f>
        <v>90872879</v>
      </c>
      <c r="E58" s="353">
        <f>+E40</f>
        <v>71850531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372489049</v>
      </c>
      <c r="D59" s="353">
        <f t="shared" si="0"/>
        <v>379326166</v>
      </c>
      <c r="E59" s="353">
        <f t="shared" si="0"/>
        <v>397642833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15884013</v>
      </c>
      <c r="D60" s="356">
        <f t="shared" si="0"/>
        <v>18390575</v>
      </c>
      <c r="E60" s="356">
        <f t="shared" si="0"/>
        <v>21647720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356605036</v>
      </c>
      <c r="D61" s="353">
        <f>+D59-D60</f>
        <v>360935591</v>
      </c>
      <c r="E61" s="353">
        <f>+E59-E60</f>
        <v>375995113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52.044927856496606</v>
      </c>
      <c r="D65" s="357">
        <f>IF(D67=0,0,(D66/D67)*100)</f>
        <v>52.941600795789412</v>
      </c>
      <c r="E65" s="357">
        <f>IF(E67=0,0,(E66/E67)*100)</f>
        <v>57.119685995136095</v>
      </c>
    </row>
    <row r="66" spans="1:5" ht="24" customHeight="1" x14ac:dyDescent="0.2">
      <c r="A66" s="339">
        <v>2</v>
      </c>
      <c r="B66" s="340" t="s">
        <v>67</v>
      </c>
      <c r="C66" s="353">
        <f>+C32</f>
        <v>232687351</v>
      </c>
      <c r="D66" s="353">
        <f>+D32</f>
        <v>223611054</v>
      </c>
      <c r="E66" s="353">
        <f>+E32</f>
        <v>243450081</v>
      </c>
    </row>
    <row r="67" spans="1:5" ht="24" customHeight="1" x14ac:dyDescent="0.2">
      <c r="A67" s="339">
        <v>3</v>
      </c>
      <c r="B67" s="340" t="s">
        <v>43</v>
      </c>
      <c r="C67" s="353">
        <v>447089391</v>
      </c>
      <c r="D67" s="353">
        <v>422373050</v>
      </c>
      <c r="E67" s="353">
        <v>426210468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-0.72533328337171254</v>
      </c>
      <c r="D69" s="357">
        <f>IF(D75=0,0,(D72/D75)*100)</f>
        <v>20.837326064596517</v>
      </c>
      <c r="E69" s="357">
        <f>IF(E75=0,0,(E72/E75)*100)</f>
        <v>29.939009418751823</v>
      </c>
    </row>
    <row r="70" spans="1:5" ht="24" customHeight="1" x14ac:dyDescent="0.2">
      <c r="A70" s="339">
        <v>5</v>
      </c>
      <c r="B70" s="340" t="s">
        <v>366</v>
      </c>
      <c r="C70" s="353">
        <f>+C28</f>
        <v>-17098089</v>
      </c>
      <c r="D70" s="353">
        <f>+D28</f>
        <v>11419949</v>
      </c>
      <c r="E70" s="353">
        <f>+E28</f>
        <v>13253744</v>
      </c>
    </row>
    <row r="71" spans="1:5" ht="24" customHeight="1" x14ac:dyDescent="0.2">
      <c r="A71" s="339">
        <v>6</v>
      </c>
      <c r="B71" s="340" t="s">
        <v>356</v>
      </c>
      <c r="C71" s="356">
        <f>+C47</f>
        <v>15884013</v>
      </c>
      <c r="D71" s="356">
        <f>+D47</f>
        <v>18390575</v>
      </c>
      <c r="E71" s="356">
        <f>+E47</f>
        <v>21647720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-1214076</v>
      </c>
      <c r="D72" s="353">
        <f>+D70+D71</f>
        <v>29810524</v>
      </c>
      <c r="E72" s="353">
        <f>+E70+E71</f>
        <v>34901464</v>
      </c>
    </row>
    <row r="73" spans="1:5" ht="24" customHeight="1" x14ac:dyDescent="0.2">
      <c r="A73" s="339">
        <v>8</v>
      </c>
      <c r="B73" s="340" t="s">
        <v>54</v>
      </c>
      <c r="C73" s="341">
        <f>+C40</f>
        <v>107841097</v>
      </c>
      <c r="D73" s="341">
        <f>+D40</f>
        <v>90872879</v>
      </c>
      <c r="E73" s="341">
        <f>+E40</f>
        <v>71850531</v>
      </c>
    </row>
    <row r="74" spans="1:5" ht="24" customHeight="1" x14ac:dyDescent="0.2">
      <c r="A74" s="339">
        <v>9</v>
      </c>
      <c r="B74" s="340" t="s">
        <v>58</v>
      </c>
      <c r="C74" s="353">
        <v>59540716</v>
      </c>
      <c r="D74" s="353">
        <v>52190218</v>
      </c>
      <c r="E74" s="353">
        <v>44724682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167381813</v>
      </c>
      <c r="D75" s="341">
        <f>+D73+D74</f>
        <v>143063097</v>
      </c>
      <c r="E75" s="341">
        <f>+E73+E74</f>
        <v>116575213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20.374742443887158</v>
      </c>
      <c r="D77" s="359">
        <f>IF(D80=0,0,(D78/D80)*100)</f>
        <v>18.923124473479586</v>
      </c>
      <c r="E77" s="359">
        <f>IF(E80=0,0,(E78/E80)*100)</f>
        <v>15.519985697012615</v>
      </c>
    </row>
    <row r="78" spans="1:5" ht="24" customHeight="1" x14ac:dyDescent="0.2">
      <c r="A78" s="339">
        <v>12</v>
      </c>
      <c r="B78" s="340" t="s">
        <v>58</v>
      </c>
      <c r="C78" s="341">
        <f>+C74</f>
        <v>59540716</v>
      </c>
      <c r="D78" s="341">
        <f>+D74</f>
        <v>52190218</v>
      </c>
      <c r="E78" s="341">
        <f>+E74</f>
        <v>44724682</v>
      </c>
    </row>
    <row r="79" spans="1:5" ht="24" customHeight="1" x14ac:dyDescent="0.2">
      <c r="A79" s="339">
        <v>13</v>
      </c>
      <c r="B79" s="340" t="s">
        <v>67</v>
      </c>
      <c r="C79" s="341">
        <f>+C32</f>
        <v>232687351</v>
      </c>
      <c r="D79" s="341">
        <f>+D32</f>
        <v>223611054</v>
      </c>
      <c r="E79" s="341">
        <f>+E32</f>
        <v>243450081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292228067</v>
      </c>
      <c r="D80" s="341">
        <f>+D78+D79</f>
        <v>275801272</v>
      </c>
      <c r="E80" s="341">
        <f>+E78+E79</f>
        <v>288174763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57" orientation="portrait" horizontalDpi="1200" verticalDpi="1200" r:id="rId1"/>
  <headerFooter>
    <oddHeader>_x000D_
                &amp;L&amp;8OFFICE OF HEALTH CARE ACCESS&amp;C&amp;8TWELVE MONTHS ACTUAL FILING&amp;R&amp;8CCMC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5" zoomScaleNormal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0</v>
      </c>
      <c r="D11" s="376">
        <v>0</v>
      </c>
      <c r="E11" s="376">
        <v>0</v>
      </c>
      <c r="F11" s="377">
        <v>0</v>
      </c>
      <c r="G11" s="377">
        <v>0</v>
      </c>
      <c r="H11" s="378">
        <f>IF(F11=0,0,$C11/(F11*365))</f>
        <v>0</v>
      </c>
      <c r="I11" s="378">
        <f>IF(G11=0,0,$C11/(G11*365))</f>
        <v>0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4761</v>
      </c>
      <c r="D13" s="376">
        <v>205</v>
      </c>
      <c r="E13" s="376">
        <v>773</v>
      </c>
      <c r="F13" s="377">
        <v>18</v>
      </c>
      <c r="G13" s="377">
        <v>18</v>
      </c>
      <c r="H13" s="378">
        <f>IF(F13=0,0,$C13/(F13*365))</f>
        <v>0.72465753424657531</v>
      </c>
      <c r="I13" s="378">
        <f>IF(G13=0,0,$C13/(G13*365))</f>
        <v>0.72465753424657531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0</v>
      </c>
      <c r="D21" s="376">
        <v>0</v>
      </c>
      <c r="E21" s="376">
        <v>0</v>
      </c>
      <c r="F21" s="377">
        <v>0</v>
      </c>
      <c r="G21" s="377">
        <v>0</v>
      </c>
      <c r="H21" s="378">
        <f>IF(F21=0,0,$C21/(F21*365))</f>
        <v>0</v>
      </c>
      <c r="I21" s="378">
        <f>IF(G21=0,0,$C21/(G21*365))</f>
        <v>0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0</v>
      </c>
      <c r="D23" s="376">
        <v>0</v>
      </c>
      <c r="E23" s="376">
        <v>0</v>
      </c>
      <c r="F23" s="377">
        <v>0</v>
      </c>
      <c r="G23" s="377">
        <v>0</v>
      </c>
      <c r="H23" s="378">
        <f>IF(F23=0,0,$C23/(F23*365))</f>
        <v>0</v>
      </c>
      <c r="I23" s="378">
        <f>IF(G23=0,0,$C23/(G23*365))</f>
        <v>0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18375</v>
      </c>
      <c r="D25" s="376">
        <v>742</v>
      </c>
      <c r="E25" s="376">
        <v>806</v>
      </c>
      <c r="F25" s="377">
        <v>72</v>
      </c>
      <c r="G25" s="377">
        <v>72</v>
      </c>
      <c r="H25" s="378">
        <f>IF(F25=0,0,$C25/(F25*365))</f>
        <v>0.69920091324200917</v>
      </c>
      <c r="I25" s="378">
        <f>IF(G25=0,0,$C25/(G25*365))</f>
        <v>0.69920091324200917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21568</v>
      </c>
      <c r="D27" s="376">
        <v>5674</v>
      </c>
      <c r="E27" s="376">
        <v>4752</v>
      </c>
      <c r="F27" s="377">
        <v>92</v>
      </c>
      <c r="G27" s="377">
        <v>97</v>
      </c>
      <c r="H27" s="378">
        <f>IF(F27=0,0,$C27/(F27*365))</f>
        <v>0.64228707564026211</v>
      </c>
      <c r="I27" s="378">
        <f>IF(G27=0,0,$C27/(G27*365))</f>
        <v>0.60917949442169184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44704</v>
      </c>
      <c r="D31" s="384">
        <f>SUM(D10:D29)-D13-D17-D23</f>
        <v>6416</v>
      </c>
      <c r="E31" s="384">
        <f>SUM(E10:E29)-E17-E23</f>
        <v>6331</v>
      </c>
      <c r="F31" s="384">
        <f>SUM(F10:F29)-F17-F23</f>
        <v>182</v>
      </c>
      <c r="G31" s="384">
        <f>SUM(G10:G29)-G17-G23</f>
        <v>187</v>
      </c>
      <c r="H31" s="385">
        <f>IF(F31=0,0,$C31/(F31*365))</f>
        <v>0.67294896883937982</v>
      </c>
      <c r="I31" s="385">
        <f>IF(G31=0,0,$C31/(G31*365))</f>
        <v>0.65495568090249801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44704</v>
      </c>
      <c r="D33" s="384">
        <f>SUM(D10:D29)-D13-D17</f>
        <v>6416</v>
      </c>
      <c r="E33" s="384">
        <f>SUM(E10:E29)-E17</f>
        <v>6331</v>
      </c>
      <c r="F33" s="384">
        <f>SUM(F10:F29)-F17</f>
        <v>182</v>
      </c>
      <c r="G33" s="384">
        <f>SUM(G10:G29)-G17</f>
        <v>187</v>
      </c>
      <c r="H33" s="385">
        <f>IF(F33=0,0,$C33/(F33*365))</f>
        <v>0.67294896883937982</v>
      </c>
      <c r="I33" s="385">
        <f>IF(G33=0,0,$C33/(G33*365))</f>
        <v>0.65495568090249801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44704</v>
      </c>
      <c r="D36" s="384">
        <f t="shared" si="1"/>
        <v>6416</v>
      </c>
      <c r="E36" s="384">
        <f t="shared" si="1"/>
        <v>6331</v>
      </c>
      <c r="F36" s="384">
        <f t="shared" si="1"/>
        <v>182</v>
      </c>
      <c r="G36" s="384">
        <f t="shared" si="1"/>
        <v>187</v>
      </c>
      <c r="H36" s="387">
        <f t="shared" si="1"/>
        <v>0.67294896883937982</v>
      </c>
      <c r="I36" s="387">
        <f t="shared" si="1"/>
        <v>0.65495568090249801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45010</v>
      </c>
      <c r="D37" s="384">
        <v>6047</v>
      </c>
      <c r="E37" s="384">
        <v>6016</v>
      </c>
      <c r="F37" s="386">
        <v>182</v>
      </c>
      <c r="G37" s="386">
        <v>187</v>
      </c>
      <c r="H37" s="385">
        <f>IF(F37=0,0,$C37/(F37*365))</f>
        <v>0.67755532139093788</v>
      </c>
      <c r="I37" s="385">
        <f>IF(G37=0,0,$C37/(G37*365))</f>
        <v>0.65943886894732984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-306</v>
      </c>
      <c r="D38" s="384">
        <f t="shared" si="2"/>
        <v>369</v>
      </c>
      <c r="E38" s="384">
        <f t="shared" si="2"/>
        <v>315</v>
      </c>
      <c r="F38" s="384">
        <f t="shared" si="2"/>
        <v>0</v>
      </c>
      <c r="G38" s="384">
        <f t="shared" si="2"/>
        <v>0</v>
      </c>
      <c r="H38" s="387">
        <f t="shared" si="2"/>
        <v>-4.6063525515580572E-3</v>
      </c>
      <c r="I38" s="387">
        <f t="shared" si="2"/>
        <v>-4.4831880448318318E-3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-6.7984892246167519E-3</v>
      </c>
      <c r="D40" s="389">
        <f t="shared" si="3"/>
        <v>6.1021994377377209E-2</v>
      </c>
      <c r="E40" s="389">
        <f t="shared" si="3"/>
        <v>5.236037234042553E-2</v>
      </c>
      <c r="F40" s="389">
        <f t="shared" si="3"/>
        <v>0</v>
      </c>
      <c r="G40" s="389">
        <f t="shared" si="3"/>
        <v>0</v>
      </c>
      <c r="H40" s="389">
        <f t="shared" si="3"/>
        <v>-6.79848922461679E-3</v>
      </c>
      <c r="I40" s="389">
        <f t="shared" si="3"/>
        <v>-6.7984892246166781E-3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187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FILING&amp;RCT CHILDREN`S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1322</v>
      </c>
      <c r="D12" s="409">
        <v>1264</v>
      </c>
      <c r="E12" s="409">
        <f>+D12-C12</f>
        <v>-58</v>
      </c>
      <c r="F12" s="410">
        <f>IF(C12=0,0,+E12/C12)</f>
        <v>-4.3872919818456882E-2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1800</v>
      </c>
      <c r="D13" s="409">
        <v>2598</v>
      </c>
      <c r="E13" s="409">
        <f>+D13-C13</f>
        <v>798</v>
      </c>
      <c r="F13" s="410">
        <f>IF(C13=0,0,+E13/C13)</f>
        <v>0.44333333333333336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1050</v>
      </c>
      <c r="D14" s="409">
        <v>1101</v>
      </c>
      <c r="E14" s="409">
        <f>+D14-C14</f>
        <v>51</v>
      </c>
      <c r="F14" s="410">
        <f>IF(C14=0,0,+E14/C14)</f>
        <v>4.8571428571428571E-2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4172</v>
      </c>
      <c r="D16" s="401">
        <f>SUM(D12:D15)</f>
        <v>4963</v>
      </c>
      <c r="E16" s="401">
        <f>+D16-C16</f>
        <v>791</v>
      </c>
      <c r="F16" s="402">
        <f>IF(C16=0,0,+E16/C16)</f>
        <v>0.18959731543624161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715</v>
      </c>
      <c r="D19" s="409">
        <v>933</v>
      </c>
      <c r="E19" s="409">
        <f>+D19-C19</f>
        <v>218</v>
      </c>
      <c r="F19" s="410">
        <f>IF(C19=0,0,+E19/C19)</f>
        <v>0.30489510489510491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4515</v>
      </c>
      <c r="D20" s="409">
        <v>4148</v>
      </c>
      <c r="E20" s="409">
        <f>+D20-C20</f>
        <v>-367</v>
      </c>
      <c r="F20" s="410">
        <f>IF(C20=0,0,+E20/C20)</f>
        <v>-8.128460686600221E-2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114</v>
      </c>
      <c r="D21" s="409">
        <v>113</v>
      </c>
      <c r="E21" s="409">
        <f>+D21-C21</f>
        <v>-1</v>
      </c>
      <c r="F21" s="410">
        <f>IF(C21=0,0,+E21/C21)</f>
        <v>-8.771929824561403E-3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5344</v>
      </c>
      <c r="D23" s="401">
        <f>SUM(D19:D22)</f>
        <v>5194</v>
      </c>
      <c r="E23" s="401">
        <f>+D23-C23</f>
        <v>-150</v>
      </c>
      <c r="F23" s="402">
        <f>IF(C23=0,0,+E23/C23)</f>
        <v>-2.8068862275449101E-2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21</v>
      </c>
      <c r="D48" s="409">
        <v>15</v>
      </c>
      <c r="E48" s="409">
        <f>+D48-C48</f>
        <v>-6</v>
      </c>
      <c r="F48" s="410">
        <f>IF(C48=0,0,+E48/C48)</f>
        <v>-0.2857142857142857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41</v>
      </c>
      <c r="D49" s="409">
        <v>43</v>
      </c>
      <c r="E49" s="409">
        <f>+D49-C49</f>
        <v>2</v>
      </c>
      <c r="F49" s="410">
        <f>IF(C49=0,0,+E49/C49)</f>
        <v>4.878048780487805E-2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62</v>
      </c>
      <c r="D50" s="401">
        <f>SUM(D48:D49)</f>
        <v>58</v>
      </c>
      <c r="E50" s="401">
        <f>+D50-C50</f>
        <v>-4</v>
      </c>
      <c r="F50" s="402">
        <f>IF(C50=0,0,+E50/C50)</f>
        <v>-6.4516129032258063E-2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2</v>
      </c>
      <c r="D53" s="409">
        <v>5</v>
      </c>
      <c r="E53" s="409">
        <f>+D53-C53</f>
        <v>3</v>
      </c>
      <c r="F53" s="410">
        <f>IF(C53=0,0,+E53/C53)</f>
        <v>1.5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2</v>
      </c>
      <c r="D55" s="401">
        <f>SUM(D53:D54)</f>
        <v>5</v>
      </c>
      <c r="E55" s="401">
        <f>+D55-C55</f>
        <v>3</v>
      </c>
      <c r="F55" s="402">
        <f>IF(C55=0,0,+E55/C55)</f>
        <v>1.5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9</v>
      </c>
      <c r="D58" s="409">
        <v>17</v>
      </c>
      <c r="E58" s="409">
        <f>+D58-C58</f>
        <v>8</v>
      </c>
      <c r="F58" s="410">
        <f>IF(C58=0,0,+E58/C58)</f>
        <v>0.88888888888888884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37</v>
      </c>
      <c r="D59" s="409">
        <v>0</v>
      </c>
      <c r="E59" s="409">
        <f>+D59-C59</f>
        <v>-37</v>
      </c>
      <c r="F59" s="410">
        <f>IF(C59=0,0,+E59/C59)</f>
        <v>-1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46</v>
      </c>
      <c r="D60" s="401">
        <f>SUM(D58:D59)</f>
        <v>17</v>
      </c>
      <c r="E60" s="401">
        <f>SUM(E58:E59)</f>
        <v>-29</v>
      </c>
      <c r="F60" s="402">
        <f>IF(C60=0,0,+E60/C60)</f>
        <v>-0.63043478260869568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1854</v>
      </c>
      <c r="D63" s="409">
        <v>1866</v>
      </c>
      <c r="E63" s="409">
        <f>+D63-C63</f>
        <v>12</v>
      </c>
      <c r="F63" s="410">
        <f>IF(C63=0,0,+E63/C63)</f>
        <v>6.4724919093851136E-3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8306</v>
      </c>
      <c r="D64" s="409">
        <v>8713</v>
      </c>
      <c r="E64" s="409">
        <f>+D64-C64</f>
        <v>407</v>
      </c>
      <c r="F64" s="410">
        <f>IF(C64=0,0,+E64/C64)</f>
        <v>4.9000722369371537E-2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10160</v>
      </c>
      <c r="D65" s="401">
        <f>SUM(D63:D64)</f>
        <v>10579</v>
      </c>
      <c r="E65" s="401">
        <f>+D65-C65</f>
        <v>419</v>
      </c>
      <c r="F65" s="402">
        <f>IF(C65=0,0,+E65/C65)</f>
        <v>4.1240157480314961E-2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61</v>
      </c>
      <c r="D68" s="409">
        <v>39</v>
      </c>
      <c r="E68" s="409">
        <f>+D68-C68</f>
        <v>-22</v>
      </c>
      <c r="F68" s="410">
        <f>IF(C68=0,0,+E68/C68)</f>
        <v>-0.36065573770491804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1258</v>
      </c>
      <c r="D69" s="409">
        <v>1327</v>
      </c>
      <c r="E69" s="409">
        <f>+D69-C69</f>
        <v>69</v>
      </c>
      <c r="F69" s="412">
        <f>IF(C69=0,0,+E69/C69)</f>
        <v>5.4848966613672494E-2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1319</v>
      </c>
      <c r="D70" s="401">
        <f>SUM(D68:D69)</f>
        <v>1366</v>
      </c>
      <c r="E70" s="401">
        <f>+D70-C70</f>
        <v>47</v>
      </c>
      <c r="F70" s="402">
        <f>IF(C70=0,0,+E70/C70)</f>
        <v>3.5633055344958302E-2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3092</v>
      </c>
      <c r="D73" s="376">
        <v>3511</v>
      </c>
      <c r="E73" s="409">
        <f>+D73-C73</f>
        <v>419</v>
      </c>
      <c r="F73" s="410">
        <f>IF(C73=0,0,+E73/C73)</f>
        <v>0.13551099611901682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53740</v>
      </c>
      <c r="D74" s="376">
        <v>56462</v>
      </c>
      <c r="E74" s="409">
        <f>+D74-C74</f>
        <v>2722</v>
      </c>
      <c r="F74" s="410">
        <f>IF(C74=0,0,+E74/C74)</f>
        <v>5.0651283959806476E-2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56832</v>
      </c>
      <c r="D75" s="401">
        <f>SUM(D73:D74)</f>
        <v>59973</v>
      </c>
      <c r="E75" s="401">
        <f>SUM(E73:E74)</f>
        <v>3141</v>
      </c>
      <c r="F75" s="402">
        <f>IF(C75=0,0,+E75/C75)</f>
        <v>5.5268158783783786E-2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0</v>
      </c>
      <c r="D92" s="381">
        <f>SUM(D79:D91)</f>
        <v>0</v>
      </c>
      <c r="E92" s="401">
        <f t="shared" si="0"/>
        <v>0</v>
      </c>
      <c r="F92" s="402">
        <f t="shared" si="1"/>
        <v>0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54398</v>
      </c>
      <c r="D95" s="414">
        <v>62003</v>
      </c>
      <c r="E95" s="415">
        <f t="shared" ref="E95:E100" si="2">+D95-C95</f>
        <v>7605</v>
      </c>
      <c r="F95" s="412">
        <f t="shared" ref="F95:F100" si="3">IF(C95=0,0,+E95/C95)</f>
        <v>0.13980293393139454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0</v>
      </c>
      <c r="D96" s="414">
        <v>0</v>
      </c>
      <c r="E96" s="409">
        <f t="shared" si="2"/>
        <v>0</v>
      </c>
      <c r="F96" s="410">
        <f t="shared" si="3"/>
        <v>0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3746</v>
      </c>
      <c r="D97" s="414">
        <v>5070</v>
      </c>
      <c r="E97" s="409">
        <f t="shared" si="2"/>
        <v>1324</v>
      </c>
      <c r="F97" s="410">
        <f t="shared" si="3"/>
        <v>0.35344367325146825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2432</v>
      </c>
      <c r="D98" s="414">
        <v>2341</v>
      </c>
      <c r="E98" s="409">
        <f t="shared" si="2"/>
        <v>-91</v>
      </c>
      <c r="F98" s="410">
        <f t="shared" si="3"/>
        <v>-3.7417763157894739E-2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52170</v>
      </c>
      <c r="D99" s="414">
        <v>49042</v>
      </c>
      <c r="E99" s="409">
        <f t="shared" si="2"/>
        <v>-3128</v>
      </c>
      <c r="F99" s="410">
        <f t="shared" si="3"/>
        <v>-5.9957830170596131E-2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112746</v>
      </c>
      <c r="D100" s="381">
        <f>SUM(D95:D99)</f>
        <v>118456</v>
      </c>
      <c r="E100" s="401">
        <f t="shared" si="2"/>
        <v>5710</v>
      </c>
      <c r="F100" s="402">
        <f t="shared" si="3"/>
        <v>5.0644812232806487E-2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329.9</v>
      </c>
      <c r="D104" s="416">
        <v>362.7</v>
      </c>
      <c r="E104" s="417">
        <f>+D104-C104</f>
        <v>32.800000000000011</v>
      </c>
      <c r="F104" s="410">
        <f>IF(C104=0,0,+E104/C104)</f>
        <v>9.9424067899363491E-2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50</v>
      </c>
      <c r="D105" s="416">
        <v>51.1</v>
      </c>
      <c r="E105" s="417">
        <f>+D105-C105</f>
        <v>1.1000000000000014</v>
      </c>
      <c r="F105" s="410">
        <f>IF(C105=0,0,+E105/C105)</f>
        <v>2.200000000000003E-2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1067.8</v>
      </c>
      <c r="D106" s="416">
        <v>1099.8</v>
      </c>
      <c r="E106" s="417">
        <f>+D106-C106</f>
        <v>32</v>
      </c>
      <c r="F106" s="410">
        <f>IF(C106=0,0,+E106/C106)</f>
        <v>2.9968158831241806E-2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1447.6999999999998</v>
      </c>
      <c r="D107" s="418">
        <f>SUM(D104:D106)</f>
        <v>1513.6</v>
      </c>
      <c r="E107" s="418">
        <f>+D107-C107</f>
        <v>65.900000000000091</v>
      </c>
      <c r="F107" s="402">
        <f>IF(C107=0,0,+E107/C107)</f>
        <v>4.5520480762589001E-2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64" orientation="portrait" horizontalDpi="1200" verticalDpi="1200" r:id="rId1"/>
  <headerFooter>
    <oddHeader>&amp;LOFFICE OF HEALTH CARE ACCESS&amp;CTWELVE MONTHS ACTUAL FILING&amp;RCT CHILDREN`S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4" zoomScale="75" zoomScaleNormal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1420</v>
      </c>
      <c r="D12" s="409">
        <v>1718</v>
      </c>
      <c r="E12" s="409">
        <f>+D12-C12</f>
        <v>298</v>
      </c>
      <c r="F12" s="410">
        <f>IF(C12=0,0,+E12/C12)</f>
        <v>0.20985915492957746</v>
      </c>
    </row>
    <row r="13" spans="1:6" ht="15.75" customHeight="1" x14ac:dyDescent="0.2">
      <c r="A13" s="374">
        <v>2</v>
      </c>
      <c r="B13" s="408" t="s">
        <v>622</v>
      </c>
      <c r="C13" s="409">
        <v>6886</v>
      </c>
      <c r="D13" s="409">
        <v>6995</v>
      </c>
      <c r="E13" s="409">
        <f>+D13-C13</f>
        <v>109</v>
      </c>
      <c r="F13" s="410">
        <f>IF(C13=0,0,+E13/C13)</f>
        <v>1.5829218704618064E-2</v>
      </c>
    </row>
    <row r="14" spans="1:6" ht="15.75" customHeight="1" x14ac:dyDescent="0.25">
      <c r="A14" s="374"/>
      <c r="B14" s="399" t="s">
        <v>623</v>
      </c>
      <c r="C14" s="401">
        <f>SUM(C11:C13)</f>
        <v>8306</v>
      </c>
      <c r="D14" s="401">
        <f>SUM(D11:D13)</f>
        <v>8713</v>
      </c>
      <c r="E14" s="401">
        <f>+D14-C14</f>
        <v>407</v>
      </c>
      <c r="F14" s="402">
        <f>IF(C14=0,0,+E14/C14)</f>
        <v>4.9000722369371537E-2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624</v>
      </c>
      <c r="C17" s="409">
        <v>1258</v>
      </c>
      <c r="D17" s="409">
        <v>1327</v>
      </c>
      <c r="E17" s="409">
        <f>+D17-C17</f>
        <v>69</v>
      </c>
      <c r="F17" s="410">
        <f>IF(C17=0,0,+E17/C17)</f>
        <v>5.4848966613672494E-2</v>
      </c>
    </row>
    <row r="18" spans="1:6" ht="15.75" customHeight="1" x14ac:dyDescent="0.25">
      <c r="A18" s="374"/>
      <c r="B18" s="399" t="s">
        <v>625</v>
      </c>
      <c r="C18" s="401">
        <f>SUM(C16:C17)</f>
        <v>1258</v>
      </c>
      <c r="D18" s="401">
        <f>SUM(D16:D17)</f>
        <v>1327</v>
      </c>
      <c r="E18" s="401">
        <f>+D18-C18</f>
        <v>69</v>
      </c>
      <c r="F18" s="402">
        <f>IF(C18=0,0,+E18/C18)</f>
        <v>5.4848966613672494E-2</v>
      </c>
    </row>
    <row r="19" spans="1:6" ht="15.75" customHeight="1" x14ac:dyDescent="0.25">
      <c r="A19" s="136"/>
      <c r="B19" s="399"/>
      <c r="C19" s="401"/>
      <c r="D19" s="401"/>
      <c r="E19" s="401"/>
      <c r="F19" s="402"/>
    </row>
    <row r="20" spans="1:6" ht="15.75" customHeight="1" x14ac:dyDescent="0.25">
      <c r="A20" s="136" t="s">
        <v>36</v>
      </c>
      <c r="B20" s="406" t="s">
        <v>626</v>
      </c>
      <c r="C20" s="409"/>
      <c r="D20" s="409"/>
      <c r="E20" s="409"/>
      <c r="F20" s="410"/>
    </row>
    <row r="21" spans="1:6" ht="15.75" customHeight="1" x14ac:dyDescent="0.2">
      <c r="A21" s="374">
        <v>1</v>
      </c>
      <c r="B21" s="408" t="s">
        <v>627</v>
      </c>
      <c r="C21" s="409">
        <v>53740</v>
      </c>
      <c r="D21" s="409">
        <v>56462</v>
      </c>
      <c r="E21" s="409">
        <f>+D21-C21</f>
        <v>2722</v>
      </c>
      <c r="F21" s="410">
        <f>IF(C21=0,0,+E21/C21)</f>
        <v>5.0651283959806476E-2</v>
      </c>
    </row>
    <row r="22" spans="1:6" ht="15.75" customHeight="1" x14ac:dyDescent="0.25">
      <c r="A22" s="374"/>
      <c r="B22" s="399" t="s">
        <v>628</v>
      </c>
      <c r="C22" s="401">
        <f>SUM(C20:C21)</f>
        <v>53740</v>
      </c>
      <c r="D22" s="401">
        <f>SUM(D20:D21)</f>
        <v>56462</v>
      </c>
      <c r="E22" s="401">
        <f>+D22-C22</f>
        <v>2722</v>
      </c>
      <c r="F22" s="402">
        <f>IF(C22=0,0,+E22/C22)</f>
        <v>5.0651283959806476E-2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0" t="s">
        <v>629</v>
      </c>
      <c r="C24" s="811"/>
      <c r="D24" s="811"/>
      <c r="E24" s="811"/>
      <c r="F24" s="812"/>
    </row>
    <row r="25" spans="1:6" ht="15.75" customHeight="1" x14ac:dyDescent="0.25">
      <c r="A25" s="392"/>
    </row>
    <row r="26" spans="1:6" ht="15.75" customHeight="1" x14ac:dyDescent="0.25">
      <c r="B26" s="810" t="s">
        <v>630</v>
      </c>
      <c r="C26" s="811"/>
      <c r="D26" s="811"/>
      <c r="E26" s="811"/>
      <c r="F26" s="812"/>
    </row>
    <row r="27" spans="1:6" ht="15.75" customHeight="1" x14ac:dyDescent="0.25">
      <c r="A27" s="392"/>
    </row>
    <row r="28" spans="1:6" ht="15.75" customHeight="1" x14ac:dyDescent="0.25">
      <c r="B28" s="810" t="s">
        <v>631</v>
      </c>
      <c r="C28" s="811"/>
      <c r="D28" s="811"/>
      <c r="E28" s="811"/>
      <c r="F28" s="812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75" orientation="portrait" horizontalDpi="1200" verticalDpi="1200" r:id="rId1"/>
  <headerFooter>
    <oddHeader>&amp;LOFFICE OF HEALTH CARE ACCESS&amp;CTWELVE MONTHS ACTUAL FILING&amp;RCT CHILDREN`S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Normal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632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633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634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635</v>
      </c>
      <c r="D7" s="426" t="s">
        <v>635</v>
      </c>
      <c r="E7" s="426" t="s">
        <v>636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637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638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639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640</v>
      </c>
      <c r="C15" s="448">
        <v>1698315</v>
      </c>
      <c r="D15" s="448">
        <v>1122036</v>
      </c>
      <c r="E15" s="448">
        <f t="shared" ref="E15:E24" si="0">D15-C15</f>
        <v>-576279</v>
      </c>
      <c r="F15" s="449">
        <f t="shared" ref="F15:F24" si="1">IF(C15=0,0,E15/C15)</f>
        <v>-0.33932397700073308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641</v>
      </c>
      <c r="C16" s="448">
        <v>2433392</v>
      </c>
      <c r="D16" s="448">
        <v>2271071</v>
      </c>
      <c r="E16" s="448">
        <f t="shared" si="0"/>
        <v>-162321</v>
      </c>
      <c r="F16" s="449">
        <f t="shared" si="1"/>
        <v>-6.6705652028115486E-2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642</v>
      </c>
      <c r="C17" s="453">
        <f>IF(C15=0,0,C16/C15)</f>
        <v>1.4328272434736784</v>
      </c>
      <c r="D17" s="453">
        <f>IF(LN_IA1=0,0,LN_IA2/LN_IA1)</f>
        <v>2.0240625077983236</v>
      </c>
      <c r="E17" s="454">
        <f t="shared" si="0"/>
        <v>0.59123526432464524</v>
      </c>
      <c r="F17" s="449">
        <f t="shared" si="1"/>
        <v>0.41263541506321622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20</v>
      </c>
      <c r="D18" s="456">
        <v>11</v>
      </c>
      <c r="E18" s="456">
        <f t="shared" si="0"/>
        <v>-9</v>
      </c>
      <c r="F18" s="449">
        <f t="shared" si="1"/>
        <v>-0.45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643</v>
      </c>
      <c r="C19" s="459">
        <v>1.4275</v>
      </c>
      <c r="D19" s="459">
        <v>2.0044</v>
      </c>
      <c r="E19" s="460">
        <f t="shared" si="0"/>
        <v>0.57689999999999997</v>
      </c>
      <c r="F19" s="449">
        <f t="shared" si="1"/>
        <v>0.40413309982486861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644</v>
      </c>
      <c r="C20" s="463">
        <f>C18*C19</f>
        <v>28.55</v>
      </c>
      <c r="D20" s="463">
        <f>LN_IA4*LN_IA5</f>
        <v>22.048400000000001</v>
      </c>
      <c r="E20" s="463">
        <f t="shared" si="0"/>
        <v>-6.5015999999999998</v>
      </c>
      <c r="F20" s="449">
        <f t="shared" si="1"/>
        <v>-0.22772679509632224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645</v>
      </c>
      <c r="C21" s="465">
        <f>IF(C20=0,0,C16/C20)</f>
        <v>85232.644483362514</v>
      </c>
      <c r="D21" s="465">
        <f>IF(LN_IA6=0,0,LN_IA2/LN_IA6)</f>
        <v>103003.89143883456</v>
      </c>
      <c r="E21" s="465">
        <f t="shared" si="0"/>
        <v>17771.246955472045</v>
      </c>
      <c r="F21" s="449">
        <f t="shared" si="1"/>
        <v>0.20850282263553382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193</v>
      </c>
      <c r="D22" s="456">
        <v>121</v>
      </c>
      <c r="E22" s="456">
        <f t="shared" si="0"/>
        <v>-72</v>
      </c>
      <c r="F22" s="449">
        <f t="shared" si="1"/>
        <v>-0.37305699481865284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646</v>
      </c>
      <c r="C23" s="465">
        <f>IF(C22=0,0,C16/C22)</f>
        <v>12608.248704663212</v>
      </c>
      <c r="D23" s="465">
        <f>IF(LN_IA8=0,0,LN_IA2/LN_IA8)</f>
        <v>18769.18181818182</v>
      </c>
      <c r="E23" s="465">
        <f t="shared" si="0"/>
        <v>6160.9331135186076</v>
      </c>
      <c r="F23" s="449">
        <f t="shared" si="1"/>
        <v>0.48864305089730353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647</v>
      </c>
      <c r="C24" s="466">
        <f>IF(C18=0,0,C22/C18)</f>
        <v>9.65</v>
      </c>
      <c r="D24" s="466">
        <f>IF(LN_IA4=0,0,LN_IA8/LN_IA4)</f>
        <v>11</v>
      </c>
      <c r="E24" s="466">
        <f t="shared" si="0"/>
        <v>1.3499999999999996</v>
      </c>
      <c r="F24" s="449">
        <f t="shared" si="1"/>
        <v>0.13989637305699479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648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649</v>
      </c>
      <c r="C27" s="448">
        <v>427046</v>
      </c>
      <c r="D27" s="448">
        <v>520464</v>
      </c>
      <c r="E27" s="448">
        <f t="shared" ref="E27:E32" si="2">D27-C27</f>
        <v>93418</v>
      </c>
      <c r="F27" s="449">
        <f t="shared" ref="F27:F32" si="3">IF(C27=0,0,E27/C27)</f>
        <v>0.21875395156493679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650</v>
      </c>
      <c r="C28" s="448">
        <v>669910</v>
      </c>
      <c r="D28" s="448">
        <v>1130976</v>
      </c>
      <c r="E28" s="448">
        <f t="shared" si="2"/>
        <v>461066</v>
      </c>
      <c r="F28" s="449">
        <f t="shared" si="3"/>
        <v>0.68825066053648998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651</v>
      </c>
      <c r="C29" s="453">
        <f>IF(C27=0,0,C28/C27)</f>
        <v>1.5687068840359117</v>
      </c>
      <c r="D29" s="453">
        <f>IF(LN_IA11=0,0,LN_IA12/LN_IA11)</f>
        <v>2.1730148482892186</v>
      </c>
      <c r="E29" s="454">
        <f t="shared" si="2"/>
        <v>0.60430796425330691</v>
      </c>
      <c r="F29" s="449">
        <f t="shared" si="3"/>
        <v>0.38522681987508428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652</v>
      </c>
      <c r="C30" s="453">
        <f>IF(C15=0,0,C27/C15)</f>
        <v>0.25145276347438489</v>
      </c>
      <c r="D30" s="453">
        <f>IF(LN_IA1=0,0,LN_IA11/LN_IA1)</f>
        <v>0.46385677464894176</v>
      </c>
      <c r="E30" s="454">
        <f t="shared" si="2"/>
        <v>0.21240401117455687</v>
      </c>
      <c r="F30" s="449">
        <f t="shared" si="3"/>
        <v>0.84470740444335646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653</v>
      </c>
      <c r="C31" s="463">
        <f>C30*C18</f>
        <v>5.0290552694876975</v>
      </c>
      <c r="D31" s="463">
        <f>LN_IA14*LN_IA4</f>
        <v>5.1024245211383592</v>
      </c>
      <c r="E31" s="463">
        <f t="shared" si="2"/>
        <v>7.336925165066166E-2</v>
      </c>
      <c r="F31" s="449">
        <f t="shared" si="3"/>
        <v>1.4589072443846034E-2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654</v>
      </c>
      <c r="C32" s="465">
        <f>IF(C31=0,0,C28/C31)</f>
        <v>133207.9215880725</v>
      </c>
      <c r="D32" s="465">
        <f>IF(LN_IA15=0,0,LN_IA12/LN_IA15)</f>
        <v>221654.62621045837</v>
      </c>
      <c r="E32" s="465">
        <f t="shared" si="2"/>
        <v>88446.704622385878</v>
      </c>
      <c r="F32" s="449">
        <f t="shared" si="3"/>
        <v>0.66397481146725912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655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656</v>
      </c>
      <c r="C35" s="448">
        <f>C15+C27</f>
        <v>2125361</v>
      </c>
      <c r="D35" s="448">
        <f>LN_IA1+LN_IA11</f>
        <v>1642500</v>
      </c>
      <c r="E35" s="448">
        <f>D35-C35</f>
        <v>-482861</v>
      </c>
      <c r="F35" s="449">
        <f>IF(C35=0,0,E35/C35)</f>
        <v>-0.2271901102918516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657</v>
      </c>
      <c r="C36" s="448">
        <f>C16+C28</f>
        <v>3103302</v>
      </c>
      <c r="D36" s="448">
        <f>LN_IA2+LN_IA12</f>
        <v>3402047</v>
      </c>
      <c r="E36" s="448">
        <f>D36-C36</f>
        <v>298745</v>
      </c>
      <c r="F36" s="449">
        <f>IF(C36=0,0,E36/C36)</f>
        <v>9.626681515366535E-2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658</v>
      </c>
      <c r="C37" s="448">
        <f>C35-C36</f>
        <v>-977941</v>
      </c>
      <c r="D37" s="448">
        <f>LN_IA17-LN_IA18</f>
        <v>-1759547</v>
      </c>
      <c r="E37" s="448">
        <f>D37-C37</f>
        <v>-781606</v>
      </c>
      <c r="F37" s="449">
        <f>IF(C37=0,0,E37/C37)</f>
        <v>0.79923635474941734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659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660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640</v>
      </c>
      <c r="C42" s="448">
        <v>167182889</v>
      </c>
      <c r="D42" s="448">
        <v>183447743</v>
      </c>
      <c r="E42" s="448">
        <f t="shared" ref="E42:E53" si="4">D42-C42</f>
        <v>16264854</v>
      </c>
      <c r="F42" s="449">
        <f t="shared" ref="F42:F53" si="5">IF(C42=0,0,E42/C42)</f>
        <v>9.728779121648029E-2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641</v>
      </c>
      <c r="C43" s="448">
        <v>103703439</v>
      </c>
      <c r="D43" s="448">
        <v>106046046</v>
      </c>
      <c r="E43" s="448">
        <f t="shared" si="4"/>
        <v>2342607</v>
      </c>
      <c r="F43" s="449">
        <f t="shared" si="5"/>
        <v>2.2589482302510719E-2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642</v>
      </c>
      <c r="C44" s="453">
        <f>IF(C42=0,0,C43/C42)</f>
        <v>0.62029935970301364</v>
      </c>
      <c r="D44" s="453">
        <f>IF(LN_IB1=0,0,LN_IB2/LN_IB1)</f>
        <v>0.57807223062973312</v>
      </c>
      <c r="E44" s="454">
        <f t="shared" si="4"/>
        <v>-4.2227129073280523E-2</v>
      </c>
      <c r="F44" s="449">
        <f t="shared" si="5"/>
        <v>-6.8075403291562295E-2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2549</v>
      </c>
      <c r="D45" s="456">
        <v>2754</v>
      </c>
      <c r="E45" s="456">
        <f t="shared" si="4"/>
        <v>205</v>
      </c>
      <c r="F45" s="449">
        <f t="shared" si="5"/>
        <v>8.042369556688897E-2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643</v>
      </c>
      <c r="C46" s="459">
        <v>1.8512999999999999</v>
      </c>
      <c r="D46" s="459">
        <v>1.79741</v>
      </c>
      <c r="E46" s="460">
        <f t="shared" si="4"/>
        <v>-5.3889999999999993E-2</v>
      </c>
      <c r="F46" s="449">
        <f t="shared" si="5"/>
        <v>-2.9109274563820016E-2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644</v>
      </c>
      <c r="C47" s="463">
        <f>C45*C46</f>
        <v>4718.9637000000002</v>
      </c>
      <c r="D47" s="463">
        <f>LN_IB4*LN_IB5</f>
        <v>4950.0671400000001</v>
      </c>
      <c r="E47" s="463">
        <f t="shared" si="4"/>
        <v>231.10343999999986</v>
      </c>
      <c r="F47" s="449">
        <f t="shared" si="5"/>
        <v>4.897334556737528E-2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645</v>
      </c>
      <c r="C48" s="465">
        <f>IF(C47=0,0,C43/C47)</f>
        <v>21975.892503686773</v>
      </c>
      <c r="D48" s="465">
        <f>IF(LN_IB6=0,0,LN_IB2/LN_IB6)</f>
        <v>21423.15306050576</v>
      </c>
      <c r="E48" s="465">
        <f t="shared" si="4"/>
        <v>-552.73944318101348</v>
      </c>
      <c r="F48" s="449">
        <f t="shared" si="5"/>
        <v>-2.51520816771507E-2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661</v>
      </c>
      <c r="C49" s="465">
        <f>C21-C48</f>
        <v>63256.751979675741</v>
      </c>
      <c r="D49" s="465">
        <f>LN_IA7-LN_IB7</f>
        <v>81580.738378328795</v>
      </c>
      <c r="E49" s="465">
        <f t="shared" si="4"/>
        <v>18323.986398653054</v>
      </c>
      <c r="F49" s="449">
        <f t="shared" si="5"/>
        <v>0.28967637169452698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662</v>
      </c>
      <c r="C50" s="479">
        <f>C49*C47</f>
        <v>298506316.37199295</v>
      </c>
      <c r="D50" s="479">
        <f>LN_IB8*LN_IB6</f>
        <v>403830132.30350226</v>
      </c>
      <c r="E50" s="479">
        <f t="shared" si="4"/>
        <v>105323815.93150932</v>
      </c>
      <c r="F50" s="449">
        <f t="shared" si="5"/>
        <v>0.3528361383156019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19318</v>
      </c>
      <c r="D51" s="456">
        <v>19277</v>
      </c>
      <c r="E51" s="456">
        <f t="shared" si="4"/>
        <v>-41</v>
      </c>
      <c r="F51" s="449">
        <f t="shared" si="5"/>
        <v>-2.1223729164509784E-3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646</v>
      </c>
      <c r="C52" s="465">
        <f>IF(C51=0,0,C43/C51)</f>
        <v>5368.2285433274665</v>
      </c>
      <c r="D52" s="465">
        <f>IF(LN_IB10=0,0,LN_IB2/LN_IB10)</f>
        <v>5501.1695803288894</v>
      </c>
      <c r="E52" s="465">
        <f t="shared" si="4"/>
        <v>132.94103700142296</v>
      </c>
      <c r="F52" s="449">
        <f t="shared" si="5"/>
        <v>2.4764414541676757E-2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647</v>
      </c>
      <c r="C53" s="466">
        <f>IF(C45=0,0,C51/C45)</f>
        <v>7.5786582973715184</v>
      </c>
      <c r="D53" s="466">
        <f>IF(LN_IB4=0,0,LN_IB10/LN_IB4)</f>
        <v>6.9996368917937541</v>
      </c>
      <c r="E53" s="466">
        <f t="shared" si="4"/>
        <v>-0.57902140557776427</v>
      </c>
      <c r="F53" s="449">
        <f t="shared" si="5"/>
        <v>-7.6401571737121907E-2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663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649</v>
      </c>
      <c r="C56" s="448">
        <v>136326987</v>
      </c>
      <c r="D56" s="448">
        <v>148847355</v>
      </c>
      <c r="E56" s="448">
        <f t="shared" ref="E56:E63" si="6">D56-C56</f>
        <v>12520368</v>
      </c>
      <c r="F56" s="449">
        <f t="shared" ref="F56:F63" si="7">IF(C56=0,0,E56/C56)</f>
        <v>9.184071529432393E-2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650</v>
      </c>
      <c r="C57" s="448">
        <v>74734109</v>
      </c>
      <c r="D57" s="448">
        <v>83276027</v>
      </c>
      <c r="E57" s="448">
        <f t="shared" si="6"/>
        <v>8541918</v>
      </c>
      <c r="F57" s="449">
        <f t="shared" si="7"/>
        <v>0.1142974488395921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651</v>
      </c>
      <c r="C58" s="453">
        <f>IF(C56=0,0,C57/C56)</f>
        <v>0.54819746731437702</v>
      </c>
      <c r="D58" s="453">
        <f>IF(LN_IB13=0,0,LN_IB14/LN_IB13)</f>
        <v>0.55947266916499794</v>
      </c>
      <c r="E58" s="454">
        <f t="shared" si="6"/>
        <v>1.127520185062092E-2</v>
      </c>
      <c r="F58" s="449">
        <f t="shared" si="7"/>
        <v>2.0567774429637933E-2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652</v>
      </c>
      <c r="C59" s="453">
        <f>IF(C42=0,0,C56/C42)</f>
        <v>0.81543624359787203</v>
      </c>
      <c r="D59" s="453">
        <f>IF(LN_IB1=0,0,LN_IB13/LN_IB1)</f>
        <v>0.81138831454579408</v>
      </c>
      <c r="E59" s="454">
        <f t="shared" si="6"/>
        <v>-4.0479290520779587E-3</v>
      </c>
      <c r="F59" s="449">
        <f t="shared" si="7"/>
        <v>-4.9641269735787863E-3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653</v>
      </c>
      <c r="C60" s="463">
        <f>C59*C45</f>
        <v>2078.5469849309757</v>
      </c>
      <c r="D60" s="463">
        <f>LN_IB16*LN_IB4</f>
        <v>2234.563418259117</v>
      </c>
      <c r="E60" s="463">
        <f t="shared" si="6"/>
        <v>156.01643332814137</v>
      </c>
      <c r="F60" s="449">
        <f t="shared" si="7"/>
        <v>7.5060335156831859E-2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654</v>
      </c>
      <c r="C61" s="465">
        <f>IF(C60=0,0,C57/C60)</f>
        <v>35954.976982385495</v>
      </c>
      <c r="D61" s="465">
        <f>IF(LN_IB17=0,0,LN_IB14/LN_IB17)</f>
        <v>37267.247069173769</v>
      </c>
      <c r="E61" s="465">
        <f t="shared" si="6"/>
        <v>1312.2700867882741</v>
      </c>
      <c r="F61" s="449">
        <f t="shared" si="7"/>
        <v>3.6497592181220451E-2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664</v>
      </c>
      <c r="C62" s="465">
        <f>C32-C61</f>
        <v>97252.944605686993</v>
      </c>
      <c r="D62" s="465">
        <f>LN_IA16-LN_IB18</f>
        <v>184387.37914128462</v>
      </c>
      <c r="E62" s="465">
        <f t="shared" si="6"/>
        <v>87134.434535597626</v>
      </c>
      <c r="F62" s="449">
        <f t="shared" si="7"/>
        <v>0.89595677425382891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665</v>
      </c>
      <c r="C63" s="448">
        <f>C62*C60</f>
        <v>202144814.7858099</v>
      </c>
      <c r="D63" s="448">
        <f>LN_IB19*LN_IB17</f>
        <v>412025292.21778876</v>
      </c>
      <c r="E63" s="448">
        <f t="shared" si="6"/>
        <v>209880477.43197885</v>
      </c>
      <c r="F63" s="449">
        <f t="shared" si="7"/>
        <v>1.0382679251721869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666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656</v>
      </c>
      <c r="C66" s="448">
        <f>C42+C56</f>
        <v>303509876</v>
      </c>
      <c r="D66" s="448">
        <f>LN_IB1+LN_IB13</f>
        <v>332295098</v>
      </c>
      <c r="E66" s="448">
        <f>D66-C66</f>
        <v>28785222</v>
      </c>
      <c r="F66" s="449">
        <f>IF(C66=0,0,E66/C66)</f>
        <v>9.4841137887717364E-2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657</v>
      </c>
      <c r="C67" s="448">
        <f>C43+C57</f>
        <v>178437548</v>
      </c>
      <c r="D67" s="448">
        <f>LN_IB2+LN_IB14</f>
        <v>189322073</v>
      </c>
      <c r="E67" s="448">
        <f>D67-C67</f>
        <v>10884525</v>
      </c>
      <c r="F67" s="449">
        <f>IF(C67=0,0,E67/C67)</f>
        <v>6.0999072908130302E-2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658</v>
      </c>
      <c r="C68" s="448">
        <f>C66-C67</f>
        <v>125072328</v>
      </c>
      <c r="D68" s="448">
        <f>LN_IB21-LN_IB22</f>
        <v>142973025</v>
      </c>
      <c r="E68" s="448">
        <f>D68-C68</f>
        <v>17900697</v>
      </c>
      <c r="F68" s="449">
        <f>IF(C68=0,0,E68/C68)</f>
        <v>0.14312276173511379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667</v>
      </c>
      <c r="C70" s="441">
        <f>C50+C63</f>
        <v>500651131.15780282</v>
      </c>
      <c r="D70" s="441">
        <f>LN_IB9+LN_IB20</f>
        <v>815855424.52129102</v>
      </c>
      <c r="E70" s="448">
        <f>D70-C70</f>
        <v>315204293.3634882</v>
      </c>
      <c r="F70" s="449">
        <f>IF(C70=0,0,E70/C70)</f>
        <v>0.62958869709242171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668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669</v>
      </c>
      <c r="C73" s="488">
        <v>303509876</v>
      </c>
      <c r="D73" s="488">
        <v>332295098</v>
      </c>
      <c r="E73" s="488">
        <f>D73-C73</f>
        <v>28785222</v>
      </c>
      <c r="F73" s="489">
        <f>IF(C73=0,0,E73/C73)</f>
        <v>9.4841137887717364E-2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670</v>
      </c>
      <c r="C74" s="488">
        <v>178437548</v>
      </c>
      <c r="D74" s="488">
        <v>193025176</v>
      </c>
      <c r="E74" s="488">
        <f>D74-C74</f>
        <v>14587628</v>
      </c>
      <c r="F74" s="489">
        <f>IF(C74=0,0,E74/C74)</f>
        <v>8.1752008831683792E-2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671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672</v>
      </c>
      <c r="C76" s="441">
        <f>C73-C74</f>
        <v>125072328</v>
      </c>
      <c r="D76" s="441">
        <f>LN_IB32-LN_IB33</f>
        <v>139269922</v>
      </c>
      <c r="E76" s="488">
        <f>D76-C76</f>
        <v>14197594</v>
      </c>
      <c r="F76" s="489">
        <f>IF(E76=0,0,E76/C76)</f>
        <v>0.11351506945645083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673</v>
      </c>
      <c r="C77" s="453">
        <f>IF(C73=0,0,C76/C73)</f>
        <v>0.41208651806770202</v>
      </c>
      <c r="D77" s="453">
        <f>IF(LN_IB32=0,0,LN_IB34/LN_IB32)</f>
        <v>0.41911518658635161</v>
      </c>
      <c r="E77" s="493">
        <f>D77-C77</f>
        <v>7.0286685186495834E-3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674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675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640</v>
      </c>
      <c r="C83" s="448">
        <v>894674</v>
      </c>
      <c r="D83" s="448">
        <v>1155430</v>
      </c>
      <c r="E83" s="448">
        <f t="shared" ref="E83:E95" si="8">D83-C83</f>
        <v>260756</v>
      </c>
      <c r="F83" s="449">
        <f t="shared" ref="F83:F95" si="9">IF(C83=0,0,E83/C83)</f>
        <v>0.29145364680319313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641</v>
      </c>
      <c r="C84" s="448">
        <v>102412</v>
      </c>
      <c r="D84" s="448">
        <v>131008</v>
      </c>
      <c r="E84" s="448">
        <f t="shared" si="8"/>
        <v>28596</v>
      </c>
      <c r="F84" s="449">
        <f t="shared" si="9"/>
        <v>0.27922509080967073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642</v>
      </c>
      <c r="C85" s="453">
        <f>IF(C83=0,0,C84/C83)</f>
        <v>0.11446851031772466</v>
      </c>
      <c r="D85" s="453">
        <f>IF(LN_IC1=0,0,LN_IC2/LN_IC1)</f>
        <v>0.11338462736816596</v>
      </c>
      <c r="E85" s="454">
        <f t="shared" si="8"/>
        <v>-1.0838829495587038E-3</v>
      </c>
      <c r="F85" s="449">
        <f t="shared" si="9"/>
        <v>-9.4688307426227768E-3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20</v>
      </c>
      <c r="D86" s="456">
        <v>33</v>
      </c>
      <c r="E86" s="456">
        <f t="shared" si="8"/>
        <v>13</v>
      </c>
      <c r="F86" s="449">
        <f t="shared" si="9"/>
        <v>0.65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643</v>
      </c>
      <c r="C87" s="459">
        <v>1.4956</v>
      </c>
      <c r="D87" s="459">
        <v>1.4678</v>
      </c>
      <c r="E87" s="460">
        <f t="shared" si="8"/>
        <v>-2.7800000000000047E-2</v>
      </c>
      <c r="F87" s="449">
        <f t="shared" si="9"/>
        <v>-1.8587857715966868E-2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644</v>
      </c>
      <c r="C88" s="463">
        <f>C86*C87</f>
        <v>29.911999999999999</v>
      </c>
      <c r="D88" s="463">
        <f>LN_IC4*LN_IC5</f>
        <v>48.437399999999997</v>
      </c>
      <c r="E88" s="463">
        <f t="shared" si="8"/>
        <v>18.525399999999998</v>
      </c>
      <c r="F88" s="449">
        <f t="shared" si="9"/>
        <v>0.61933003476865467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645</v>
      </c>
      <c r="C89" s="465">
        <f>IF(C88=0,0,C84/C88)</f>
        <v>3423.7764108050283</v>
      </c>
      <c r="D89" s="465">
        <f>IF(LN_IC6=0,0,LN_IC2/LN_IC6)</f>
        <v>2704.6868741922567</v>
      </c>
      <c r="E89" s="465">
        <f t="shared" si="8"/>
        <v>-719.08953661277155</v>
      </c>
      <c r="F89" s="449">
        <f t="shared" si="9"/>
        <v>-0.21002818243136762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676</v>
      </c>
      <c r="C90" s="465">
        <f>C48-C89</f>
        <v>18552.116092881744</v>
      </c>
      <c r="D90" s="465">
        <f>LN_IB7-LN_IC7</f>
        <v>18718.466186313504</v>
      </c>
      <c r="E90" s="465">
        <f t="shared" si="8"/>
        <v>166.35009343175989</v>
      </c>
      <c r="F90" s="449">
        <f t="shared" si="9"/>
        <v>8.9666371533534493E-3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677</v>
      </c>
      <c r="C91" s="465">
        <f>C21-C89</f>
        <v>81808.868072557481</v>
      </c>
      <c r="D91" s="465">
        <f>LN_IA7-LN_IC7</f>
        <v>100299.20456464231</v>
      </c>
      <c r="E91" s="465">
        <f t="shared" si="8"/>
        <v>18490.336492084825</v>
      </c>
      <c r="F91" s="449">
        <f t="shared" si="9"/>
        <v>0.22601873033722306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662</v>
      </c>
      <c r="C92" s="441">
        <f>C91*C88</f>
        <v>2447066.8617863394</v>
      </c>
      <c r="D92" s="441">
        <f>LN_IC9*LN_IC6</f>
        <v>4858232.691179405</v>
      </c>
      <c r="E92" s="441">
        <f t="shared" si="8"/>
        <v>2411165.8293930655</v>
      </c>
      <c r="F92" s="449">
        <f t="shared" si="9"/>
        <v>0.98532895322399716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105</v>
      </c>
      <c r="D93" s="456">
        <v>129</v>
      </c>
      <c r="E93" s="456">
        <f t="shared" si="8"/>
        <v>24</v>
      </c>
      <c r="F93" s="449">
        <f t="shared" si="9"/>
        <v>0.22857142857142856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646</v>
      </c>
      <c r="C94" s="499">
        <f>IF(C93=0,0,C84/C93)</f>
        <v>975.35238095238094</v>
      </c>
      <c r="D94" s="499">
        <f>IF(LN_IC11=0,0,LN_IC2/LN_IC11)</f>
        <v>1015.5658914728682</v>
      </c>
      <c r="E94" s="499">
        <f t="shared" si="8"/>
        <v>40.213510520487262</v>
      </c>
      <c r="F94" s="449">
        <f t="shared" si="9"/>
        <v>4.1229725077638973E-2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647</v>
      </c>
      <c r="C95" s="466">
        <f>IF(C86=0,0,C93/C86)</f>
        <v>5.25</v>
      </c>
      <c r="D95" s="466">
        <f>IF(LN_IC4=0,0,LN_IC11/LN_IC4)</f>
        <v>3.9090909090909092</v>
      </c>
      <c r="E95" s="466">
        <f t="shared" si="8"/>
        <v>-1.3409090909090908</v>
      </c>
      <c r="F95" s="449">
        <f t="shared" si="9"/>
        <v>-0.25541125541125542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678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649</v>
      </c>
      <c r="C98" s="448">
        <v>2453906</v>
      </c>
      <c r="D98" s="448">
        <v>2558953</v>
      </c>
      <c r="E98" s="448">
        <f t="shared" ref="E98:E106" si="10">D98-C98</f>
        <v>105047</v>
      </c>
      <c r="F98" s="449">
        <f t="shared" ref="F98:F106" si="11">IF(C98=0,0,E98/C98)</f>
        <v>4.2808078223045221E-2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650</v>
      </c>
      <c r="C99" s="448">
        <v>387830</v>
      </c>
      <c r="D99" s="448">
        <v>495436</v>
      </c>
      <c r="E99" s="448">
        <f t="shared" si="10"/>
        <v>107606</v>
      </c>
      <c r="F99" s="449">
        <f t="shared" si="11"/>
        <v>0.27745661759018125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651</v>
      </c>
      <c r="C100" s="453">
        <f>IF(C98=0,0,C99/C98)</f>
        <v>0.15804598872165437</v>
      </c>
      <c r="D100" s="453">
        <f>IF(LN_IC14=0,0,LN_IC15/LN_IC14)</f>
        <v>0.19360887050289707</v>
      </c>
      <c r="E100" s="454">
        <f t="shared" si="10"/>
        <v>3.55628817812427E-2</v>
      </c>
      <c r="F100" s="449">
        <f t="shared" si="11"/>
        <v>0.2250160353254832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652</v>
      </c>
      <c r="C101" s="453">
        <f>IF(C83=0,0,C98/C83)</f>
        <v>2.7427934644350902</v>
      </c>
      <c r="D101" s="453">
        <f>IF(LN_IC1=0,0,LN_IC14/LN_IC1)</f>
        <v>2.2147191954510443</v>
      </c>
      <c r="E101" s="454">
        <f t="shared" si="10"/>
        <v>-0.52807426898404586</v>
      </c>
      <c r="F101" s="449">
        <f t="shared" si="11"/>
        <v>-0.19253154706375561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653</v>
      </c>
      <c r="C102" s="463">
        <f>C101*C86</f>
        <v>54.855869288701804</v>
      </c>
      <c r="D102" s="463">
        <f>LN_IC17*LN_IC4</f>
        <v>73.085733449884458</v>
      </c>
      <c r="E102" s="463">
        <f t="shared" si="10"/>
        <v>18.229864161182654</v>
      </c>
      <c r="F102" s="449">
        <f t="shared" si="11"/>
        <v>0.33232294734480317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654</v>
      </c>
      <c r="C103" s="465">
        <f>IF(C102=0,0,C99/C102)</f>
        <v>7069.9818456778703</v>
      </c>
      <c r="D103" s="465">
        <f>IF(LN_IC18=0,0,LN_IC15/LN_IC18)</f>
        <v>6778.8332498534055</v>
      </c>
      <c r="E103" s="465">
        <f t="shared" si="10"/>
        <v>-291.14859582446479</v>
      </c>
      <c r="F103" s="449">
        <f t="shared" si="11"/>
        <v>-4.1180953810009316E-2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679</v>
      </c>
      <c r="C104" s="465">
        <f>C61-C103</f>
        <v>28884.995136707625</v>
      </c>
      <c r="D104" s="465">
        <f>LN_IB18-LN_IC19</f>
        <v>30488.413819320362</v>
      </c>
      <c r="E104" s="465">
        <f t="shared" si="10"/>
        <v>1603.418682612737</v>
      </c>
      <c r="F104" s="449">
        <f t="shared" si="11"/>
        <v>5.5510436301755881E-2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680</v>
      </c>
      <c r="C105" s="465">
        <f>C32-C103</f>
        <v>126137.93974239462</v>
      </c>
      <c r="D105" s="465">
        <f>LN_IA16-LN_IC19</f>
        <v>214875.79296060497</v>
      </c>
      <c r="E105" s="465">
        <f t="shared" si="10"/>
        <v>88737.853218210352</v>
      </c>
      <c r="F105" s="449">
        <f t="shared" si="11"/>
        <v>0.70349851439967515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665</v>
      </c>
      <c r="C106" s="448">
        <f>C105*C102</f>
        <v>6919406.3348549437</v>
      </c>
      <c r="D106" s="448">
        <f>LN_IC21*LN_IC18</f>
        <v>15704354.929151334</v>
      </c>
      <c r="E106" s="448">
        <f t="shared" si="10"/>
        <v>8784948.5942963902</v>
      </c>
      <c r="F106" s="449">
        <f t="shared" si="11"/>
        <v>1.2696101615024686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681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656</v>
      </c>
      <c r="C109" s="448">
        <f>C83+C98</f>
        <v>3348580</v>
      </c>
      <c r="D109" s="448">
        <f>LN_IC1+LN_IC14</f>
        <v>3714383</v>
      </c>
      <c r="E109" s="448">
        <f>D109-C109</f>
        <v>365803</v>
      </c>
      <c r="F109" s="449">
        <f>IF(C109=0,0,E109/C109)</f>
        <v>0.10924123061118444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657</v>
      </c>
      <c r="C110" s="448">
        <f>C84+C99</f>
        <v>490242</v>
      </c>
      <c r="D110" s="448">
        <f>LN_IC2+LN_IC15</f>
        <v>626444</v>
      </c>
      <c r="E110" s="448">
        <f>D110-C110</f>
        <v>136202</v>
      </c>
      <c r="F110" s="449">
        <f>IF(C110=0,0,E110/C110)</f>
        <v>0.27782605325533105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658</v>
      </c>
      <c r="C111" s="448">
        <f>C109-C110</f>
        <v>2858338</v>
      </c>
      <c r="D111" s="448">
        <f>LN_IC23-LN_IC24</f>
        <v>3087939</v>
      </c>
      <c r="E111" s="448">
        <f>D111-C111</f>
        <v>229601</v>
      </c>
      <c r="F111" s="449">
        <f>IF(C111=0,0,E111/C111)</f>
        <v>8.032674932075913E-2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667</v>
      </c>
      <c r="C113" s="448">
        <f>C92+C106</f>
        <v>9366473.1966412831</v>
      </c>
      <c r="D113" s="448">
        <f>LN_IC10+LN_IC22</f>
        <v>20562587.62033074</v>
      </c>
      <c r="E113" s="448">
        <f>D113-C113</f>
        <v>11196114.423689457</v>
      </c>
      <c r="F113" s="449">
        <f>IF(C113=0,0,E113/C113)</f>
        <v>1.1953393970853685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682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683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640</v>
      </c>
      <c r="C118" s="448">
        <v>218045317</v>
      </c>
      <c r="D118" s="448">
        <v>235198677</v>
      </c>
      <c r="E118" s="448">
        <f t="shared" ref="E118:E130" si="12">D118-C118</f>
        <v>17153360</v>
      </c>
      <c r="F118" s="449">
        <f t="shared" ref="F118:F130" si="13">IF(C118=0,0,E118/C118)</f>
        <v>7.8668784250936236E-2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641</v>
      </c>
      <c r="C119" s="448">
        <v>57661686</v>
      </c>
      <c r="D119" s="448">
        <v>65228666</v>
      </c>
      <c r="E119" s="448">
        <f t="shared" si="12"/>
        <v>7566980</v>
      </c>
      <c r="F119" s="449">
        <f t="shared" si="13"/>
        <v>0.13123064074123675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642</v>
      </c>
      <c r="C120" s="453">
        <f>IF(C118=0,0,C119/C118)</f>
        <v>0.26444817432148748</v>
      </c>
      <c r="D120" s="453">
        <f>IF(LN_ID1=0,0,LN_1D2/LN_ID1)</f>
        <v>0.27733432361101251</v>
      </c>
      <c r="E120" s="454">
        <f t="shared" si="12"/>
        <v>1.2886149289525028E-2</v>
      </c>
      <c r="F120" s="449">
        <f t="shared" si="13"/>
        <v>4.8728448674633093E-2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3430</v>
      </c>
      <c r="D121" s="456">
        <v>3596</v>
      </c>
      <c r="E121" s="456">
        <f t="shared" si="12"/>
        <v>166</v>
      </c>
      <c r="F121" s="449">
        <f t="shared" si="13"/>
        <v>4.8396501457725949E-2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643</v>
      </c>
      <c r="C122" s="459">
        <v>1.6950000000000001</v>
      </c>
      <c r="D122" s="459">
        <v>1.67357</v>
      </c>
      <c r="E122" s="460">
        <f t="shared" si="12"/>
        <v>-2.143000000000006E-2</v>
      </c>
      <c r="F122" s="449">
        <f t="shared" si="13"/>
        <v>-1.2643067846607705E-2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644</v>
      </c>
      <c r="C123" s="463">
        <f>C121*C122</f>
        <v>5813.85</v>
      </c>
      <c r="D123" s="463">
        <f>LN_ID4*LN_ID5</f>
        <v>6018.1577200000002</v>
      </c>
      <c r="E123" s="463">
        <f t="shared" si="12"/>
        <v>204.30771999999979</v>
      </c>
      <c r="F123" s="449">
        <f t="shared" si="13"/>
        <v>3.514155335964976E-2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645</v>
      </c>
      <c r="C124" s="465">
        <f>IF(C123=0,0,C119/C123)</f>
        <v>9917.986532160272</v>
      </c>
      <c r="D124" s="465">
        <f>IF(LN_ID6=0,0,LN_1D2/LN_ID6)</f>
        <v>10838.643491051611</v>
      </c>
      <c r="E124" s="465">
        <f t="shared" si="12"/>
        <v>920.65695889133895</v>
      </c>
      <c r="F124" s="449">
        <f t="shared" si="13"/>
        <v>9.2827002326127117E-2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684</v>
      </c>
      <c r="C125" s="465">
        <f>C48-C124</f>
        <v>12057.905971526501</v>
      </c>
      <c r="D125" s="465">
        <f>LN_IB7-LN_ID7</f>
        <v>10584.509569454149</v>
      </c>
      <c r="E125" s="465">
        <f t="shared" si="12"/>
        <v>-1473.3964020723524</v>
      </c>
      <c r="F125" s="449">
        <f t="shared" si="13"/>
        <v>-0.12219338959448064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685</v>
      </c>
      <c r="C126" s="465">
        <f>C21-C124</f>
        <v>75314.657951202244</v>
      </c>
      <c r="D126" s="465">
        <f>LN_IA7-LN_ID7</f>
        <v>92165.247947782947</v>
      </c>
      <c r="E126" s="465">
        <f t="shared" si="12"/>
        <v>16850.589996580704</v>
      </c>
      <c r="F126" s="449">
        <f t="shared" si="13"/>
        <v>0.2237358630440639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662</v>
      </c>
      <c r="C127" s="479">
        <f>C126*C123</f>
        <v>437868124.12959719</v>
      </c>
      <c r="D127" s="479">
        <f>LN_ID9*LN_ID6</f>
        <v>554664998.45266414</v>
      </c>
      <c r="E127" s="479">
        <f t="shared" si="12"/>
        <v>116796874.32306695</v>
      </c>
      <c r="F127" s="449">
        <f t="shared" si="13"/>
        <v>0.26673984217334401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25146</v>
      </c>
      <c r="D128" s="456">
        <v>24917</v>
      </c>
      <c r="E128" s="456">
        <f t="shared" si="12"/>
        <v>-229</v>
      </c>
      <c r="F128" s="449">
        <f t="shared" si="13"/>
        <v>-9.1068161934303674E-3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646</v>
      </c>
      <c r="C129" s="465">
        <f>IF(C128=0,0,C119/C128)</f>
        <v>2293.0758768790265</v>
      </c>
      <c r="D129" s="465">
        <f>IF(LN_ID11=0,0,LN_1D2/LN_ID11)</f>
        <v>2617.8378617008466</v>
      </c>
      <c r="E129" s="465">
        <f t="shared" si="12"/>
        <v>324.76198482182008</v>
      </c>
      <c r="F129" s="449">
        <f t="shared" si="13"/>
        <v>0.14162723008705447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647</v>
      </c>
      <c r="C130" s="466">
        <f>IF(C121=0,0,C128/C121)</f>
        <v>7.3311953352769681</v>
      </c>
      <c r="D130" s="466">
        <f>IF(LN_ID4=0,0,LN_ID11/LN_ID4)</f>
        <v>6.9290878754171299</v>
      </c>
      <c r="E130" s="466">
        <f t="shared" si="12"/>
        <v>-0.4021074598598382</v>
      </c>
      <c r="F130" s="449">
        <f t="shared" si="13"/>
        <v>-5.4848826346903884E-2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686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649</v>
      </c>
      <c r="C133" s="448">
        <v>139794966</v>
      </c>
      <c r="D133" s="448">
        <v>151189857</v>
      </c>
      <c r="E133" s="448">
        <f t="shared" ref="E133:E141" si="14">D133-C133</f>
        <v>11394891</v>
      </c>
      <c r="F133" s="449">
        <f t="shared" ref="F133:F141" si="15">IF(C133=0,0,E133/C133)</f>
        <v>8.1511454425333169E-2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650</v>
      </c>
      <c r="C134" s="448">
        <v>29210044</v>
      </c>
      <c r="D134" s="448">
        <v>35556750</v>
      </c>
      <c r="E134" s="448">
        <f t="shared" si="14"/>
        <v>6346706</v>
      </c>
      <c r="F134" s="449">
        <f t="shared" si="15"/>
        <v>0.21727820745494256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651</v>
      </c>
      <c r="C135" s="453">
        <f>IF(C133=0,0,C134/C133)</f>
        <v>0.20894918347775127</v>
      </c>
      <c r="D135" s="453">
        <f>IF(LN_ID14=0,0,LN_ID15/LN_ID14)</f>
        <v>0.23517946709877502</v>
      </c>
      <c r="E135" s="454">
        <f t="shared" si="14"/>
        <v>2.6230283621023753E-2</v>
      </c>
      <c r="F135" s="449">
        <f t="shared" si="15"/>
        <v>0.12553427194328678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652</v>
      </c>
      <c r="C136" s="453">
        <f>IF(C118=0,0,C133/C118)</f>
        <v>0.64112803670073781</v>
      </c>
      <c r="D136" s="453">
        <f>IF(LN_ID1=0,0,LN_ID14/LN_ID1)</f>
        <v>0.64281763370633249</v>
      </c>
      <c r="E136" s="454">
        <f t="shared" si="14"/>
        <v>1.6895970055946785E-3</v>
      </c>
      <c r="F136" s="449">
        <f t="shared" si="15"/>
        <v>2.635350365099287E-3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653</v>
      </c>
      <c r="C137" s="463">
        <f>C136*C121</f>
        <v>2199.0691658835308</v>
      </c>
      <c r="D137" s="463">
        <f>LN_ID17*LN_ID4</f>
        <v>2311.5722108079717</v>
      </c>
      <c r="E137" s="463">
        <f t="shared" si="14"/>
        <v>112.50304492444093</v>
      </c>
      <c r="F137" s="449">
        <f t="shared" si="15"/>
        <v>5.1159393560611374E-2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654</v>
      </c>
      <c r="C138" s="465">
        <f>IF(C137=0,0,C134/C137)</f>
        <v>13282.912812914703</v>
      </c>
      <c r="D138" s="465">
        <f>IF(LN_ID18=0,0,LN_ID15/LN_ID18)</f>
        <v>15382.063270077004</v>
      </c>
      <c r="E138" s="465">
        <f t="shared" si="14"/>
        <v>2099.1504571623009</v>
      </c>
      <c r="F138" s="449">
        <f t="shared" si="15"/>
        <v>0.15803389563178794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687</v>
      </c>
      <c r="C139" s="465">
        <f>C61-C138</f>
        <v>22672.064169470792</v>
      </c>
      <c r="D139" s="465">
        <f>LN_IB18-LN_ID19</f>
        <v>21885.183799096765</v>
      </c>
      <c r="E139" s="465">
        <f t="shared" si="14"/>
        <v>-786.88037037402682</v>
      </c>
      <c r="F139" s="449">
        <f t="shared" si="15"/>
        <v>-3.4707045838093802E-2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688</v>
      </c>
      <c r="C140" s="465">
        <f>C32-C138</f>
        <v>119925.0087751578</v>
      </c>
      <c r="D140" s="465">
        <f>LN_IA16-LN_ID19</f>
        <v>206272.56294038138</v>
      </c>
      <c r="E140" s="465">
        <f t="shared" si="14"/>
        <v>86347.554165223584</v>
      </c>
      <c r="F140" s="449">
        <f t="shared" si="15"/>
        <v>0.72001290679171748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665</v>
      </c>
      <c r="C141" s="441">
        <f>C140*C137</f>
        <v>263723389.01576138</v>
      </c>
      <c r="D141" s="441">
        <f>LN_ID21*LN_ID18</f>
        <v>476813924.34512389</v>
      </c>
      <c r="E141" s="441">
        <f t="shared" si="14"/>
        <v>213090535.32936251</v>
      </c>
      <c r="F141" s="449">
        <f t="shared" si="15"/>
        <v>0.80800772401960597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689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656</v>
      </c>
      <c r="C144" s="448">
        <f>C118+C133</f>
        <v>357840283</v>
      </c>
      <c r="D144" s="448">
        <f>LN_ID1+LN_ID14</f>
        <v>386388534</v>
      </c>
      <c r="E144" s="448">
        <f>D144-C144</f>
        <v>28548251</v>
      </c>
      <c r="F144" s="449">
        <f>IF(C144=0,0,E144/C144)</f>
        <v>7.9779310369034115E-2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657</v>
      </c>
      <c r="C145" s="448">
        <f>C119+C134</f>
        <v>86871730</v>
      </c>
      <c r="D145" s="448">
        <f>LN_1D2+LN_ID15</f>
        <v>100785416</v>
      </c>
      <c r="E145" s="448">
        <f>D145-C145</f>
        <v>13913686</v>
      </c>
      <c r="F145" s="449">
        <f>IF(C145=0,0,E145/C145)</f>
        <v>0.16016356529333536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658</v>
      </c>
      <c r="C146" s="448">
        <f>C144-C145</f>
        <v>270968553</v>
      </c>
      <c r="D146" s="448">
        <f>LN_ID23-LN_ID24</f>
        <v>285603118</v>
      </c>
      <c r="E146" s="448">
        <f>D146-C146</f>
        <v>14634565</v>
      </c>
      <c r="F146" s="449">
        <f>IF(C146=0,0,E146/C146)</f>
        <v>5.4008352031905342E-2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667</v>
      </c>
      <c r="C148" s="448">
        <f>C127+C141</f>
        <v>701591513.14535856</v>
      </c>
      <c r="D148" s="448">
        <f>LN_ID10+LN_ID22</f>
        <v>1031478922.797788</v>
      </c>
      <c r="E148" s="448">
        <f>D148-C148</f>
        <v>329887409.65242946</v>
      </c>
      <c r="F148" s="503">
        <f>IF(C148=0,0,E148/C148)</f>
        <v>0.47019868894007283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690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691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640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641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642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643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644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645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692</v>
      </c>
      <c r="C160" s="465">
        <f>C48-C159</f>
        <v>21975.892503686773</v>
      </c>
      <c r="D160" s="465">
        <f>LN_IB7-LN_IE7</f>
        <v>21423.15306050576</v>
      </c>
      <c r="E160" s="465">
        <f t="shared" si="16"/>
        <v>-552.73944318101348</v>
      </c>
      <c r="F160" s="449">
        <f t="shared" si="17"/>
        <v>-2.51520816771507E-2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693</v>
      </c>
      <c r="C161" s="465">
        <f>C21-C159</f>
        <v>85232.644483362514</v>
      </c>
      <c r="D161" s="465">
        <f>LN_IA7-LN_IE7</f>
        <v>103003.89143883456</v>
      </c>
      <c r="E161" s="465">
        <f t="shared" si="16"/>
        <v>17771.246955472045</v>
      </c>
      <c r="F161" s="449">
        <f t="shared" si="17"/>
        <v>0.20850282263553382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662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646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647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694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649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650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651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652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653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654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695</v>
      </c>
      <c r="C174" s="465">
        <f>C61-C173</f>
        <v>35954.976982385495</v>
      </c>
      <c r="D174" s="465">
        <f>LN_IB18-LN_IE19</f>
        <v>37267.247069173769</v>
      </c>
      <c r="E174" s="465">
        <f t="shared" si="18"/>
        <v>1312.2700867882741</v>
      </c>
      <c r="F174" s="449">
        <f t="shared" si="19"/>
        <v>3.6497592181220451E-2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696</v>
      </c>
      <c r="C175" s="465">
        <f>C32-C173</f>
        <v>133207.9215880725</v>
      </c>
      <c r="D175" s="465">
        <f>LN_IA16-LN_IE19</f>
        <v>221654.62621045837</v>
      </c>
      <c r="E175" s="465">
        <f t="shared" si="18"/>
        <v>88446.704622385878</v>
      </c>
      <c r="F175" s="449">
        <f t="shared" si="19"/>
        <v>0.66397481146725912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665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697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656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657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658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698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699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700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640</v>
      </c>
      <c r="C188" s="448">
        <f>C118+C153</f>
        <v>218045317</v>
      </c>
      <c r="D188" s="448">
        <f>LN_ID1+LN_IE1</f>
        <v>235198677</v>
      </c>
      <c r="E188" s="448">
        <f t="shared" ref="E188:E200" si="20">D188-C188</f>
        <v>17153360</v>
      </c>
      <c r="F188" s="449">
        <f t="shared" ref="F188:F200" si="21">IF(C188=0,0,E188/C188)</f>
        <v>7.8668784250936236E-2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641</v>
      </c>
      <c r="C189" s="448">
        <f>C119+C154</f>
        <v>57661686</v>
      </c>
      <c r="D189" s="448">
        <f>LN_1D2+LN_IE2</f>
        <v>65228666</v>
      </c>
      <c r="E189" s="448">
        <f t="shared" si="20"/>
        <v>7566980</v>
      </c>
      <c r="F189" s="449">
        <f t="shared" si="21"/>
        <v>0.13123064074123675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642</v>
      </c>
      <c r="C190" s="453">
        <f>IF(C188=0,0,C189/C188)</f>
        <v>0.26444817432148748</v>
      </c>
      <c r="D190" s="453">
        <f>IF(LN_IF1=0,0,LN_IF2/LN_IF1)</f>
        <v>0.27733432361101251</v>
      </c>
      <c r="E190" s="454">
        <f t="shared" si="20"/>
        <v>1.2886149289525028E-2</v>
      </c>
      <c r="F190" s="449">
        <f t="shared" si="21"/>
        <v>4.8728448674633093E-2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3430</v>
      </c>
      <c r="D191" s="456">
        <f>LN_ID4+LN_IE4</f>
        <v>3596</v>
      </c>
      <c r="E191" s="456">
        <f t="shared" si="20"/>
        <v>166</v>
      </c>
      <c r="F191" s="449">
        <f t="shared" si="21"/>
        <v>4.8396501457725949E-2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643</v>
      </c>
      <c r="C192" s="459">
        <f>IF((C121+C156)=0,0,(C123+C158)/(C121+C156))</f>
        <v>1.6950000000000001</v>
      </c>
      <c r="D192" s="459">
        <f>IF((LN_ID4+LN_IE4)=0,0,(LN_ID6+LN_IE6)/(LN_ID4+LN_IE4))</f>
        <v>1.67357</v>
      </c>
      <c r="E192" s="460">
        <f t="shared" si="20"/>
        <v>-2.143000000000006E-2</v>
      </c>
      <c r="F192" s="449">
        <f t="shared" si="21"/>
        <v>-1.2643067846607705E-2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644</v>
      </c>
      <c r="C193" s="463">
        <f>C123+C158</f>
        <v>5813.85</v>
      </c>
      <c r="D193" s="463">
        <f>LN_IF4*LN_IF5</f>
        <v>6018.1577200000002</v>
      </c>
      <c r="E193" s="463">
        <f t="shared" si="20"/>
        <v>204.30771999999979</v>
      </c>
      <c r="F193" s="449">
        <f t="shared" si="21"/>
        <v>3.514155335964976E-2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645</v>
      </c>
      <c r="C194" s="465">
        <f>IF(C193=0,0,C189/C193)</f>
        <v>9917.986532160272</v>
      </c>
      <c r="D194" s="465">
        <f>IF(LN_IF6=0,0,LN_IF2/LN_IF6)</f>
        <v>10838.643491051611</v>
      </c>
      <c r="E194" s="465">
        <f t="shared" si="20"/>
        <v>920.65695889133895</v>
      </c>
      <c r="F194" s="449">
        <f t="shared" si="21"/>
        <v>9.2827002326127117E-2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701</v>
      </c>
      <c r="C195" s="465">
        <f>C48-C194</f>
        <v>12057.905971526501</v>
      </c>
      <c r="D195" s="465">
        <f>LN_IB7-LN_IF7</f>
        <v>10584.509569454149</v>
      </c>
      <c r="E195" s="465">
        <f t="shared" si="20"/>
        <v>-1473.3964020723524</v>
      </c>
      <c r="F195" s="449">
        <f t="shared" si="21"/>
        <v>-0.12219338959448064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702</v>
      </c>
      <c r="C196" s="465">
        <f>C21-C194</f>
        <v>75314.657951202244</v>
      </c>
      <c r="D196" s="465">
        <f>LN_IA7-LN_IF7</f>
        <v>92165.247947782947</v>
      </c>
      <c r="E196" s="465">
        <f t="shared" si="20"/>
        <v>16850.589996580704</v>
      </c>
      <c r="F196" s="449">
        <f t="shared" si="21"/>
        <v>0.2237358630440639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662</v>
      </c>
      <c r="C197" s="479">
        <f>C127+C162</f>
        <v>437868124.12959719</v>
      </c>
      <c r="D197" s="479">
        <f>LN_IF9*LN_IF6</f>
        <v>554664998.45266414</v>
      </c>
      <c r="E197" s="479">
        <f t="shared" si="20"/>
        <v>116796874.32306695</v>
      </c>
      <c r="F197" s="449">
        <f t="shared" si="21"/>
        <v>0.26673984217334401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25146</v>
      </c>
      <c r="D198" s="456">
        <f>LN_ID11+LN_IE11</f>
        <v>24917</v>
      </c>
      <c r="E198" s="456">
        <f t="shared" si="20"/>
        <v>-229</v>
      </c>
      <c r="F198" s="449">
        <f t="shared" si="21"/>
        <v>-9.1068161934303674E-3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646</v>
      </c>
      <c r="C199" s="519">
        <f>IF(C198=0,0,C189/C198)</f>
        <v>2293.0758768790265</v>
      </c>
      <c r="D199" s="519">
        <f>IF(LN_IF11=0,0,LN_IF2/LN_IF11)</f>
        <v>2617.8378617008466</v>
      </c>
      <c r="E199" s="519">
        <f t="shared" si="20"/>
        <v>324.76198482182008</v>
      </c>
      <c r="F199" s="449">
        <f t="shared" si="21"/>
        <v>0.14162723008705447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647</v>
      </c>
      <c r="C200" s="466">
        <f>IF(C191=0,0,C198/C191)</f>
        <v>7.3311953352769681</v>
      </c>
      <c r="D200" s="466">
        <f>IF(LN_IF4=0,0,LN_IF11/LN_IF4)</f>
        <v>6.9290878754171299</v>
      </c>
      <c r="E200" s="466">
        <f t="shared" si="20"/>
        <v>-0.4021074598598382</v>
      </c>
      <c r="F200" s="449">
        <f t="shared" si="21"/>
        <v>-5.4848826346903884E-2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703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649</v>
      </c>
      <c r="C203" s="448">
        <f>C133+C168</f>
        <v>139794966</v>
      </c>
      <c r="D203" s="448">
        <f>LN_ID14+LN_IE14</f>
        <v>151189857</v>
      </c>
      <c r="E203" s="448">
        <f t="shared" ref="E203:E211" si="22">D203-C203</f>
        <v>11394891</v>
      </c>
      <c r="F203" s="449">
        <f t="shared" ref="F203:F211" si="23">IF(C203=0,0,E203/C203)</f>
        <v>8.1511454425333169E-2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650</v>
      </c>
      <c r="C204" s="448">
        <f>C134+C169</f>
        <v>29210044</v>
      </c>
      <c r="D204" s="448">
        <f>LN_ID15+LN_IE15</f>
        <v>35556750</v>
      </c>
      <c r="E204" s="448">
        <f t="shared" si="22"/>
        <v>6346706</v>
      </c>
      <c r="F204" s="449">
        <f t="shared" si="23"/>
        <v>0.21727820745494256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651</v>
      </c>
      <c r="C205" s="453">
        <f>IF(C203=0,0,C204/C203)</f>
        <v>0.20894918347775127</v>
      </c>
      <c r="D205" s="453">
        <f>IF(LN_IF14=0,0,LN_IF15/LN_IF14)</f>
        <v>0.23517946709877502</v>
      </c>
      <c r="E205" s="454">
        <f t="shared" si="22"/>
        <v>2.6230283621023753E-2</v>
      </c>
      <c r="F205" s="449">
        <f t="shared" si="23"/>
        <v>0.12553427194328678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652</v>
      </c>
      <c r="C206" s="453">
        <f>IF(C188=0,0,C203/C188)</f>
        <v>0.64112803670073781</v>
      </c>
      <c r="D206" s="453">
        <f>IF(LN_IF1=0,0,LN_IF14/LN_IF1)</f>
        <v>0.64281763370633249</v>
      </c>
      <c r="E206" s="454">
        <f t="shared" si="22"/>
        <v>1.6895970055946785E-3</v>
      </c>
      <c r="F206" s="449">
        <f t="shared" si="23"/>
        <v>2.635350365099287E-3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653</v>
      </c>
      <c r="C207" s="463">
        <f>C137+C172</f>
        <v>2199.0691658835308</v>
      </c>
      <c r="D207" s="463">
        <f>LN_ID18+LN_IE18</f>
        <v>2311.5722108079717</v>
      </c>
      <c r="E207" s="463">
        <f t="shared" si="22"/>
        <v>112.50304492444093</v>
      </c>
      <c r="F207" s="449">
        <f t="shared" si="23"/>
        <v>5.1159393560611374E-2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654</v>
      </c>
      <c r="C208" s="465">
        <f>IF(C207=0,0,C204/C207)</f>
        <v>13282.912812914703</v>
      </c>
      <c r="D208" s="465">
        <f>IF(LN_IF18=0,0,LN_IF15/LN_IF18)</f>
        <v>15382.063270077004</v>
      </c>
      <c r="E208" s="465">
        <f t="shared" si="22"/>
        <v>2099.1504571623009</v>
      </c>
      <c r="F208" s="449">
        <f t="shared" si="23"/>
        <v>0.15803389563178794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704</v>
      </c>
      <c r="C209" s="465">
        <f>C61-C208</f>
        <v>22672.064169470792</v>
      </c>
      <c r="D209" s="465">
        <f>LN_IB18-LN_IF19</f>
        <v>21885.183799096765</v>
      </c>
      <c r="E209" s="465">
        <f t="shared" si="22"/>
        <v>-786.88037037402682</v>
      </c>
      <c r="F209" s="449">
        <f t="shared" si="23"/>
        <v>-3.4707045838093802E-2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705</v>
      </c>
      <c r="C210" s="465">
        <f>C32-C208</f>
        <v>119925.0087751578</v>
      </c>
      <c r="D210" s="465">
        <f>LN_IA16-LN_IF19</f>
        <v>206272.56294038138</v>
      </c>
      <c r="E210" s="465">
        <f t="shared" si="22"/>
        <v>86347.554165223584</v>
      </c>
      <c r="F210" s="449">
        <f t="shared" si="23"/>
        <v>0.72001290679171748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665</v>
      </c>
      <c r="C211" s="479">
        <f>C141+C176</f>
        <v>263723389.01576138</v>
      </c>
      <c r="D211" s="441">
        <f>LN_IF21*LN_IF18</f>
        <v>476813924.34512389</v>
      </c>
      <c r="E211" s="441">
        <f t="shared" si="22"/>
        <v>213090535.32936251</v>
      </c>
      <c r="F211" s="449">
        <f t="shared" si="23"/>
        <v>0.80800772401960597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706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656</v>
      </c>
      <c r="C214" s="448">
        <f>C188+C203</f>
        <v>357840283</v>
      </c>
      <c r="D214" s="448">
        <f>LN_IF1+LN_IF14</f>
        <v>386388534</v>
      </c>
      <c r="E214" s="448">
        <f>D214-C214</f>
        <v>28548251</v>
      </c>
      <c r="F214" s="449">
        <f>IF(C214=0,0,E214/C214)</f>
        <v>7.9779310369034115E-2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657</v>
      </c>
      <c r="C215" s="448">
        <f>C189+C204</f>
        <v>86871730</v>
      </c>
      <c r="D215" s="448">
        <f>LN_IF2+LN_IF15</f>
        <v>100785416</v>
      </c>
      <c r="E215" s="448">
        <f>D215-C215</f>
        <v>13913686</v>
      </c>
      <c r="F215" s="449">
        <f>IF(C215=0,0,E215/C215)</f>
        <v>0.16016356529333536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658</v>
      </c>
      <c r="C216" s="448">
        <f>C214-C215</f>
        <v>270968553</v>
      </c>
      <c r="D216" s="448">
        <f>LN_IF23-LN_IF24</f>
        <v>285603118</v>
      </c>
      <c r="E216" s="448">
        <f>D216-C216</f>
        <v>14634565</v>
      </c>
      <c r="F216" s="449">
        <f>IF(C216=0,0,E216/C216)</f>
        <v>5.4008352031905342E-2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707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708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640</v>
      </c>
      <c r="C221" s="448">
        <v>3052459</v>
      </c>
      <c r="D221" s="448">
        <v>3561163</v>
      </c>
      <c r="E221" s="448">
        <f t="shared" ref="E221:E230" si="24">D221-C221</f>
        <v>508704</v>
      </c>
      <c r="F221" s="449">
        <f t="shared" ref="F221:F230" si="25">IF(C221=0,0,E221/C221)</f>
        <v>0.16665383548149212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641</v>
      </c>
      <c r="C222" s="448">
        <v>746843</v>
      </c>
      <c r="D222" s="448">
        <v>1102367</v>
      </c>
      <c r="E222" s="448">
        <f t="shared" si="24"/>
        <v>355524</v>
      </c>
      <c r="F222" s="449">
        <f t="shared" si="25"/>
        <v>0.47603579333273527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642</v>
      </c>
      <c r="C223" s="453">
        <f>IF(C221=0,0,C222/C221)</f>
        <v>0.24466929776943769</v>
      </c>
      <c r="D223" s="453">
        <f>IF(LN_IG1=0,0,LN_IG2/LN_IG1)</f>
        <v>0.30955252539689981</v>
      </c>
      <c r="E223" s="454">
        <f t="shared" si="24"/>
        <v>6.4883227627462126E-2</v>
      </c>
      <c r="F223" s="449">
        <f t="shared" si="25"/>
        <v>0.26518745187475201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48</v>
      </c>
      <c r="D224" s="456">
        <v>55</v>
      </c>
      <c r="E224" s="456">
        <f t="shared" si="24"/>
        <v>7</v>
      </c>
      <c r="F224" s="449">
        <f t="shared" si="25"/>
        <v>0.14583333333333334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643</v>
      </c>
      <c r="C225" s="459">
        <v>1.6104000000000001</v>
      </c>
      <c r="D225" s="459">
        <v>1.6052</v>
      </c>
      <c r="E225" s="460">
        <f t="shared" si="24"/>
        <v>-5.2000000000000934E-3</v>
      </c>
      <c r="F225" s="449">
        <f t="shared" si="25"/>
        <v>-3.2290114257327953E-3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644</v>
      </c>
      <c r="C226" s="463">
        <f>C224*C225</f>
        <v>77.299199999999999</v>
      </c>
      <c r="D226" s="463">
        <f>LN_IG3*LN_IG4</f>
        <v>88.286000000000001</v>
      </c>
      <c r="E226" s="463">
        <f t="shared" si="24"/>
        <v>10.986800000000002</v>
      </c>
      <c r="F226" s="449">
        <f t="shared" si="25"/>
        <v>0.1421334244080146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645</v>
      </c>
      <c r="C227" s="465">
        <f>IF(C226=0,0,C222/C226)</f>
        <v>9661.7170682232154</v>
      </c>
      <c r="D227" s="465">
        <f>IF(LN_IG5=0,0,LN_IG2/LN_IG5)</f>
        <v>12486.317196384478</v>
      </c>
      <c r="E227" s="465">
        <f t="shared" si="24"/>
        <v>2824.6001281612625</v>
      </c>
      <c r="F227" s="449">
        <f t="shared" si="25"/>
        <v>0.29234970432442037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353</v>
      </c>
      <c r="D228" s="456">
        <v>389</v>
      </c>
      <c r="E228" s="456">
        <f t="shared" si="24"/>
        <v>36</v>
      </c>
      <c r="F228" s="449">
        <f t="shared" si="25"/>
        <v>0.10198300283286119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646</v>
      </c>
      <c r="C229" s="465">
        <f>IF(C228=0,0,C222/C228)</f>
        <v>2115.7025495750709</v>
      </c>
      <c r="D229" s="465">
        <f>IF(LN_IG6=0,0,LN_IG2/LN_IG6)</f>
        <v>2833.848329048843</v>
      </c>
      <c r="E229" s="465">
        <f t="shared" si="24"/>
        <v>718.14577947377211</v>
      </c>
      <c r="F229" s="449">
        <f t="shared" si="25"/>
        <v>0.33943607981093959</v>
      </c>
      <c r="Q229" s="421"/>
      <c r="U229" s="462"/>
    </row>
    <row r="230" spans="1:21" ht="15.75" customHeight="1" x14ac:dyDescent="0.2">
      <c r="A230" s="451">
        <v>10</v>
      </c>
      <c r="B230" s="447" t="s">
        <v>647</v>
      </c>
      <c r="C230" s="466">
        <f>IF(C224=0,0,C228/C224)</f>
        <v>7.354166666666667</v>
      </c>
      <c r="D230" s="466">
        <f>IF(LN_IG3=0,0,LN_IG6/LN_IG3)</f>
        <v>7.0727272727272723</v>
      </c>
      <c r="E230" s="466">
        <f t="shared" si="24"/>
        <v>-0.28143939393939466</v>
      </c>
      <c r="F230" s="449">
        <f t="shared" si="25"/>
        <v>-3.8269379345866696E-2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709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649</v>
      </c>
      <c r="C233" s="448">
        <v>1724718</v>
      </c>
      <c r="D233" s="448">
        <v>2230670</v>
      </c>
      <c r="E233" s="448">
        <f>D233-C233</f>
        <v>505952</v>
      </c>
      <c r="F233" s="449">
        <f>IF(C233=0,0,E233/C233)</f>
        <v>0.29335346416051783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650</v>
      </c>
      <c r="C234" s="448">
        <v>911649</v>
      </c>
      <c r="D234" s="448">
        <v>852305</v>
      </c>
      <c r="E234" s="448">
        <f>D234-C234</f>
        <v>-59344</v>
      </c>
      <c r="F234" s="449">
        <f>IF(C234=0,0,E234/C234)</f>
        <v>-6.5095228536421371E-2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710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656</v>
      </c>
      <c r="C237" s="448">
        <f>C221+C233</f>
        <v>4777177</v>
      </c>
      <c r="D237" s="448">
        <f>LN_IG1+LN_IG9</f>
        <v>5791833</v>
      </c>
      <c r="E237" s="448">
        <f>D237-C237</f>
        <v>1014656</v>
      </c>
      <c r="F237" s="449">
        <f>IF(C237=0,0,E237/C237)</f>
        <v>0.21239656809869092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657</v>
      </c>
      <c r="C238" s="448">
        <f>C222+C234</f>
        <v>1658492</v>
      </c>
      <c r="D238" s="448">
        <f>LN_IG2+LN_IG10</f>
        <v>1954672</v>
      </c>
      <c r="E238" s="448">
        <f>D238-C238</f>
        <v>296180</v>
      </c>
      <c r="F238" s="449">
        <f>IF(C238=0,0,E238/C238)</f>
        <v>0.17858391840298296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658</v>
      </c>
      <c r="C239" s="448">
        <f>C237-C238</f>
        <v>3118685</v>
      </c>
      <c r="D239" s="448">
        <f>LN_IG13-LN_IG14</f>
        <v>3837161</v>
      </c>
      <c r="E239" s="448">
        <f>D239-C239</f>
        <v>718476</v>
      </c>
      <c r="F239" s="449">
        <f>IF(C239=0,0,E239/C239)</f>
        <v>0.23037786759483564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711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712</v>
      </c>
      <c r="C243" s="448">
        <v>44142342</v>
      </c>
      <c r="D243" s="448">
        <v>43377255</v>
      </c>
      <c r="E243" s="441">
        <f>D243-C243</f>
        <v>-765087</v>
      </c>
      <c r="F243" s="503">
        <f>IF(C243=0,0,E243/C243)</f>
        <v>-1.7332270227075855E-2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713</v>
      </c>
      <c r="C244" s="448">
        <v>288197545</v>
      </c>
      <c r="D244" s="448">
        <v>302746868</v>
      </c>
      <c r="E244" s="441">
        <f>D244-C244</f>
        <v>14549323</v>
      </c>
      <c r="F244" s="503">
        <f>IF(C244=0,0,E244/C244)</f>
        <v>5.0483854746229712E-2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714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715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716</v>
      </c>
      <c r="C248" s="441">
        <v>1893788</v>
      </c>
      <c r="D248" s="441">
        <v>2097657</v>
      </c>
      <c r="E248" s="441">
        <f>D248-C248</f>
        <v>203869</v>
      </c>
      <c r="F248" s="449">
        <f>IF(C248=0,0,E248/C248)</f>
        <v>0.10765143722528604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717</v>
      </c>
      <c r="C249" s="441">
        <v>852481</v>
      </c>
      <c r="D249" s="441">
        <v>1605446</v>
      </c>
      <c r="E249" s="441">
        <f>D249-C249</f>
        <v>752965</v>
      </c>
      <c r="F249" s="449">
        <f>IF(C249=0,0,E249/C249)</f>
        <v>0.88326308738845793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718</v>
      </c>
      <c r="C250" s="441">
        <f>C248+C249</f>
        <v>2746269</v>
      </c>
      <c r="D250" s="441">
        <f>LN_IH4+LN_IH5</f>
        <v>3703103</v>
      </c>
      <c r="E250" s="441">
        <f>D250-C250</f>
        <v>956834</v>
      </c>
      <c r="F250" s="449">
        <f>IF(C250=0,0,E250/C250)</f>
        <v>0.34841233688324053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719</v>
      </c>
      <c r="C251" s="441">
        <f>C250*C313</f>
        <v>1096452.9889378538</v>
      </c>
      <c r="D251" s="441">
        <f>LN_IH6*LN_III10</f>
        <v>1505591.4858001578</v>
      </c>
      <c r="E251" s="441">
        <f>D251-C251</f>
        <v>409138.49686230393</v>
      </c>
      <c r="F251" s="449">
        <f>IF(C251=0,0,E251/C251)</f>
        <v>0.37314732231122916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720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656</v>
      </c>
      <c r="C254" s="441">
        <f>C188+C203</f>
        <v>357840283</v>
      </c>
      <c r="D254" s="441">
        <f>LN_IF23</f>
        <v>386388534</v>
      </c>
      <c r="E254" s="441">
        <f>D254-C254</f>
        <v>28548251</v>
      </c>
      <c r="F254" s="449">
        <f>IF(C254=0,0,E254/C254)</f>
        <v>7.9779310369034115E-2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657</v>
      </c>
      <c r="C255" s="441">
        <f>C189+C204</f>
        <v>86871730</v>
      </c>
      <c r="D255" s="441">
        <f>LN_IF24</f>
        <v>100785416</v>
      </c>
      <c r="E255" s="441">
        <f>D255-C255</f>
        <v>13913686</v>
      </c>
      <c r="F255" s="449">
        <f>IF(C255=0,0,E255/C255)</f>
        <v>0.16016356529333536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721</v>
      </c>
      <c r="C256" s="441">
        <f>C254*C313</f>
        <v>142868396.30703238</v>
      </c>
      <c r="D256" s="441">
        <f>LN_IH8*LN_III10</f>
        <v>157096166.91763768</v>
      </c>
      <c r="E256" s="441">
        <f>D256-C256</f>
        <v>14227770.610605299</v>
      </c>
      <c r="F256" s="449">
        <f>IF(C256=0,0,E256/C256)</f>
        <v>9.9586549428531443E-2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722</v>
      </c>
      <c r="C257" s="441">
        <f>C256-C255</f>
        <v>55996666.307032377</v>
      </c>
      <c r="D257" s="441">
        <f>LN_IH10-LN_IH9</f>
        <v>56310750.917637676</v>
      </c>
      <c r="E257" s="441">
        <f>D257-C257</f>
        <v>314084.61060529947</v>
      </c>
      <c r="F257" s="449">
        <f>IF(C257=0,0,E257/C257)</f>
        <v>5.6089876651434691E-3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723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724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389978980</v>
      </c>
      <c r="D261" s="448">
        <f>LN_IA1+LN_IB1+LN_IF1+LN_IG1</f>
        <v>423329619</v>
      </c>
      <c r="E261" s="448">
        <f t="shared" ref="E261:E274" si="26">D261-C261</f>
        <v>33350639</v>
      </c>
      <c r="F261" s="503">
        <f t="shared" ref="F261:F274" si="27">IF(C261=0,0,E261/C261)</f>
        <v>8.5519068232857057E-2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164545360</v>
      </c>
      <c r="D262" s="448">
        <f>+LN_IA2+LN_IB2+LN_IF2+LN_IG2</f>
        <v>174648150</v>
      </c>
      <c r="E262" s="448">
        <f t="shared" si="26"/>
        <v>10102790</v>
      </c>
      <c r="F262" s="503">
        <f t="shared" si="27"/>
        <v>6.139820654924575E-2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725</v>
      </c>
      <c r="C263" s="453">
        <f>IF(C261=0,0,C262/C261)</f>
        <v>0.42193392064362034</v>
      </c>
      <c r="D263" s="453">
        <f>IF(LN_IIA1=0,0,LN_IIA2/LN_IIA1)</f>
        <v>0.41255830483243366</v>
      </c>
      <c r="E263" s="454">
        <f t="shared" si="26"/>
        <v>-9.3756158111866772E-3</v>
      </c>
      <c r="F263" s="458">
        <f t="shared" si="27"/>
        <v>-2.2220578513538473E-2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6047</v>
      </c>
      <c r="D264" s="456">
        <f>LN_IA4+LN_IB4+LN_IF4+LN_IG3</f>
        <v>6416</v>
      </c>
      <c r="E264" s="456">
        <f t="shared" si="26"/>
        <v>369</v>
      </c>
      <c r="F264" s="503">
        <f t="shared" si="27"/>
        <v>6.1021994377377209E-2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726</v>
      </c>
      <c r="C265" s="525">
        <f>IF(C264=0,0,C266/C264)</f>
        <v>1.7593290722672401</v>
      </c>
      <c r="D265" s="525">
        <f>IF(LN_IIA4=0,0,LN_IIA6/LN_IIA4)</f>
        <v>1.7267081140897755</v>
      </c>
      <c r="E265" s="525">
        <f t="shared" si="26"/>
        <v>-3.2620958177464576E-2</v>
      </c>
      <c r="F265" s="503">
        <f t="shared" si="27"/>
        <v>-1.8541703591259413E-2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727</v>
      </c>
      <c r="C266" s="463">
        <f>C20+C47+C193+C226</f>
        <v>10638.662900000001</v>
      </c>
      <c r="D266" s="463">
        <f>LN_IA6+LN_IB6+LN_IF6+LN_IG5</f>
        <v>11078.55926</v>
      </c>
      <c r="E266" s="463">
        <f t="shared" si="26"/>
        <v>439.89635999999882</v>
      </c>
      <c r="F266" s="503">
        <f t="shared" si="27"/>
        <v>4.1348839053824964E-2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278273717</v>
      </c>
      <c r="D267" s="448">
        <f>LN_IA11+LN_IB13+LN_IF14+LN_IG9</f>
        <v>302788346</v>
      </c>
      <c r="E267" s="448">
        <f t="shared" si="26"/>
        <v>24514629</v>
      </c>
      <c r="F267" s="503">
        <f t="shared" si="27"/>
        <v>8.8095380563734657E-2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652</v>
      </c>
      <c r="C268" s="453">
        <f>IF(C261=0,0,C267/C261)</f>
        <v>0.71356081038008767</v>
      </c>
      <c r="D268" s="453">
        <f>IF(LN_IIA1=0,0,LN_IIA7/LN_IIA1)</f>
        <v>0.71525433707014019</v>
      </c>
      <c r="E268" s="454">
        <f t="shared" si="26"/>
        <v>1.6935266900525159E-3</v>
      </c>
      <c r="F268" s="458">
        <f t="shared" si="27"/>
        <v>2.3733459929651075E-3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105525712</v>
      </c>
      <c r="D269" s="448">
        <f>LN_IA12+LN_IB14+LN_IF15+LN_IG10</f>
        <v>120816058</v>
      </c>
      <c r="E269" s="448">
        <f t="shared" si="26"/>
        <v>15290346</v>
      </c>
      <c r="F269" s="503">
        <f t="shared" si="27"/>
        <v>0.14489687593863379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651</v>
      </c>
      <c r="C270" s="453">
        <f>IF(C267=0,0,C269/C267)</f>
        <v>0.37921551894173317</v>
      </c>
      <c r="D270" s="453">
        <f>IF(LN_IIA7=0,0,LN_IIA9/LN_IIA7)</f>
        <v>0.39901158547231536</v>
      </c>
      <c r="E270" s="454">
        <f t="shared" si="26"/>
        <v>1.979606653058219E-2</v>
      </c>
      <c r="F270" s="458">
        <f t="shared" si="27"/>
        <v>5.2202680380345604E-2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728</v>
      </c>
      <c r="C271" s="441">
        <f>C261+C267</f>
        <v>668252697</v>
      </c>
      <c r="D271" s="441">
        <f>LN_IIA1+LN_IIA7</f>
        <v>726117965</v>
      </c>
      <c r="E271" s="441">
        <f t="shared" si="26"/>
        <v>57865268</v>
      </c>
      <c r="F271" s="503">
        <f t="shared" si="27"/>
        <v>8.6591895939628363E-2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729</v>
      </c>
      <c r="C272" s="441">
        <f>C262+C269</f>
        <v>270071072</v>
      </c>
      <c r="D272" s="441">
        <f>LN_IIA2+LN_IIA9</f>
        <v>295464208</v>
      </c>
      <c r="E272" s="441">
        <f t="shared" si="26"/>
        <v>25393136</v>
      </c>
      <c r="F272" s="503">
        <f t="shared" si="27"/>
        <v>9.4023901974958649E-2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730</v>
      </c>
      <c r="C273" s="453">
        <f>IF(C271=0,0,C272/C271)</f>
        <v>0.40414512835104949</v>
      </c>
      <c r="D273" s="453">
        <f>IF(LN_IIA11=0,0,LN_IIA12/LN_IIA11)</f>
        <v>0.40690937594416909</v>
      </c>
      <c r="E273" s="454">
        <f t="shared" si="26"/>
        <v>2.7642475931196064E-3</v>
      </c>
      <c r="F273" s="458">
        <f t="shared" si="27"/>
        <v>6.839739982510736E-3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45010</v>
      </c>
      <c r="D274" s="508">
        <f>LN_IA8+LN_IB10+LN_IF11+LN_IG6</f>
        <v>44704</v>
      </c>
      <c r="E274" s="528">
        <f t="shared" si="26"/>
        <v>-306</v>
      </c>
      <c r="F274" s="458">
        <f t="shared" si="27"/>
        <v>-6.7984892246167519E-3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731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732</v>
      </c>
      <c r="C277" s="448">
        <f>C15+C188+C221</f>
        <v>222796091</v>
      </c>
      <c r="D277" s="448">
        <f>LN_IA1+LN_IF1+LN_IG1</f>
        <v>239881876</v>
      </c>
      <c r="E277" s="448">
        <f t="shared" ref="E277:E291" si="28">D277-C277</f>
        <v>17085785</v>
      </c>
      <c r="F277" s="503">
        <f t="shared" ref="F277:F291" si="29">IF(C277=0,0,E277/C277)</f>
        <v>7.6687992699117871E-2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733</v>
      </c>
      <c r="C278" s="448">
        <f>C16+C189+C222</f>
        <v>60841921</v>
      </c>
      <c r="D278" s="448">
        <f>LN_IA2+LN_IF2+LN_IG2</f>
        <v>68602104</v>
      </c>
      <c r="E278" s="448">
        <f t="shared" si="28"/>
        <v>7760183</v>
      </c>
      <c r="F278" s="503">
        <f t="shared" si="29"/>
        <v>0.12754664666160032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734</v>
      </c>
      <c r="C279" s="453">
        <f>IF(C277=0,0,C278/C277)</f>
        <v>0.27308343125284007</v>
      </c>
      <c r="D279" s="453">
        <f>IF(D277=0,0,LN_IIB2/D277)</f>
        <v>0.28598285599533996</v>
      </c>
      <c r="E279" s="454">
        <f t="shared" si="28"/>
        <v>1.2899424742499888E-2</v>
      </c>
      <c r="F279" s="458">
        <f t="shared" si="29"/>
        <v>4.7236204273984977E-2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735</v>
      </c>
      <c r="C280" s="456">
        <f>C18+C191+C224</f>
        <v>3498</v>
      </c>
      <c r="D280" s="456">
        <f>LN_IA4+LN_IF4+LN_IG3</f>
        <v>3662</v>
      </c>
      <c r="E280" s="456">
        <f t="shared" si="28"/>
        <v>164</v>
      </c>
      <c r="F280" s="503">
        <f t="shared" si="29"/>
        <v>4.6883933676386505E-2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736</v>
      </c>
      <c r="C281" s="525">
        <f>IF(C280=0,0,C282/C280)</f>
        <v>1.6923096626643799</v>
      </c>
      <c r="D281" s="525">
        <f>IF(LN_IIB4=0,0,LN_IIB6/LN_IIB4)</f>
        <v>1.6735368978700162</v>
      </c>
      <c r="E281" s="525">
        <f t="shared" si="28"/>
        <v>-1.8772764794363628E-2</v>
      </c>
      <c r="F281" s="503">
        <f t="shared" si="29"/>
        <v>-1.1092984462907162E-2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737</v>
      </c>
      <c r="C282" s="463">
        <f>C20+C193+C226</f>
        <v>5919.6992000000009</v>
      </c>
      <c r="D282" s="463">
        <f>LN_IA6+LN_IF6+LN_IG5</f>
        <v>6128.4921199999999</v>
      </c>
      <c r="E282" s="463">
        <f t="shared" si="28"/>
        <v>208.79291999999896</v>
      </c>
      <c r="F282" s="503">
        <f t="shared" si="29"/>
        <v>3.5270866465647262E-2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738</v>
      </c>
      <c r="C283" s="448">
        <f>C27+C203+C233</f>
        <v>141946730</v>
      </c>
      <c r="D283" s="448">
        <f>LN_IA11+LN_IF14+LN_IG9</f>
        <v>153940991</v>
      </c>
      <c r="E283" s="448">
        <f t="shared" si="28"/>
        <v>11994261</v>
      </c>
      <c r="F283" s="503">
        <f t="shared" si="29"/>
        <v>8.4498325533811175E-2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739</v>
      </c>
      <c r="C284" s="453">
        <f>IF(C277=0,0,C283/C277)</f>
        <v>0.63711499318899634</v>
      </c>
      <c r="D284" s="453">
        <f>IF(D277=0,0,LN_IIB7/D277)</f>
        <v>0.64173664791582674</v>
      </c>
      <c r="E284" s="454">
        <f t="shared" si="28"/>
        <v>4.6216547268304042E-3</v>
      </c>
      <c r="F284" s="458">
        <f t="shared" si="29"/>
        <v>7.2540354194104142E-3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740</v>
      </c>
      <c r="C285" s="448">
        <f>C28+C204+C234</f>
        <v>30791603</v>
      </c>
      <c r="D285" s="448">
        <f>LN_IA12+LN_IF15+LN_IG10</f>
        <v>37540031</v>
      </c>
      <c r="E285" s="448">
        <f t="shared" si="28"/>
        <v>6748428</v>
      </c>
      <c r="F285" s="503">
        <f t="shared" si="29"/>
        <v>0.21916455599924434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741</v>
      </c>
      <c r="C286" s="453">
        <f>IF(C283=0,0,C285/C283)</f>
        <v>0.21692365156985299</v>
      </c>
      <c r="D286" s="453">
        <f>IF(LN_IIB7=0,0,LN_IIB9/LN_IIB7)</f>
        <v>0.24385987615215496</v>
      </c>
      <c r="E286" s="454">
        <f t="shared" si="28"/>
        <v>2.6936224582301965E-2</v>
      </c>
      <c r="F286" s="458">
        <f t="shared" si="29"/>
        <v>0.12417375600755115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742</v>
      </c>
      <c r="C287" s="441">
        <f>C277+C283</f>
        <v>364742821</v>
      </c>
      <c r="D287" s="441">
        <f>D277+LN_IIB7</f>
        <v>393822867</v>
      </c>
      <c r="E287" s="441">
        <f t="shared" si="28"/>
        <v>29080046</v>
      </c>
      <c r="F287" s="503">
        <f t="shared" si="29"/>
        <v>7.9727534925217891E-2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743</v>
      </c>
      <c r="C288" s="441">
        <f>C278+C285</f>
        <v>91633524</v>
      </c>
      <c r="D288" s="441">
        <f>LN_IIB2+LN_IIB9</f>
        <v>106142135</v>
      </c>
      <c r="E288" s="441">
        <f t="shared" si="28"/>
        <v>14508611</v>
      </c>
      <c r="F288" s="503">
        <f t="shared" si="29"/>
        <v>0.15833300266832476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744</v>
      </c>
      <c r="C289" s="453">
        <f>IF(C287=0,0,C288/C287)</f>
        <v>0.2512277657686921</v>
      </c>
      <c r="D289" s="453">
        <f>IF(LN_IIB11=0,0,LN_IIB12/LN_IIB11)</f>
        <v>0.26951745034145008</v>
      </c>
      <c r="E289" s="454">
        <f t="shared" si="28"/>
        <v>1.828968457275798E-2</v>
      </c>
      <c r="F289" s="458">
        <f t="shared" si="29"/>
        <v>7.2801206971674762E-2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25692</v>
      </c>
      <c r="D290" s="508">
        <f>LN_IA8+LN_IF11+LN_IG6</f>
        <v>25427</v>
      </c>
      <c r="E290" s="528">
        <f t="shared" si="28"/>
        <v>-265</v>
      </c>
      <c r="F290" s="458">
        <f t="shared" si="29"/>
        <v>-1.0314494784368675E-2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745</v>
      </c>
      <c r="C291" s="448">
        <f>C287-C288</f>
        <v>273109297</v>
      </c>
      <c r="D291" s="516">
        <f>LN_IIB11-LN_IIB12</f>
        <v>287680732</v>
      </c>
      <c r="E291" s="441">
        <f t="shared" si="28"/>
        <v>14571435</v>
      </c>
      <c r="F291" s="503">
        <f t="shared" si="29"/>
        <v>5.3353859279276016E-2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647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638</v>
      </c>
      <c r="C294" s="466">
        <f>IF(C18=0,0,C22/C18)</f>
        <v>9.65</v>
      </c>
      <c r="D294" s="466">
        <f>IF(LN_IA4=0,0,LN_IA8/LN_IA4)</f>
        <v>11</v>
      </c>
      <c r="E294" s="466">
        <f t="shared" ref="E294:E300" si="30">D294-C294</f>
        <v>1.3499999999999996</v>
      </c>
      <c r="F294" s="503">
        <f t="shared" ref="F294:F300" si="31">IF(C294=0,0,E294/C294)</f>
        <v>0.13989637305699479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659</v>
      </c>
      <c r="C295" s="466">
        <f>IF(C45=0,0,C51/C45)</f>
        <v>7.5786582973715184</v>
      </c>
      <c r="D295" s="466">
        <f>IF(LN_IB4=0,0,(LN_IB10)/(LN_IB4))</f>
        <v>6.9996368917937541</v>
      </c>
      <c r="E295" s="466">
        <f t="shared" si="30"/>
        <v>-0.57902140557776427</v>
      </c>
      <c r="F295" s="503">
        <f t="shared" si="31"/>
        <v>-7.6401571737121907E-2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674</v>
      </c>
      <c r="C296" s="466">
        <f>IF(C86=0,0,C93/C86)</f>
        <v>5.25</v>
      </c>
      <c r="D296" s="466">
        <f>IF(LN_IC4=0,0,LN_IC11/LN_IC4)</f>
        <v>3.9090909090909092</v>
      </c>
      <c r="E296" s="466">
        <f t="shared" si="30"/>
        <v>-1.3409090909090908</v>
      </c>
      <c r="F296" s="503">
        <f t="shared" si="31"/>
        <v>-0.25541125541125542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7.3311953352769681</v>
      </c>
      <c r="D297" s="466">
        <f>IF(LN_ID4=0,0,LN_ID11/LN_ID4)</f>
        <v>6.9290878754171299</v>
      </c>
      <c r="E297" s="466">
        <f t="shared" si="30"/>
        <v>-0.4021074598598382</v>
      </c>
      <c r="F297" s="503">
        <f t="shared" si="31"/>
        <v>-5.4848826346903884E-2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746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7.354166666666667</v>
      </c>
      <c r="D299" s="466">
        <f>IF(LN_IG3=0,0,LN_IG6/LN_IG3)</f>
        <v>7.0727272727272723</v>
      </c>
      <c r="E299" s="466">
        <f t="shared" si="30"/>
        <v>-0.28143939393939466</v>
      </c>
      <c r="F299" s="503">
        <f t="shared" si="31"/>
        <v>-3.8269379345866696E-2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747</v>
      </c>
      <c r="C300" s="466">
        <f>IF(C264=0,0,C274/C264)</f>
        <v>7.443360343972218</v>
      </c>
      <c r="D300" s="466">
        <f>IF(LN_IIA4=0,0,LN_IIA14/LN_IIA4)</f>
        <v>6.9675810473815458</v>
      </c>
      <c r="E300" s="466">
        <f t="shared" si="30"/>
        <v>-0.4757792965906722</v>
      </c>
      <c r="F300" s="503">
        <f t="shared" si="31"/>
        <v>-6.3919960152939229E-2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748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742</v>
      </c>
      <c r="C304" s="441">
        <f>C35+C66+C214+C221+C233</f>
        <v>668252697</v>
      </c>
      <c r="D304" s="441">
        <f>LN_IIA11</f>
        <v>726117965</v>
      </c>
      <c r="E304" s="441">
        <f t="shared" ref="E304:E316" si="32">D304-C304</f>
        <v>57865268</v>
      </c>
      <c r="F304" s="449">
        <f>IF(C304=0,0,E304/C304)</f>
        <v>8.6591895939628363E-2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745</v>
      </c>
      <c r="C305" s="441">
        <f>C291</f>
        <v>273109297</v>
      </c>
      <c r="D305" s="441">
        <f>LN_IIB14</f>
        <v>287680732</v>
      </c>
      <c r="E305" s="441">
        <f t="shared" si="32"/>
        <v>14571435</v>
      </c>
      <c r="F305" s="449">
        <f>IF(C305=0,0,E305/C305)</f>
        <v>5.3353859279276016E-2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749</v>
      </c>
      <c r="C306" s="441">
        <f>C250</f>
        <v>2746269</v>
      </c>
      <c r="D306" s="441">
        <f>LN_IH6</f>
        <v>3703103</v>
      </c>
      <c r="E306" s="441">
        <f t="shared" si="32"/>
        <v>956834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750</v>
      </c>
      <c r="C307" s="441">
        <f>C73-C74</f>
        <v>125072328</v>
      </c>
      <c r="D307" s="441">
        <f>LN_IB32-LN_IB33</f>
        <v>139269922</v>
      </c>
      <c r="E307" s="441">
        <f t="shared" si="32"/>
        <v>14197594</v>
      </c>
      <c r="F307" s="449">
        <f t="shared" ref="F307:F316" si="33">IF(C307=0,0,E307/C307)</f>
        <v>0.11351506945645083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751</v>
      </c>
      <c r="C308" s="441">
        <v>523675</v>
      </c>
      <c r="D308" s="441">
        <v>242329</v>
      </c>
      <c r="E308" s="441">
        <f t="shared" si="32"/>
        <v>-281346</v>
      </c>
      <c r="F308" s="449">
        <f t="shared" si="33"/>
        <v>-0.5372530672650021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752</v>
      </c>
      <c r="C309" s="441">
        <f>C305+C307+C308+C306</f>
        <v>401451569</v>
      </c>
      <c r="D309" s="441">
        <f>LN_III2+LN_III3+LN_III4+LN_III5</f>
        <v>430896086</v>
      </c>
      <c r="E309" s="441">
        <f t="shared" si="32"/>
        <v>29444517</v>
      </c>
      <c r="F309" s="449">
        <f t="shared" si="33"/>
        <v>7.3345128712151084E-2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753</v>
      </c>
      <c r="C310" s="441">
        <f>C304-C309</f>
        <v>266801128</v>
      </c>
      <c r="D310" s="441">
        <f>LN_III1-LN_III6</f>
        <v>295221879</v>
      </c>
      <c r="E310" s="441">
        <f t="shared" si="32"/>
        <v>28420751</v>
      </c>
      <c r="F310" s="449">
        <f t="shared" si="33"/>
        <v>0.10652410360124115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754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755</v>
      </c>
      <c r="C312" s="441">
        <f>C310+C311</f>
        <v>266801128</v>
      </c>
      <c r="D312" s="441">
        <f>LN_III7+LN_III8</f>
        <v>295221879</v>
      </c>
      <c r="E312" s="441">
        <f t="shared" si="32"/>
        <v>28420751</v>
      </c>
      <c r="F312" s="449">
        <f t="shared" si="33"/>
        <v>0.10652410360124115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756</v>
      </c>
      <c r="C313" s="532">
        <f>IF(C304=0,0,C312/C304)</f>
        <v>0.39925185367414984</v>
      </c>
      <c r="D313" s="532">
        <f>IF(LN_III1=0,0,LN_III9/LN_III1)</f>
        <v>0.4065756436696894</v>
      </c>
      <c r="E313" s="532">
        <f t="shared" si="32"/>
        <v>7.3237899955395647E-3</v>
      </c>
      <c r="F313" s="449">
        <f t="shared" si="33"/>
        <v>1.8343784576431522E-2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719</v>
      </c>
      <c r="C314" s="441">
        <f>C306*C313</f>
        <v>1096452.9889378538</v>
      </c>
      <c r="D314" s="441">
        <f>D313*LN_III5</f>
        <v>1505591.4858001578</v>
      </c>
      <c r="E314" s="441">
        <f t="shared" si="32"/>
        <v>409138.49686230393</v>
      </c>
      <c r="F314" s="449">
        <f t="shared" si="33"/>
        <v>0.37314732231122916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722</v>
      </c>
      <c r="C315" s="441">
        <f>(C214*C313)-C215</f>
        <v>55996666.307032377</v>
      </c>
      <c r="D315" s="441">
        <f>D313*LN_IH8-LN_IH9</f>
        <v>56310750.917637676</v>
      </c>
      <c r="E315" s="441">
        <f t="shared" si="32"/>
        <v>314084.61060529947</v>
      </c>
      <c r="F315" s="449">
        <f t="shared" si="33"/>
        <v>5.6089876651434691E-3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757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758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759</v>
      </c>
      <c r="C318" s="441">
        <f>C314+C315+C316</f>
        <v>57093119.295970231</v>
      </c>
      <c r="D318" s="441">
        <f>D314+D315+D316</f>
        <v>57816342.403437831</v>
      </c>
      <c r="E318" s="441">
        <f>D318-C318</f>
        <v>723223.10746759921</v>
      </c>
      <c r="F318" s="449">
        <f>IF(C318=0,0,E318/C318)</f>
        <v>1.2667430268057644E-2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760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263723389.01576138</v>
      </c>
      <c r="D322" s="441">
        <f>LN_ID22</f>
        <v>476813924.34512389</v>
      </c>
      <c r="E322" s="441">
        <f>LN_IV2-C322</f>
        <v>213090535.32936251</v>
      </c>
      <c r="F322" s="449">
        <f>IF(C322=0,0,E322/C322)</f>
        <v>0.80800772401960597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746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761</v>
      </c>
      <c r="C324" s="441">
        <f>C92+C106</f>
        <v>9366473.1966412831</v>
      </c>
      <c r="D324" s="441">
        <f>LN_IC10+LN_IC22</f>
        <v>20562587.62033074</v>
      </c>
      <c r="E324" s="441">
        <f>LN_IV1-C324</f>
        <v>11196114.423689457</v>
      </c>
      <c r="F324" s="449">
        <f>IF(C324=0,0,E324/C324)</f>
        <v>1.1953393970853685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762</v>
      </c>
      <c r="C325" s="516">
        <f>C324+C322+C323</f>
        <v>273089862.21240264</v>
      </c>
      <c r="D325" s="516">
        <f>LN_IV1+LN_IV2+LN_IV3</f>
        <v>497376511.96545464</v>
      </c>
      <c r="E325" s="441">
        <f>LN_IV4-C325</f>
        <v>224286649.753052</v>
      </c>
      <c r="F325" s="449">
        <f>IF(C325=0,0,E325/C325)</f>
        <v>0.82129247836599406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763</v>
      </c>
      <c r="B327" s="530" t="s">
        <v>764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765</v>
      </c>
      <c r="C329" s="518">
        <v>920780</v>
      </c>
      <c r="D329" s="518">
        <v>809310</v>
      </c>
      <c r="E329" s="518">
        <f t="shared" ref="E329:E335" si="34">D329-C329</f>
        <v>-111470</v>
      </c>
      <c r="F329" s="542">
        <f t="shared" ref="F329:F335" si="35">IF(C329=0,0,E329/C329)</f>
        <v>-0.12106040530854276</v>
      </c>
    </row>
    <row r="330" spans="1:22" s="420" customFormat="1" ht="15.75" customHeight="1" x14ac:dyDescent="0.2">
      <c r="A330" s="451">
        <v>2</v>
      </c>
      <c r="B330" s="447" t="s">
        <v>766</v>
      </c>
      <c r="C330" s="516">
        <v>22963836</v>
      </c>
      <c r="D330" s="516">
        <v>9699926</v>
      </c>
      <c r="E330" s="518">
        <f t="shared" si="34"/>
        <v>-13263910</v>
      </c>
      <c r="F330" s="543">
        <f t="shared" si="35"/>
        <v>-0.57759992712019015</v>
      </c>
    </row>
    <row r="331" spans="1:22" s="420" customFormat="1" ht="15.75" customHeight="1" x14ac:dyDescent="0.2">
      <c r="A331" s="427">
        <v>3</v>
      </c>
      <c r="B331" s="447" t="s">
        <v>767</v>
      </c>
      <c r="C331" s="516">
        <v>293034805</v>
      </c>
      <c r="D331" s="516">
        <v>305164135</v>
      </c>
      <c r="E331" s="518">
        <f t="shared" si="34"/>
        <v>12129330</v>
      </c>
      <c r="F331" s="542">
        <f t="shared" si="35"/>
        <v>4.1392113813920502E-2</v>
      </c>
    </row>
    <row r="332" spans="1:22" s="420" customFormat="1" ht="27" customHeight="1" x14ac:dyDescent="0.2">
      <c r="A332" s="451">
        <v>4</v>
      </c>
      <c r="B332" s="447" t="s">
        <v>768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769</v>
      </c>
      <c r="C333" s="516">
        <v>668252697</v>
      </c>
      <c r="D333" s="516">
        <v>726117965</v>
      </c>
      <c r="E333" s="518">
        <f t="shared" si="34"/>
        <v>57865268</v>
      </c>
      <c r="F333" s="542">
        <f t="shared" si="35"/>
        <v>8.6591895939628363E-2</v>
      </c>
    </row>
    <row r="334" spans="1:22" s="420" customFormat="1" ht="15.75" customHeight="1" x14ac:dyDescent="0.2">
      <c r="A334" s="427">
        <v>6</v>
      </c>
      <c r="B334" s="447" t="s">
        <v>770</v>
      </c>
      <c r="C334" s="516">
        <v>2031854</v>
      </c>
      <c r="D334" s="516">
        <v>2131943</v>
      </c>
      <c r="E334" s="516">
        <f t="shared" si="34"/>
        <v>100089</v>
      </c>
      <c r="F334" s="543">
        <f t="shared" si="35"/>
        <v>4.9259936983661226E-2</v>
      </c>
    </row>
    <row r="335" spans="1:22" s="420" customFormat="1" ht="15.75" customHeight="1" x14ac:dyDescent="0.2">
      <c r="A335" s="451">
        <v>7</v>
      </c>
      <c r="B335" s="447" t="s">
        <v>771</v>
      </c>
      <c r="C335" s="516">
        <v>4778123</v>
      </c>
      <c r="D335" s="516">
        <v>5835046</v>
      </c>
      <c r="E335" s="516">
        <f t="shared" si="34"/>
        <v>1056923</v>
      </c>
      <c r="F335" s="542">
        <f t="shared" si="35"/>
        <v>0.22120045884126466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FILING&amp;RCT CHILDREN`S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zoomScale="75" zoomScaleNormal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632</v>
      </c>
      <c r="B3" s="820"/>
      <c r="C3" s="820"/>
      <c r="D3" s="820"/>
      <c r="E3" s="820"/>
    </row>
    <row r="4" spans="1:5" s="428" customFormat="1" ht="15.75" customHeight="1" x14ac:dyDescent="0.25">
      <c r="A4" s="820" t="s">
        <v>772</v>
      </c>
      <c r="B4" s="820"/>
      <c r="C4" s="820"/>
      <c r="D4" s="820"/>
      <c r="E4" s="820"/>
    </row>
    <row r="5" spans="1:5" s="428" customFormat="1" ht="15.75" customHeight="1" x14ac:dyDescent="0.25">
      <c r="A5" s="820" t="s">
        <v>773</v>
      </c>
      <c r="B5" s="820"/>
      <c r="C5" s="820"/>
      <c r="D5" s="820"/>
      <c r="E5" s="820"/>
    </row>
    <row r="6" spans="1:5" s="428" customFormat="1" ht="15.75" customHeight="1" x14ac:dyDescent="0.25">
      <c r="A6" s="820" t="s">
        <v>774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775</v>
      </c>
      <c r="D9" s="573" t="s">
        <v>776</v>
      </c>
      <c r="E9" s="573" t="s">
        <v>777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778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779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659</v>
      </c>
      <c r="C14" s="589">
        <v>167182889</v>
      </c>
      <c r="D14" s="589">
        <v>183447743</v>
      </c>
      <c r="E14" s="590">
        <f t="shared" ref="E14:E22" si="0">D14-C14</f>
        <v>16264854</v>
      </c>
    </row>
    <row r="15" spans="1:5" s="421" customFormat="1" x14ac:dyDescent="0.2">
      <c r="A15" s="588">
        <v>2</v>
      </c>
      <c r="B15" s="587" t="s">
        <v>638</v>
      </c>
      <c r="C15" s="589">
        <v>1698315</v>
      </c>
      <c r="D15" s="591">
        <v>1122036</v>
      </c>
      <c r="E15" s="590">
        <f t="shared" si="0"/>
        <v>-576279</v>
      </c>
    </row>
    <row r="16" spans="1:5" s="421" customFormat="1" x14ac:dyDescent="0.2">
      <c r="A16" s="588">
        <v>3</v>
      </c>
      <c r="B16" s="587" t="s">
        <v>780</v>
      </c>
      <c r="C16" s="589">
        <v>218045317</v>
      </c>
      <c r="D16" s="591">
        <v>235198677</v>
      </c>
      <c r="E16" s="590">
        <f t="shared" si="0"/>
        <v>17153360</v>
      </c>
    </row>
    <row r="17" spans="1:5" s="421" customFormat="1" x14ac:dyDescent="0.2">
      <c r="A17" s="588">
        <v>4</v>
      </c>
      <c r="B17" s="587" t="s">
        <v>115</v>
      </c>
      <c r="C17" s="589">
        <v>218045317</v>
      </c>
      <c r="D17" s="591">
        <v>235198677</v>
      </c>
      <c r="E17" s="590">
        <f t="shared" si="0"/>
        <v>17153360</v>
      </c>
    </row>
    <row r="18" spans="1:5" s="421" customFormat="1" x14ac:dyDescent="0.2">
      <c r="A18" s="588">
        <v>5</v>
      </c>
      <c r="B18" s="587" t="s">
        <v>746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3052459</v>
      </c>
      <c r="D19" s="591">
        <v>3561163</v>
      </c>
      <c r="E19" s="590">
        <f t="shared" si="0"/>
        <v>508704</v>
      </c>
    </row>
    <row r="20" spans="1:5" s="421" customFormat="1" x14ac:dyDescent="0.2">
      <c r="A20" s="588">
        <v>7</v>
      </c>
      <c r="B20" s="587" t="s">
        <v>761</v>
      </c>
      <c r="C20" s="589">
        <v>894674</v>
      </c>
      <c r="D20" s="591">
        <v>1155430</v>
      </c>
      <c r="E20" s="590">
        <f t="shared" si="0"/>
        <v>260756</v>
      </c>
    </row>
    <row r="21" spans="1:5" s="421" customFormat="1" x14ac:dyDescent="0.2">
      <c r="A21" s="588"/>
      <c r="B21" s="592" t="s">
        <v>781</v>
      </c>
      <c r="C21" s="593">
        <f>SUM(C15+C16+C19)</f>
        <v>222796091</v>
      </c>
      <c r="D21" s="593">
        <f>SUM(D15+D16+D19)</f>
        <v>239881876</v>
      </c>
      <c r="E21" s="593">
        <f t="shared" si="0"/>
        <v>17085785</v>
      </c>
    </row>
    <row r="22" spans="1:5" s="421" customFormat="1" x14ac:dyDescent="0.2">
      <c r="A22" s="588"/>
      <c r="B22" s="592" t="s">
        <v>465</v>
      </c>
      <c r="C22" s="593">
        <f>SUM(C14+C21)</f>
        <v>389978980</v>
      </c>
      <c r="D22" s="593">
        <f>SUM(D14+D21)</f>
        <v>423329619</v>
      </c>
      <c r="E22" s="593">
        <f t="shared" si="0"/>
        <v>33350639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782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659</v>
      </c>
      <c r="C25" s="589">
        <v>136326987</v>
      </c>
      <c r="D25" s="589">
        <v>148847355</v>
      </c>
      <c r="E25" s="590">
        <f t="shared" ref="E25:E33" si="1">D25-C25</f>
        <v>12520368</v>
      </c>
    </row>
    <row r="26" spans="1:5" s="421" customFormat="1" x14ac:dyDescent="0.2">
      <c r="A26" s="588">
        <v>2</v>
      </c>
      <c r="B26" s="587" t="s">
        <v>638</v>
      </c>
      <c r="C26" s="589">
        <v>427046</v>
      </c>
      <c r="D26" s="591">
        <v>520464</v>
      </c>
      <c r="E26" s="590">
        <f t="shared" si="1"/>
        <v>93418</v>
      </c>
    </row>
    <row r="27" spans="1:5" s="421" customFormat="1" x14ac:dyDescent="0.2">
      <c r="A27" s="588">
        <v>3</v>
      </c>
      <c r="B27" s="587" t="s">
        <v>780</v>
      </c>
      <c r="C27" s="589">
        <v>139794966</v>
      </c>
      <c r="D27" s="591">
        <v>151189857</v>
      </c>
      <c r="E27" s="590">
        <f t="shared" si="1"/>
        <v>11394891</v>
      </c>
    </row>
    <row r="28" spans="1:5" s="421" customFormat="1" x14ac:dyDescent="0.2">
      <c r="A28" s="588">
        <v>4</v>
      </c>
      <c r="B28" s="587" t="s">
        <v>115</v>
      </c>
      <c r="C28" s="589">
        <v>139794966</v>
      </c>
      <c r="D28" s="591">
        <v>151189857</v>
      </c>
      <c r="E28" s="590">
        <f t="shared" si="1"/>
        <v>11394891</v>
      </c>
    </row>
    <row r="29" spans="1:5" s="421" customFormat="1" x14ac:dyDescent="0.2">
      <c r="A29" s="588">
        <v>5</v>
      </c>
      <c r="B29" s="587" t="s">
        <v>746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1724718</v>
      </c>
      <c r="D30" s="591">
        <v>2230670</v>
      </c>
      <c r="E30" s="590">
        <f t="shared" si="1"/>
        <v>505952</v>
      </c>
    </row>
    <row r="31" spans="1:5" s="421" customFormat="1" x14ac:dyDescent="0.2">
      <c r="A31" s="588">
        <v>7</v>
      </c>
      <c r="B31" s="587" t="s">
        <v>761</v>
      </c>
      <c r="C31" s="590">
        <v>2453906</v>
      </c>
      <c r="D31" s="594">
        <v>2558953</v>
      </c>
      <c r="E31" s="590">
        <f t="shared" si="1"/>
        <v>105047</v>
      </c>
    </row>
    <row r="32" spans="1:5" s="421" customFormat="1" x14ac:dyDescent="0.2">
      <c r="A32" s="588"/>
      <c r="B32" s="592" t="s">
        <v>783</v>
      </c>
      <c r="C32" s="593">
        <f>SUM(C26+C27+C30)</f>
        <v>141946730</v>
      </c>
      <c r="D32" s="593">
        <f>SUM(D26+D27+D30)</f>
        <v>153940991</v>
      </c>
      <c r="E32" s="593">
        <f t="shared" si="1"/>
        <v>11994261</v>
      </c>
    </row>
    <row r="33" spans="1:5" s="421" customFormat="1" x14ac:dyDescent="0.2">
      <c r="A33" s="588"/>
      <c r="B33" s="592" t="s">
        <v>467</v>
      </c>
      <c r="C33" s="593">
        <f>SUM(C25+C32)</f>
        <v>278273717</v>
      </c>
      <c r="D33" s="593">
        <f>SUM(D25+D32)</f>
        <v>302788346</v>
      </c>
      <c r="E33" s="593">
        <f t="shared" si="1"/>
        <v>24514629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656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784</v>
      </c>
      <c r="C36" s="590">
        <f t="shared" ref="C36:D42" si="2">C14+C25</f>
        <v>303509876</v>
      </c>
      <c r="D36" s="590">
        <f t="shared" si="2"/>
        <v>332295098</v>
      </c>
      <c r="E36" s="590">
        <f t="shared" ref="E36:E44" si="3">D36-C36</f>
        <v>28785222</v>
      </c>
    </row>
    <row r="37" spans="1:5" s="421" customFormat="1" x14ac:dyDescent="0.2">
      <c r="A37" s="588">
        <v>2</v>
      </c>
      <c r="B37" s="587" t="s">
        <v>785</v>
      </c>
      <c r="C37" s="590">
        <f t="shared" si="2"/>
        <v>2125361</v>
      </c>
      <c r="D37" s="590">
        <f t="shared" si="2"/>
        <v>1642500</v>
      </c>
      <c r="E37" s="590">
        <f t="shared" si="3"/>
        <v>-482861</v>
      </c>
    </row>
    <row r="38" spans="1:5" s="421" customFormat="1" x14ac:dyDescent="0.2">
      <c r="A38" s="588">
        <v>3</v>
      </c>
      <c r="B38" s="587" t="s">
        <v>786</v>
      </c>
      <c r="C38" s="590">
        <f t="shared" si="2"/>
        <v>357840283</v>
      </c>
      <c r="D38" s="590">
        <f t="shared" si="2"/>
        <v>386388534</v>
      </c>
      <c r="E38" s="590">
        <f t="shared" si="3"/>
        <v>28548251</v>
      </c>
    </row>
    <row r="39" spans="1:5" s="421" customFormat="1" x14ac:dyDescent="0.2">
      <c r="A39" s="588">
        <v>4</v>
      </c>
      <c r="B39" s="587" t="s">
        <v>787</v>
      </c>
      <c r="C39" s="590">
        <f t="shared" si="2"/>
        <v>357840283</v>
      </c>
      <c r="D39" s="590">
        <f t="shared" si="2"/>
        <v>386388534</v>
      </c>
      <c r="E39" s="590">
        <f t="shared" si="3"/>
        <v>28548251</v>
      </c>
    </row>
    <row r="40" spans="1:5" s="421" customFormat="1" x14ac:dyDescent="0.2">
      <c r="A40" s="588">
        <v>5</v>
      </c>
      <c r="B40" s="587" t="s">
        <v>788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789</v>
      </c>
      <c r="C41" s="590">
        <f t="shared" si="2"/>
        <v>4777177</v>
      </c>
      <c r="D41" s="590">
        <f t="shared" si="2"/>
        <v>5791833</v>
      </c>
      <c r="E41" s="590">
        <f t="shared" si="3"/>
        <v>1014656</v>
      </c>
    </row>
    <row r="42" spans="1:5" s="421" customFormat="1" x14ac:dyDescent="0.2">
      <c r="A42" s="588">
        <v>7</v>
      </c>
      <c r="B42" s="587" t="s">
        <v>790</v>
      </c>
      <c r="C42" s="590">
        <f t="shared" si="2"/>
        <v>3348580</v>
      </c>
      <c r="D42" s="590">
        <f t="shared" si="2"/>
        <v>3714383</v>
      </c>
      <c r="E42" s="590">
        <f t="shared" si="3"/>
        <v>365803</v>
      </c>
    </row>
    <row r="43" spans="1:5" s="421" customFormat="1" x14ac:dyDescent="0.2">
      <c r="A43" s="588"/>
      <c r="B43" s="592" t="s">
        <v>791</v>
      </c>
      <c r="C43" s="593">
        <f>SUM(C37+C38+C41)</f>
        <v>364742821</v>
      </c>
      <c r="D43" s="593">
        <f>SUM(D37+D38+D41)</f>
        <v>393822867</v>
      </c>
      <c r="E43" s="593">
        <f t="shared" si="3"/>
        <v>29080046</v>
      </c>
    </row>
    <row r="44" spans="1:5" s="421" customFormat="1" x14ac:dyDescent="0.2">
      <c r="A44" s="588"/>
      <c r="B44" s="592" t="s">
        <v>728</v>
      </c>
      <c r="C44" s="593">
        <f>SUM(C36+C43)</f>
        <v>668252697</v>
      </c>
      <c r="D44" s="593">
        <f>SUM(D36+D43)</f>
        <v>726117965</v>
      </c>
      <c r="E44" s="593">
        <f t="shared" si="3"/>
        <v>57865268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792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659</v>
      </c>
      <c r="C47" s="589">
        <v>103703439</v>
      </c>
      <c r="D47" s="589">
        <v>106046046</v>
      </c>
      <c r="E47" s="590">
        <f t="shared" ref="E47:E55" si="4">D47-C47</f>
        <v>2342607</v>
      </c>
    </row>
    <row r="48" spans="1:5" s="421" customFormat="1" x14ac:dyDescent="0.2">
      <c r="A48" s="588">
        <v>2</v>
      </c>
      <c r="B48" s="587" t="s">
        <v>638</v>
      </c>
      <c r="C48" s="589">
        <v>2433392</v>
      </c>
      <c r="D48" s="591">
        <v>2271071</v>
      </c>
      <c r="E48" s="590">
        <f t="shared" si="4"/>
        <v>-162321</v>
      </c>
    </row>
    <row r="49" spans="1:5" s="421" customFormat="1" x14ac:dyDescent="0.2">
      <c r="A49" s="588">
        <v>3</v>
      </c>
      <c r="B49" s="587" t="s">
        <v>780</v>
      </c>
      <c r="C49" s="589">
        <v>57661686</v>
      </c>
      <c r="D49" s="591">
        <v>65228666</v>
      </c>
      <c r="E49" s="590">
        <f t="shared" si="4"/>
        <v>7566980</v>
      </c>
    </row>
    <row r="50" spans="1:5" s="421" customFormat="1" x14ac:dyDescent="0.2">
      <c r="A50" s="588">
        <v>4</v>
      </c>
      <c r="B50" s="587" t="s">
        <v>115</v>
      </c>
      <c r="C50" s="589">
        <v>57661686</v>
      </c>
      <c r="D50" s="591">
        <v>65228666</v>
      </c>
      <c r="E50" s="590">
        <f t="shared" si="4"/>
        <v>7566980</v>
      </c>
    </row>
    <row r="51" spans="1:5" s="421" customFormat="1" x14ac:dyDescent="0.2">
      <c r="A51" s="588">
        <v>5</v>
      </c>
      <c r="B51" s="587" t="s">
        <v>746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746843</v>
      </c>
      <c r="D52" s="591">
        <v>1102367</v>
      </c>
      <c r="E52" s="590">
        <f t="shared" si="4"/>
        <v>355524</v>
      </c>
    </row>
    <row r="53" spans="1:5" s="421" customFormat="1" x14ac:dyDescent="0.2">
      <c r="A53" s="588">
        <v>7</v>
      </c>
      <c r="B53" s="587" t="s">
        <v>761</v>
      </c>
      <c r="C53" s="589">
        <v>102412</v>
      </c>
      <c r="D53" s="591">
        <v>131008</v>
      </c>
      <c r="E53" s="590">
        <f t="shared" si="4"/>
        <v>28596</v>
      </c>
    </row>
    <row r="54" spans="1:5" s="421" customFormat="1" x14ac:dyDescent="0.2">
      <c r="A54" s="588"/>
      <c r="B54" s="592" t="s">
        <v>793</v>
      </c>
      <c r="C54" s="593">
        <f>SUM(C48+C49+C52)</f>
        <v>60841921</v>
      </c>
      <c r="D54" s="593">
        <f>SUM(D48+D49+D52)</f>
        <v>68602104</v>
      </c>
      <c r="E54" s="593">
        <f t="shared" si="4"/>
        <v>7760183</v>
      </c>
    </row>
    <row r="55" spans="1:5" s="421" customFormat="1" x14ac:dyDescent="0.2">
      <c r="A55" s="588"/>
      <c r="B55" s="592" t="s">
        <v>466</v>
      </c>
      <c r="C55" s="593">
        <f>SUM(C47+C54)</f>
        <v>164545360</v>
      </c>
      <c r="D55" s="593">
        <f>SUM(D47+D54)</f>
        <v>174648150</v>
      </c>
      <c r="E55" s="593">
        <f t="shared" si="4"/>
        <v>10102790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794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659</v>
      </c>
      <c r="C58" s="589">
        <v>74734109</v>
      </c>
      <c r="D58" s="589">
        <v>83276027</v>
      </c>
      <c r="E58" s="590">
        <f t="shared" ref="E58:E66" si="5">D58-C58</f>
        <v>8541918</v>
      </c>
    </row>
    <row r="59" spans="1:5" s="421" customFormat="1" x14ac:dyDescent="0.2">
      <c r="A59" s="588">
        <v>2</v>
      </c>
      <c r="B59" s="587" t="s">
        <v>638</v>
      </c>
      <c r="C59" s="589">
        <v>669910</v>
      </c>
      <c r="D59" s="591">
        <v>1130976</v>
      </c>
      <c r="E59" s="590">
        <f t="shared" si="5"/>
        <v>461066</v>
      </c>
    </row>
    <row r="60" spans="1:5" s="421" customFormat="1" x14ac:dyDescent="0.2">
      <c r="A60" s="588">
        <v>3</v>
      </c>
      <c r="B60" s="587" t="s">
        <v>780</v>
      </c>
      <c r="C60" s="589">
        <f>C61+C62</f>
        <v>29210044</v>
      </c>
      <c r="D60" s="591">
        <f>D61+D62</f>
        <v>35556750</v>
      </c>
      <c r="E60" s="590">
        <f t="shared" si="5"/>
        <v>6346706</v>
      </c>
    </row>
    <row r="61" spans="1:5" s="421" customFormat="1" x14ac:dyDescent="0.2">
      <c r="A61" s="588">
        <v>4</v>
      </c>
      <c r="B61" s="587" t="s">
        <v>115</v>
      </c>
      <c r="C61" s="589">
        <v>29210044</v>
      </c>
      <c r="D61" s="591">
        <v>35556750</v>
      </c>
      <c r="E61" s="590">
        <f t="shared" si="5"/>
        <v>6346706</v>
      </c>
    </row>
    <row r="62" spans="1:5" s="421" customFormat="1" x14ac:dyDescent="0.2">
      <c r="A62" s="588">
        <v>5</v>
      </c>
      <c r="B62" s="587" t="s">
        <v>746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911649</v>
      </c>
      <c r="D63" s="591">
        <v>852305</v>
      </c>
      <c r="E63" s="590">
        <f t="shared" si="5"/>
        <v>-59344</v>
      </c>
    </row>
    <row r="64" spans="1:5" s="421" customFormat="1" x14ac:dyDescent="0.2">
      <c r="A64" s="588">
        <v>7</v>
      </c>
      <c r="B64" s="587" t="s">
        <v>761</v>
      </c>
      <c r="C64" s="589">
        <v>387830</v>
      </c>
      <c r="D64" s="591">
        <v>495436</v>
      </c>
      <c r="E64" s="590">
        <f t="shared" si="5"/>
        <v>107606</v>
      </c>
    </row>
    <row r="65" spans="1:5" s="421" customFormat="1" x14ac:dyDescent="0.2">
      <c r="A65" s="588"/>
      <c r="B65" s="592" t="s">
        <v>795</v>
      </c>
      <c r="C65" s="593">
        <f>SUM(C59+C60+C63)</f>
        <v>30791603</v>
      </c>
      <c r="D65" s="593">
        <f>SUM(D59+D60+D63)</f>
        <v>37540031</v>
      </c>
      <c r="E65" s="593">
        <f t="shared" si="5"/>
        <v>6748428</v>
      </c>
    </row>
    <row r="66" spans="1:5" s="421" customFormat="1" x14ac:dyDescent="0.2">
      <c r="A66" s="588"/>
      <c r="B66" s="592" t="s">
        <v>468</v>
      </c>
      <c r="C66" s="593">
        <f>SUM(C58+C65)</f>
        <v>105525712</v>
      </c>
      <c r="D66" s="593">
        <f>SUM(D58+D65)</f>
        <v>120816058</v>
      </c>
      <c r="E66" s="593">
        <f t="shared" si="5"/>
        <v>15290346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657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784</v>
      </c>
      <c r="C69" s="590">
        <f t="shared" ref="C69:D75" si="6">C47+C58</f>
        <v>178437548</v>
      </c>
      <c r="D69" s="590">
        <f t="shared" si="6"/>
        <v>189322073</v>
      </c>
      <c r="E69" s="590">
        <f t="shared" ref="E69:E77" si="7">D69-C69</f>
        <v>10884525</v>
      </c>
    </row>
    <row r="70" spans="1:5" s="421" customFormat="1" x14ac:dyDescent="0.2">
      <c r="A70" s="588">
        <v>2</v>
      </c>
      <c r="B70" s="587" t="s">
        <v>785</v>
      </c>
      <c r="C70" s="590">
        <f t="shared" si="6"/>
        <v>3103302</v>
      </c>
      <c r="D70" s="590">
        <f t="shared" si="6"/>
        <v>3402047</v>
      </c>
      <c r="E70" s="590">
        <f t="shared" si="7"/>
        <v>298745</v>
      </c>
    </row>
    <row r="71" spans="1:5" s="421" customFormat="1" x14ac:dyDescent="0.2">
      <c r="A71" s="588">
        <v>3</v>
      </c>
      <c r="B71" s="587" t="s">
        <v>786</v>
      </c>
      <c r="C71" s="590">
        <f t="shared" si="6"/>
        <v>86871730</v>
      </c>
      <c r="D71" s="590">
        <f t="shared" si="6"/>
        <v>100785416</v>
      </c>
      <c r="E71" s="590">
        <f t="shared" si="7"/>
        <v>13913686</v>
      </c>
    </row>
    <row r="72" spans="1:5" s="421" customFormat="1" x14ac:dyDescent="0.2">
      <c r="A72" s="588">
        <v>4</v>
      </c>
      <c r="B72" s="587" t="s">
        <v>787</v>
      </c>
      <c r="C72" s="590">
        <f t="shared" si="6"/>
        <v>86871730</v>
      </c>
      <c r="D72" s="590">
        <f t="shared" si="6"/>
        <v>100785416</v>
      </c>
      <c r="E72" s="590">
        <f t="shared" si="7"/>
        <v>13913686</v>
      </c>
    </row>
    <row r="73" spans="1:5" s="421" customFormat="1" x14ac:dyDescent="0.2">
      <c r="A73" s="588">
        <v>5</v>
      </c>
      <c r="B73" s="587" t="s">
        <v>788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789</v>
      </c>
      <c r="C74" s="590">
        <f t="shared" si="6"/>
        <v>1658492</v>
      </c>
      <c r="D74" s="590">
        <f t="shared" si="6"/>
        <v>1954672</v>
      </c>
      <c r="E74" s="590">
        <f t="shared" si="7"/>
        <v>296180</v>
      </c>
    </row>
    <row r="75" spans="1:5" s="421" customFormat="1" x14ac:dyDescent="0.2">
      <c r="A75" s="588">
        <v>7</v>
      </c>
      <c r="B75" s="587" t="s">
        <v>790</v>
      </c>
      <c r="C75" s="590">
        <f t="shared" si="6"/>
        <v>490242</v>
      </c>
      <c r="D75" s="590">
        <f t="shared" si="6"/>
        <v>626444</v>
      </c>
      <c r="E75" s="590">
        <f t="shared" si="7"/>
        <v>136202</v>
      </c>
    </row>
    <row r="76" spans="1:5" s="421" customFormat="1" x14ac:dyDescent="0.2">
      <c r="A76" s="588"/>
      <c r="B76" s="592" t="s">
        <v>796</v>
      </c>
      <c r="C76" s="593">
        <f>SUM(C70+C71+C74)</f>
        <v>91633524</v>
      </c>
      <c r="D76" s="593">
        <f>SUM(D70+D71+D74)</f>
        <v>106142135</v>
      </c>
      <c r="E76" s="593">
        <f t="shared" si="7"/>
        <v>14508611</v>
      </c>
    </row>
    <row r="77" spans="1:5" s="421" customFormat="1" x14ac:dyDescent="0.2">
      <c r="A77" s="588"/>
      <c r="B77" s="592" t="s">
        <v>729</v>
      </c>
      <c r="C77" s="593">
        <f>SUM(C69+C76)</f>
        <v>270071072</v>
      </c>
      <c r="D77" s="593">
        <f>SUM(D69+D76)</f>
        <v>295464208</v>
      </c>
      <c r="E77" s="593">
        <f t="shared" si="7"/>
        <v>25393136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797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798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659</v>
      </c>
      <c r="C83" s="599">
        <f t="shared" ref="C83:D89" si="8">IF(C$44=0,0,C14/C$44)</f>
        <v>0.25017914592868451</v>
      </c>
      <c r="D83" s="599">
        <f t="shared" si="8"/>
        <v>0.25264179078670779</v>
      </c>
      <c r="E83" s="599">
        <f t="shared" ref="E83:E91" si="9">D83-C83</f>
        <v>2.4626448580232774E-3</v>
      </c>
    </row>
    <row r="84" spans="1:5" s="421" customFormat="1" x14ac:dyDescent="0.2">
      <c r="A84" s="588">
        <v>2</v>
      </c>
      <c r="B84" s="587" t="s">
        <v>638</v>
      </c>
      <c r="C84" s="599">
        <f t="shared" si="8"/>
        <v>2.5414263311233595E-3</v>
      </c>
      <c r="D84" s="599">
        <f t="shared" si="8"/>
        <v>1.5452530498952742E-3</v>
      </c>
      <c r="E84" s="599">
        <f t="shared" si="9"/>
        <v>-9.9617328122808524E-4</v>
      </c>
    </row>
    <row r="85" spans="1:5" s="421" customFormat="1" x14ac:dyDescent="0.2">
      <c r="A85" s="588">
        <v>3</v>
      </c>
      <c r="B85" s="587" t="s">
        <v>780</v>
      </c>
      <c r="C85" s="599">
        <f t="shared" si="8"/>
        <v>0.32629171266928686</v>
      </c>
      <c r="D85" s="599">
        <f t="shared" si="8"/>
        <v>0.32391248851693127</v>
      </c>
      <c r="E85" s="599">
        <f t="shared" si="9"/>
        <v>-2.3792241523555857E-3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0.32629171266928686</v>
      </c>
      <c r="D86" s="599">
        <f t="shared" si="8"/>
        <v>0.32391248851693127</v>
      </c>
      <c r="E86" s="599">
        <f t="shared" si="9"/>
        <v>-2.3792241523555857E-3</v>
      </c>
    </row>
    <row r="87" spans="1:5" s="421" customFormat="1" x14ac:dyDescent="0.2">
      <c r="A87" s="588">
        <v>5</v>
      </c>
      <c r="B87" s="587" t="s">
        <v>746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4.5678214449465966E-3</v>
      </c>
      <c r="D88" s="599">
        <f t="shared" si="8"/>
        <v>4.9043863003720061E-3</v>
      </c>
      <c r="E88" s="599">
        <f t="shared" si="9"/>
        <v>3.3656485542540946E-4</v>
      </c>
    </row>
    <row r="89" spans="1:5" s="421" customFormat="1" x14ac:dyDescent="0.2">
      <c r="A89" s="588">
        <v>7</v>
      </c>
      <c r="B89" s="587" t="s">
        <v>761</v>
      </c>
      <c r="C89" s="599">
        <f t="shared" si="8"/>
        <v>1.3388258723331422E-3</v>
      </c>
      <c r="D89" s="599">
        <f t="shared" si="8"/>
        <v>1.5912428223697785E-3</v>
      </c>
      <c r="E89" s="599">
        <f t="shared" si="9"/>
        <v>2.5241695003663626E-4</v>
      </c>
    </row>
    <row r="90" spans="1:5" s="421" customFormat="1" x14ac:dyDescent="0.2">
      <c r="A90" s="588"/>
      <c r="B90" s="592" t="s">
        <v>799</v>
      </c>
      <c r="C90" s="600">
        <f>SUM(C84+C85+C88)</f>
        <v>0.33340096044535683</v>
      </c>
      <c r="D90" s="600">
        <f>SUM(D84+D85+D88)</f>
        <v>0.33036212786719854</v>
      </c>
      <c r="E90" s="601">
        <f t="shared" si="9"/>
        <v>-3.0388325781582903E-3</v>
      </c>
    </row>
    <row r="91" spans="1:5" s="421" customFormat="1" x14ac:dyDescent="0.2">
      <c r="A91" s="588"/>
      <c r="B91" s="592" t="s">
        <v>800</v>
      </c>
      <c r="C91" s="600">
        <f>SUM(C83+C90)</f>
        <v>0.58358010637404134</v>
      </c>
      <c r="D91" s="600">
        <f>SUM(D83+D90)</f>
        <v>0.58300391865390633</v>
      </c>
      <c r="E91" s="601">
        <f t="shared" si="9"/>
        <v>-5.7618772013501296E-4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801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659</v>
      </c>
      <c r="C95" s="599">
        <f t="shared" ref="C95:D101" si="10">IF(C$44=0,0,C25/C$44)</f>
        <v>0.20400514298261035</v>
      </c>
      <c r="D95" s="599">
        <f t="shared" si="10"/>
        <v>0.20499059681025797</v>
      </c>
      <c r="E95" s="599">
        <f t="shared" ref="E95:E103" si="11">D95-C95</f>
        <v>9.8545382764761436E-4</v>
      </c>
    </row>
    <row r="96" spans="1:5" s="421" customFormat="1" x14ac:dyDescent="0.2">
      <c r="A96" s="588">
        <v>2</v>
      </c>
      <c r="B96" s="587" t="s">
        <v>638</v>
      </c>
      <c r="C96" s="599">
        <f t="shared" si="10"/>
        <v>6.3904867412753594E-4</v>
      </c>
      <c r="D96" s="599">
        <f t="shared" si="10"/>
        <v>7.167760957408622E-4</v>
      </c>
      <c r="E96" s="599">
        <f t="shared" si="11"/>
        <v>7.7727421613326265E-5</v>
      </c>
    </row>
    <row r="97" spans="1:5" s="421" customFormat="1" x14ac:dyDescent="0.2">
      <c r="A97" s="588">
        <v>3</v>
      </c>
      <c r="B97" s="587" t="s">
        <v>780</v>
      </c>
      <c r="C97" s="599">
        <f t="shared" si="10"/>
        <v>0.20919476513538113</v>
      </c>
      <c r="D97" s="599">
        <f t="shared" si="10"/>
        <v>0.20821665939638334</v>
      </c>
      <c r="E97" s="599">
        <f t="shared" si="11"/>
        <v>-9.7810573899778652E-4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0.20919476513538113</v>
      </c>
      <c r="D98" s="599">
        <f t="shared" si="10"/>
        <v>0.20821665939638334</v>
      </c>
      <c r="E98" s="599">
        <f t="shared" si="11"/>
        <v>-9.7810573899778652E-4</v>
      </c>
    </row>
    <row r="99" spans="1:5" s="421" customFormat="1" x14ac:dyDescent="0.2">
      <c r="A99" s="588">
        <v>5</v>
      </c>
      <c r="B99" s="587" t="s">
        <v>746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2.5809368338396694E-3</v>
      </c>
      <c r="D100" s="599">
        <f t="shared" si="10"/>
        <v>3.072049043711513E-3</v>
      </c>
      <c r="E100" s="599">
        <f t="shared" si="11"/>
        <v>4.9111220987184357E-4</v>
      </c>
    </row>
    <row r="101" spans="1:5" s="421" customFormat="1" x14ac:dyDescent="0.2">
      <c r="A101" s="588">
        <v>7</v>
      </c>
      <c r="B101" s="587" t="s">
        <v>761</v>
      </c>
      <c r="C101" s="599">
        <f t="shared" si="10"/>
        <v>3.6721228526519511E-3</v>
      </c>
      <c r="D101" s="599">
        <f t="shared" si="10"/>
        <v>3.5241560233260447E-3</v>
      </c>
      <c r="E101" s="599">
        <f t="shared" si="11"/>
        <v>-1.4796682932590637E-4</v>
      </c>
    </row>
    <row r="102" spans="1:5" s="421" customFormat="1" x14ac:dyDescent="0.2">
      <c r="A102" s="588"/>
      <c r="B102" s="592" t="s">
        <v>802</v>
      </c>
      <c r="C102" s="600">
        <f>SUM(C96+C97+C100)</f>
        <v>0.21241475064334833</v>
      </c>
      <c r="D102" s="600">
        <f>SUM(D96+D97+D100)</f>
        <v>0.2120054845358357</v>
      </c>
      <c r="E102" s="601">
        <f t="shared" si="11"/>
        <v>-4.0926610751262915E-4</v>
      </c>
    </row>
    <row r="103" spans="1:5" s="421" customFormat="1" x14ac:dyDescent="0.2">
      <c r="A103" s="588"/>
      <c r="B103" s="592" t="s">
        <v>803</v>
      </c>
      <c r="C103" s="600">
        <f>SUM(C95+C102)</f>
        <v>0.41641989362595866</v>
      </c>
      <c r="D103" s="600">
        <f>SUM(D95+D102)</f>
        <v>0.41699608134609367</v>
      </c>
      <c r="E103" s="601">
        <f t="shared" si="11"/>
        <v>5.7618772013501296E-4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804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805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659</v>
      </c>
      <c r="C109" s="599">
        <f t="shared" ref="C109:D115" si="12">IF(C$77=0,0,C47/C$77)</f>
        <v>0.38398573468838604</v>
      </c>
      <c r="D109" s="599">
        <f t="shared" si="12"/>
        <v>0.35891334086733107</v>
      </c>
      <c r="E109" s="599">
        <f t="shared" ref="E109:E117" si="13">D109-C109</f>
        <v>-2.5072393821054972E-2</v>
      </c>
    </row>
    <row r="110" spans="1:5" s="421" customFormat="1" x14ac:dyDescent="0.2">
      <c r="A110" s="588">
        <v>2</v>
      </c>
      <c r="B110" s="587" t="s">
        <v>638</v>
      </c>
      <c r="C110" s="599">
        <f t="shared" si="12"/>
        <v>9.0101912136668974E-3</v>
      </c>
      <c r="D110" s="599">
        <f t="shared" si="12"/>
        <v>7.6864504684777254E-3</v>
      </c>
      <c r="E110" s="599">
        <f t="shared" si="13"/>
        <v>-1.323740745189172E-3</v>
      </c>
    </row>
    <row r="111" spans="1:5" s="421" customFormat="1" x14ac:dyDescent="0.2">
      <c r="A111" s="588">
        <v>3</v>
      </c>
      <c r="B111" s="587" t="s">
        <v>780</v>
      </c>
      <c r="C111" s="599">
        <f t="shared" si="12"/>
        <v>0.21350559900025132</v>
      </c>
      <c r="D111" s="599">
        <f t="shared" si="12"/>
        <v>0.2207667265065148</v>
      </c>
      <c r="E111" s="599">
        <f t="shared" si="13"/>
        <v>7.2611275062634817E-3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0.21350559900025132</v>
      </c>
      <c r="D112" s="599">
        <f t="shared" si="12"/>
        <v>0.2207667265065148</v>
      </c>
      <c r="E112" s="599">
        <f t="shared" si="13"/>
        <v>7.2611275062634817E-3</v>
      </c>
    </row>
    <row r="113" spans="1:5" s="421" customFormat="1" x14ac:dyDescent="0.2">
      <c r="A113" s="588">
        <v>5</v>
      </c>
      <c r="B113" s="587" t="s">
        <v>746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2.7653572612175211E-3</v>
      </c>
      <c r="D114" s="599">
        <f t="shared" si="12"/>
        <v>3.7309662901707538E-3</v>
      </c>
      <c r="E114" s="599">
        <f t="shared" si="13"/>
        <v>9.6560902895323269E-4</v>
      </c>
    </row>
    <row r="115" spans="1:5" s="421" customFormat="1" x14ac:dyDescent="0.2">
      <c r="A115" s="588">
        <v>7</v>
      </c>
      <c r="B115" s="587" t="s">
        <v>761</v>
      </c>
      <c r="C115" s="599">
        <f t="shared" si="12"/>
        <v>3.792038860052364E-4</v>
      </c>
      <c r="D115" s="599">
        <f t="shared" si="12"/>
        <v>4.4339719144594324E-4</v>
      </c>
      <c r="E115" s="599">
        <f t="shared" si="13"/>
        <v>6.4193305440706839E-5</v>
      </c>
    </row>
    <row r="116" spans="1:5" s="421" customFormat="1" x14ac:dyDescent="0.2">
      <c r="A116" s="588"/>
      <c r="B116" s="592" t="s">
        <v>799</v>
      </c>
      <c r="C116" s="600">
        <f>SUM(C110+C111+C114)</f>
        <v>0.22528114747513572</v>
      </c>
      <c r="D116" s="600">
        <f>SUM(D110+D111+D114)</f>
        <v>0.23218414326516326</v>
      </c>
      <c r="E116" s="601">
        <f t="shared" si="13"/>
        <v>6.9029957900275385E-3</v>
      </c>
    </row>
    <row r="117" spans="1:5" s="421" customFormat="1" x14ac:dyDescent="0.2">
      <c r="A117" s="588"/>
      <c r="B117" s="592" t="s">
        <v>800</v>
      </c>
      <c r="C117" s="600">
        <f>SUM(C109+C116)</f>
        <v>0.60926688216352176</v>
      </c>
      <c r="D117" s="600">
        <f>SUM(D109+D116)</f>
        <v>0.5910974841324943</v>
      </c>
      <c r="E117" s="601">
        <f t="shared" si="13"/>
        <v>-1.8169398031027462E-2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806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659</v>
      </c>
      <c r="C121" s="599">
        <f t="shared" ref="C121:D127" si="14">IF(C$77=0,0,C58/C$77)</f>
        <v>0.27672015535229189</v>
      </c>
      <c r="D121" s="599">
        <f t="shared" si="14"/>
        <v>0.28184810459343351</v>
      </c>
      <c r="E121" s="599">
        <f t="shared" ref="E121:E129" si="15">D121-C121</f>
        <v>5.1279492411416272E-3</v>
      </c>
    </row>
    <row r="122" spans="1:5" s="421" customFormat="1" x14ac:dyDescent="0.2">
      <c r="A122" s="588">
        <v>2</v>
      </c>
      <c r="B122" s="587" t="s">
        <v>638</v>
      </c>
      <c r="C122" s="599">
        <f t="shared" si="14"/>
        <v>2.4804952083131659E-3</v>
      </c>
      <c r="D122" s="599">
        <f t="shared" si="14"/>
        <v>3.8277935850693631E-3</v>
      </c>
      <c r="E122" s="599">
        <f t="shared" si="15"/>
        <v>1.3472983767561972E-3</v>
      </c>
    </row>
    <row r="123" spans="1:5" s="421" customFormat="1" x14ac:dyDescent="0.2">
      <c r="A123" s="588">
        <v>3</v>
      </c>
      <c r="B123" s="587" t="s">
        <v>780</v>
      </c>
      <c r="C123" s="599">
        <f t="shared" si="14"/>
        <v>0.10815687805319631</v>
      </c>
      <c r="D123" s="599">
        <f t="shared" si="14"/>
        <v>0.12034198741256674</v>
      </c>
      <c r="E123" s="599">
        <f t="shared" si="15"/>
        <v>1.2185109359370436E-2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0.10815687805319631</v>
      </c>
      <c r="D124" s="599">
        <f t="shared" si="14"/>
        <v>0.12034198741256674</v>
      </c>
      <c r="E124" s="599">
        <f t="shared" si="15"/>
        <v>1.2185109359370436E-2</v>
      </c>
    </row>
    <row r="125" spans="1:5" s="421" customFormat="1" x14ac:dyDescent="0.2">
      <c r="A125" s="588">
        <v>5</v>
      </c>
      <c r="B125" s="587" t="s">
        <v>746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3.3755892226769108E-3</v>
      </c>
      <c r="D126" s="599">
        <f t="shared" si="14"/>
        <v>2.8846302764360546E-3</v>
      </c>
      <c r="E126" s="599">
        <f t="shared" si="15"/>
        <v>-4.9095894624085618E-4</v>
      </c>
    </row>
    <row r="127" spans="1:5" s="421" customFormat="1" x14ac:dyDescent="0.2">
      <c r="A127" s="588">
        <v>7</v>
      </c>
      <c r="B127" s="587" t="s">
        <v>761</v>
      </c>
      <c r="C127" s="599">
        <f t="shared" si="14"/>
        <v>1.4360294019198029E-3</v>
      </c>
      <c r="D127" s="599">
        <f t="shared" si="14"/>
        <v>1.6768054694462349E-3</v>
      </c>
      <c r="E127" s="599">
        <f t="shared" si="15"/>
        <v>2.4077606752643198E-4</v>
      </c>
    </row>
    <row r="128" spans="1:5" s="421" customFormat="1" x14ac:dyDescent="0.2">
      <c r="A128" s="588"/>
      <c r="B128" s="592" t="s">
        <v>802</v>
      </c>
      <c r="C128" s="600">
        <f>SUM(C122+C123+C126)</f>
        <v>0.11401296248418639</v>
      </c>
      <c r="D128" s="600">
        <f>SUM(D122+D123+D126)</f>
        <v>0.12705441127407216</v>
      </c>
      <c r="E128" s="601">
        <f t="shared" si="15"/>
        <v>1.3041448789885765E-2</v>
      </c>
    </row>
    <row r="129" spans="1:5" s="421" customFormat="1" x14ac:dyDescent="0.2">
      <c r="A129" s="588"/>
      <c r="B129" s="592" t="s">
        <v>803</v>
      </c>
      <c r="C129" s="600">
        <f>SUM(C121+C128)</f>
        <v>0.39073311783647829</v>
      </c>
      <c r="D129" s="600">
        <f>SUM(D121+D128)</f>
        <v>0.4089025158675057</v>
      </c>
      <c r="E129" s="601">
        <f t="shared" si="15"/>
        <v>1.8169398031027406E-2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807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808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809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659</v>
      </c>
      <c r="C137" s="606">
        <v>2549</v>
      </c>
      <c r="D137" s="606">
        <v>2754</v>
      </c>
      <c r="E137" s="607">
        <f t="shared" ref="E137:E145" si="16">D137-C137</f>
        <v>205</v>
      </c>
    </row>
    <row r="138" spans="1:5" s="421" customFormat="1" x14ac:dyDescent="0.2">
      <c r="A138" s="588">
        <v>2</v>
      </c>
      <c r="B138" s="587" t="s">
        <v>638</v>
      </c>
      <c r="C138" s="606">
        <v>20</v>
      </c>
      <c r="D138" s="606">
        <v>11</v>
      </c>
      <c r="E138" s="607">
        <f t="shared" si="16"/>
        <v>-9</v>
      </c>
    </row>
    <row r="139" spans="1:5" s="421" customFormat="1" x14ac:dyDescent="0.2">
      <c r="A139" s="588">
        <v>3</v>
      </c>
      <c r="B139" s="587" t="s">
        <v>780</v>
      </c>
      <c r="C139" s="606">
        <f>C140+C141</f>
        <v>3430</v>
      </c>
      <c r="D139" s="606">
        <f>D140+D141</f>
        <v>3596</v>
      </c>
      <c r="E139" s="607">
        <f t="shared" si="16"/>
        <v>166</v>
      </c>
    </row>
    <row r="140" spans="1:5" s="421" customFormat="1" x14ac:dyDescent="0.2">
      <c r="A140" s="588">
        <v>4</v>
      </c>
      <c r="B140" s="587" t="s">
        <v>115</v>
      </c>
      <c r="C140" s="606">
        <v>3430</v>
      </c>
      <c r="D140" s="606">
        <v>3596</v>
      </c>
      <c r="E140" s="607">
        <f t="shared" si="16"/>
        <v>166</v>
      </c>
    </row>
    <row r="141" spans="1:5" s="421" customFormat="1" x14ac:dyDescent="0.2">
      <c r="A141" s="588">
        <v>5</v>
      </c>
      <c r="B141" s="587" t="s">
        <v>746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48</v>
      </c>
      <c r="D142" s="606">
        <v>55</v>
      </c>
      <c r="E142" s="607">
        <f t="shared" si="16"/>
        <v>7</v>
      </c>
    </row>
    <row r="143" spans="1:5" s="421" customFormat="1" x14ac:dyDescent="0.2">
      <c r="A143" s="588">
        <v>7</v>
      </c>
      <c r="B143" s="587" t="s">
        <v>761</v>
      </c>
      <c r="C143" s="606">
        <v>20</v>
      </c>
      <c r="D143" s="606">
        <v>33</v>
      </c>
      <c r="E143" s="607">
        <f t="shared" si="16"/>
        <v>13</v>
      </c>
    </row>
    <row r="144" spans="1:5" s="421" customFormat="1" x14ac:dyDescent="0.2">
      <c r="A144" s="588"/>
      <c r="B144" s="592" t="s">
        <v>810</v>
      </c>
      <c r="C144" s="608">
        <f>SUM(C138+C139+C142)</f>
        <v>3498</v>
      </c>
      <c r="D144" s="608">
        <f>SUM(D138+D139+D142)</f>
        <v>3662</v>
      </c>
      <c r="E144" s="609">
        <f t="shared" si="16"/>
        <v>164</v>
      </c>
    </row>
    <row r="145" spans="1:5" s="421" customFormat="1" x14ac:dyDescent="0.2">
      <c r="A145" s="588"/>
      <c r="B145" s="592" t="s">
        <v>138</v>
      </c>
      <c r="C145" s="608">
        <f>SUM(C137+C144)</f>
        <v>6047</v>
      </c>
      <c r="D145" s="608">
        <f>SUM(D137+D144)</f>
        <v>6416</v>
      </c>
      <c r="E145" s="609">
        <f t="shared" si="16"/>
        <v>369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659</v>
      </c>
      <c r="C149" s="610">
        <v>19318</v>
      </c>
      <c r="D149" s="610">
        <v>19277</v>
      </c>
      <c r="E149" s="607">
        <f t="shared" ref="E149:E157" si="17">D149-C149</f>
        <v>-41</v>
      </c>
    </row>
    <row r="150" spans="1:5" s="421" customFormat="1" x14ac:dyDescent="0.2">
      <c r="A150" s="588">
        <v>2</v>
      </c>
      <c r="B150" s="587" t="s">
        <v>638</v>
      </c>
      <c r="C150" s="610">
        <v>193</v>
      </c>
      <c r="D150" s="610">
        <v>121</v>
      </c>
      <c r="E150" s="607">
        <f t="shared" si="17"/>
        <v>-72</v>
      </c>
    </row>
    <row r="151" spans="1:5" s="421" customFormat="1" x14ac:dyDescent="0.2">
      <c r="A151" s="588">
        <v>3</v>
      </c>
      <c r="B151" s="587" t="s">
        <v>780</v>
      </c>
      <c r="C151" s="610">
        <f>C152+C153</f>
        <v>25146</v>
      </c>
      <c r="D151" s="610">
        <f>D152+D153</f>
        <v>24917</v>
      </c>
      <c r="E151" s="607">
        <f t="shared" si="17"/>
        <v>-229</v>
      </c>
    </row>
    <row r="152" spans="1:5" s="421" customFormat="1" x14ac:dyDescent="0.2">
      <c r="A152" s="588">
        <v>4</v>
      </c>
      <c r="B152" s="587" t="s">
        <v>115</v>
      </c>
      <c r="C152" s="610">
        <v>25146</v>
      </c>
      <c r="D152" s="610">
        <v>24917</v>
      </c>
      <c r="E152" s="607">
        <f t="shared" si="17"/>
        <v>-229</v>
      </c>
    </row>
    <row r="153" spans="1:5" s="421" customFormat="1" x14ac:dyDescent="0.2">
      <c r="A153" s="588">
        <v>5</v>
      </c>
      <c r="B153" s="587" t="s">
        <v>746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353</v>
      </c>
      <c r="D154" s="610">
        <v>389</v>
      </c>
      <c r="E154" s="607">
        <f t="shared" si="17"/>
        <v>36</v>
      </c>
    </row>
    <row r="155" spans="1:5" s="421" customFormat="1" x14ac:dyDescent="0.2">
      <c r="A155" s="588">
        <v>7</v>
      </c>
      <c r="B155" s="587" t="s">
        <v>761</v>
      </c>
      <c r="C155" s="610">
        <v>105</v>
      </c>
      <c r="D155" s="610">
        <v>129</v>
      </c>
      <c r="E155" s="607">
        <f t="shared" si="17"/>
        <v>24</v>
      </c>
    </row>
    <row r="156" spans="1:5" s="421" customFormat="1" x14ac:dyDescent="0.2">
      <c r="A156" s="588"/>
      <c r="B156" s="592" t="s">
        <v>811</v>
      </c>
      <c r="C156" s="608">
        <f>SUM(C150+C151+C154)</f>
        <v>25692</v>
      </c>
      <c r="D156" s="608">
        <f>SUM(D150+D151+D154)</f>
        <v>25427</v>
      </c>
      <c r="E156" s="609">
        <f t="shared" si="17"/>
        <v>-265</v>
      </c>
    </row>
    <row r="157" spans="1:5" s="421" customFormat="1" x14ac:dyDescent="0.2">
      <c r="A157" s="588"/>
      <c r="B157" s="592" t="s">
        <v>140</v>
      </c>
      <c r="C157" s="608">
        <f>SUM(C149+C156)</f>
        <v>45010</v>
      </c>
      <c r="D157" s="608">
        <f>SUM(D149+D156)</f>
        <v>44704</v>
      </c>
      <c r="E157" s="609">
        <f t="shared" si="17"/>
        <v>-306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812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659</v>
      </c>
      <c r="C161" s="612">
        <f t="shared" ref="C161:D169" si="18">IF(C137=0,0,C149/C137)</f>
        <v>7.5786582973715184</v>
      </c>
      <c r="D161" s="612">
        <f t="shared" si="18"/>
        <v>6.9996368917937541</v>
      </c>
      <c r="E161" s="613">
        <f t="shared" ref="E161:E169" si="19">D161-C161</f>
        <v>-0.57902140557776427</v>
      </c>
    </row>
    <row r="162" spans="1:5" s="421" customFormat="1" x14ac:dyDescent="0.2">
      <c r="A162" s="588">
        <v>2</v>
      </c>
      <c r="B162" s="587" t="s">
        <v>638</v>
      </c>
      <c r="C162" s="612">
        <f t="shared" si="18"/>
        <v>9.65</v>
      </c>
      <c r="D162" s="612">
        <f t="shared" si="18"/>
        <v>11</v>
      </c>
      <c r="E162" s="613">
        <f t="shared" si="19"/>
        <v>1.3499999999999996</v>
      </c>
    </row>
    <row r="163" spans="1:5" s="421" customFormat="1" x14ac:dyDescent="0.2">
      <c r="A163" s="588">
        <v>3</v>
      </c>
      <c r="B163" s="587" t="s">
        <v>780</v>
      </c>
      <c r="C163" s="612">
        <f t="shared" si="18"/>
        <v>7.3311953352769681</v>
      </c>
      <c r="D163" s="612">
        <f t="shared" si="18"/>
        <v>6.9290878754171299</v>
      </c>
      <c r="E163" s="613">
        <f t="shared" si="19"/>
        <v>-0.4021074598598382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7.3311953352769681</v>
      </c>
      <c r="D164" s="612">
        <f t="shared" si="18"/>
        <v>6.9290878754171299</v>
      </c>
      <c r="E164" s="613">
        <f t="shared" si="19"/>
        <v>-0.4021074598598382</v>
      </c>
    </row>
    <row r="165" spans="1:5" s="421" customFormat="1" x14ac:dyDescent="0.2">
      <c r="A165" s="588">
        <v>5</v>
      </c>
      <c r="B165" s="587" t="s">
        <v>746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7.354166666666667</v>
      </c>
      <c r="D166" s="612">
        <f t="shared" si="18"/>
        <v>7.0727272727272723</v>
      </c>
      <c r="E166" s="613">
        <f t="shared" si="19"/>
        <v>-0.28143939393939466</v>
      </c>
    </row>
    <row r="167" spans="1:5" s="421" customFormat="1" x14ac:dyDescent="0.2">
      <c r="A167" s="588">
        <v>7</v>
      </c>
      <c r="B167" s="587" t="s">
        <v>761</v>
      </c>
      <c r="C167" s="612">
        <f t="shared" si="18"/>
        <v>5.25</v>
      </c>
      <c r="D167" s="612">
        <f t="shared" si="18"/>
        <v>3.9090909090909092</v>
      </c>
      <c r="E167" s="613">
        <f t="shared" si="19"/>
        <v>-1.3409090909090908</v>
      </c>
    </row>
    <row r="168" spans="1:5" s="421" customFormat="1" x14ac:dyDescent="0.2">
      <c r="A168" s="588"/>
      <c r="B168" s="592" t="s">
        <v>813</v>
      </c>
      <c r="C168" s="614">
        <f t="shared" si="18"/>
        <v>7.3447684391080621</v>
      </c>
      <c r="D168" s="614">
        <f t="shared" si="18"/>
        <v>6.9434735117422175</v>
      </c>
      <c r="E168" s="615">
        <f t="shared" si="19"/>
        <v>-0.4012949273658446</v>
      </c>
    </row>
    <row r="169" spans="1:5" s="421" customFormat="1" x14ac:dyDescent="0.2">
      <c r="A169" s="588"/>
      <c r="B169" s="592" t="s">
        <v>747</v>
      </c>
      <c r="C169" s="614">
        <f t="shared" si="18"/>
        <v>7.443360343972218</v>
      </c>
      <c r="D169" s="614">
        <f t="shared" si="18"/>
        <v>6.9675810473815458</v>
      </c>
      <c r="E169" s="615">
        <f t="shared" si="19"/>
        <v>-0.4757792965906722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814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659</v>
      </c>
      <c r="C173" s="617">
        <f t="shared" ref="C173:D181" si="20">IF(C137=0,0,C203/C137)</f>
        <v>1.8513000000000002</v>
      </c>
      <c r="D173" s="617">
        <f t="shared" si="20"/>
        <v>1.79741</v>
      </c>
      <c r="E173" s="618">
        <f t="shared" ref="E173:E181" si="21">D173-C173</f>
        <v>-5.3890000000000216E-2</v>
      </c>
    </row>
    <row r="174" spans="1:5" s="421" customFormat="1" x14ac:dyDescent="0.2">
      <c r="A174" s="588">
        <v>2</v>
      </c>
      <c r="B174" s="587" t="s">
        <v>638</v>
      </c>
      <c r="C174" s="617">
        <f t="shared" si="20"/>
        <v>1.4275</v>
      </c>
      <c r="D174" s="617">
        <f t="shared" si="20"/>
        <v>2.0044</v>
      </c>
      <c r="E174" s="618">
        <f t="shared" si="21"/>
        <v>0.57689999999999997</v>
      </c>
    </row>
    <row r="175" spans="1:5" s="421" customFormat="1" x14ac:dyDescent="0.2">
      <c r="A175" s="588">
        <v>3</v>
      </c>
      <c r="B175" s="587" t="s">
        <v>780</v>
      </c>
      <c r="C175" s="617">
        <f t="shared" si="20"/>
        <v>1.6950000000000001</v>
      </c>
      <c r="D175" s="617">
        <f t="shared" si="20"/>
        <v>1.67357</v>
      </c>
      <c r="E175" s="618">
        <f t="shared" si="21"/>
        <v>-2.143000000000006E-2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1.6950000000000001</v>
      </c>
      <c r="D176" s="617">
        <f t="shared" si="20"/>
        <v>1.67357</v>
      </c>
      <c r="E176" s="618">
        <f t="shared" si="21"/>
        <v>-2.143000000000006E-2</v>
      </c>
    </row>
    <row r="177" spans="1:5" s="421" customFormat="1" x14ac:dyDescent="0.2">
      <c r="A177" s="588">
        <v>5</v>
      </c>
      <c r="B177" s="587" t="s">
        <v>746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1.6104000000000001</v>
      </c>
      <c r="D178" s="617">
        <f t="shared" si="20"/>
        <v>1.6052</v>
      </c>
      <c r="E178" s="618">
        <f t="shared" si="21"/>
        <v>-5.2000000000000934E-3</v>
      </c>
    </row>
    <row r="179" spans="1:5" s="421" customFormat="1" x14ac:dyDescent="0.2">
      <c r="A179" s="588">
        <v>7</v>
      </c>
      <c r="B179" s="587" t="s">
        <v>761</v>
      </c>
      <c r="C179" s="617">
        <f t="shared" si="20"/>
        <v>1.4956</v>
      </c>
      <c r="D179" s="617">
        <f t="shared" si="20"/>
        <v>1.4678</v>
      </c>
      <c r="E179" s="618">
        <f t="shared" si="21"/>
        <v>-2.7800000000000047E-2</v>
      </c>
    </row>
    <row r="180" spans="1:5" s="421" customFormat="1" x14ac:dyDescent="0.2">
      <c r="A180" s="588"/>
      <c r="B180" s="592" t="s">
        <v>815</v>
      </c>
      <c r="C180" s="619">
        <f t="shared" si="20"/>
        <v>1.6923096626643799</v>
      </c>
      <c r="D180" s="619">
        <f t="shared" si="20"/>
        <v>1.6735368978700162</v>
      </c>
      <c r="E180" s="620">
        <f t="shared" si="21"/>
        <v>-1.8772764794363628E-2</v>
      </c>
    </row>
    <row r="181" spans="1:5" s="421" customFormat="1" x14ac:dyDescent="0.2">
      <c r="A181" s="588"/>
      <c r="B181" s="592" t="s">
        <v>726</v>
      </c>
      <c r="C181" s="619">
        <f t="shared" si="20"/>
        <v>1.7593290722672401</v>
      </c>
      <c r="D181" s="619">
        <f t="shared" si="20"/>
        <v>1.7267081140897755</v>
      </c>
      <c r="E181" s="620">
        <f t="shared" si="21"/>
        <v>-3.2620958177464576E-2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816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817</v>
      </c>
      <c r="C185" s="589">
        <v>303509876</v>
      </c>
      <c r="D185" s="589">
        <v>332295098</v>
      </c>
      <c r="E185" s="590">
        <f>D185-C185</f>
        <v>28785222</v>
      </c>
    </row>
    <row r="186" spans="1:5" s="421" customFormat="1" ht="25.5" x14ac:dyDescent="0.2">
      <c r="A186" s="588">
        <v>2</v>
      </c>
      <c r="B186" s="587" t="s">
        <v>818</v>
      </c>
      <c r="C186" s="589">
        <v>178437548</v>
      </c>
      <c r="D186" s="589">
        <v>193025176</v>
      </c>
      <c r="E186" s="590">
        <f>D186-C186</f>
        <v>14587628</v>
      </c>
    </row>
    <row r="187" spans="1:5" s="421" customFormat="1" x14ac:dyDescent="0.2">
      <c r="A187" s="588"/>
      <c r="B187" s="587" t="s">
        <v>671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750</v>
      </c>
      <c r="C188" s="622">
        <f>+C185-C186</f>
        <v>125072328</v>
      </c>
      <c r="D188" s="622">
        <f>+D185-D186</f>
        <v>139269922</v>
      </c>
      <c r="E188" s="590">
        <f t="shared" ref="E188:E197" si="22">D188-C188</f>
        <v>14197594</v>
      </c>
    </row>
    <row r="189" spans="1:5" s="421" customFormat="1" x14ac:dyDescent="0.2">
      <c r="A189" s="588">
        <v>4</v>
      </c>
      <c r="B189" s="587" t="s">
        <v>673</v>
      </c>
      <c r="C189" s="623">
        <f>IF(C185=0,0,+C188/C185)</f>
        <v>0.41208651806770202</v>
      </c>
      <c r="D189" s="623">
        <f>IF(D185=0,0,+D188/D185)</f>
        <v>0.41911518658635161</v>
      </c>
      <c r="E189" s="599">
        <f t="shared" si="22"/>
        <v>7.0286685186495834E-3</v>
      </c>
    </row>
    <row r="190" spans="1:5" s="421" customFormat="1" x14ac:dyDescent="0.2">
      <c r="A190" s="588">
        <v>5</v>
      </c>
      <c r="B190" s="587" t="s">
        <v>765</v>
      </c>
      <c r="C190" s="589">
        <v>920780</v>
      </c>
      <c r="D190" s="589">
        <v>809310</v>
      </c>
      <c r="E190" s="622">
        <f t="shared" si="22"/>
        <v>-111470</v>
      </c>
    </row>
    <row r="191" spans="1:5" s="421" customFormat="1" x14ac:dyDescent="0.2">
      <c r="A191" s="588">
        <v>6</v>
      </c>
      <c r="B191" s="587" t="s">
        <v>751</v>
      </c>
      <c r="C191" s="589">
        <v>523675</v>
      </c>
      <c r="D191" s="589">
        <v>242329</v>
      </c>
      <c r="E191" s="622">
        <f t="shared" si="22"/>
        <v>-281346</v>
      </c>
    </row>
    <row r="192" spans="1:5" ht="29.25" x14ac:dyDescent="0.2">
      <c r="A192" s="588">
        <v>7</v>
      </c>
      <c r="B192" s="624" t="s">
        <v>819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820</v>
      </c>
      <c r="C193" s="589">
        <v>1893788</v>
      </c>
      <c r="D193" s="589">
        <v>2097657</v>
      </c>
      <c r="E193" s="622">
        <f t="shared" si="22"/>
        <v>203869</v>
      </c>
    </row>
    <row r="194" spans="1:5" s="421" customFormat="1" x14ac:dyDescent="0.2">
      <c r="A194" s="588">
        <v>9</v>
      </c>
      <c r="B194" s="587" t="s">
        <v>821</v>
      </c>
      <c r="C194" s="589">
        <v>852481</v>
      </c>
      <c r="D194" s="589">
        <v>1605446</v>
      </c>
      <c r="E194" s="622">
        <f t="shared" si="22"/>
        <v>752965</v>
      </c>
    </row>
    <row r="195" spans="1:5" s="421" customFormat="1" x14ac:dyDescent="0.2">
      <c r="A195" s="588">
        <v>10</v>
      </c>
      <c r="B195" s="587" t="s">
        <v>822</v>
      </c>
      <c r="C195" s="589">
        <f>+C193+C194</f>
        <v>2746269</v>
      </c>
      <c r="D195" s="589">
        <f>+D193+D194</f>
        <v>3703103</v>
      </c>
      <c r="E195" s="625">
        <f t="shared" si="22"/>
        <v>956834</v>
      </c>
    </row>
    <row r="196" spans="1:5" s="421" customFormat="1" x14ac:dyDescent="0.2">
      <c r="A196" s="588">
        <v>11</v>
      </c>
      <c r="B196" s="587" t="s">
        <v>823</v>
      </c>
      <c r="C196" s="589">
        <v>44142342</v>
      </c>
      <c r="D196" s="589">
        <v>43377255</v>
      </c>
      <c r="E196" s="622">
        <f t="shared" si="22"/>
        <v>-765087</v>
      </c>
    </row>
    <row r="197" spans="1:5" s="421" customFormat="1" x14ac:dyDescent="0.2">
      <c r="A197" s="588">
        <v>12</v>
      </c>
      <c r="B197" s="587" t="s">
        <v>713</v>
      </c>
      <c r="C197" s="589">
        <v>288197545</v>
      </c>
      <c r="D197" s="589">
        <v>302746868</v>
      </c>
      <c r="E197" s="622">
        <f t="shared" si="22"/>
        <v>14549323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824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825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659</v>
      </c>
      <c r="C203" s="629">
        <v>4718.9637000000002</v>
      </c>
      <c r="D203" s="629">
        <v>4950.0671400000001</v>
      </c>
      <c r="E203" s="630">
        <f t="shared" ref="E203:E211" si="23">D203-C203</f>
        <v>231.10343999999986</v>
      </c>
    </row>
    <row r="204" spans="1:5" s="421" customFormat="1" x14ac:dyDescent="0.2">
      <c r="A204" s="588">
        <v>2</v>
      </c>
      <c r="B204" s="587" t="s">
        <v>638</v>
      </c>
      <c r="C204" s="629">
        <v>28.55</v>
      </c>
      <c r="D204" s="629">
        <v>22.048400000000001</v>
      </c>
      <c r="E204" s="630">
        <f t="shared" si="23"/>
        <v>-6.5015999999999998</v>
      </c>
    </row>
    <row r="205" spans="1:5" s="421" customFormat="1" x14ac:dyDescent="0.2">
      <c r="A205" s="588">
        <v>3</v>
      </c>
      <c r="B205" s="587" t="s">
        <v>780</v>
      </c>
      <c r="C205" s="629">
        <f>C206+C207</f>
        <v>5813.85</v>
      </c>
      <c r="D205" s="629">
        <f>D206+D207</f>
        <v>6018.1577200000002</v>
      </c>
      <c r="E205" s="630">
        <f t="shared" si="23"/>
        <v>204.30771999999979</v>
      </c>
    </row>
    <row r="206" spans="1:5" s="421" customFormat="1" x14ac:dyDescent="0.2">
      <c r="A206" s="588">
        <v>4</v>
      </c>
      <c r="B206" s="587" t="s">
        <v>115</v>
      </c>
      <c r="C206" s="629">
        <v>5813.85</v>
      </c>
      <c r="D206" s="629">
        <v>6018.1577200000002</v>
      </c>
      <c r="E206" s="630">
        <f t="shared" si="23"/>
        <v>204.30771999999979</v>
      </c>
    </row>
    <row r="207" spans="1:5" s="421" customFormat="1" x14ac:dyDescent="0.2">
      <c r="A207" s="588">
        <v>5</v>
      </c>
      <c r="B207" s="587" t="s">
        <v>746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77.299199999999999</v>
      </c>
      <c r="D208" s="629">
        <v>88.286000000000001</v>
      </c>
      <c r="E208" s="630">
        <f t="shared" si="23"/>
        <v>10.986800000000002</v>
      </c>
    </row>
    <row r="209" spans="1:5" s="421" customFormat="1" x14ac:dyDescent="0.2">
      <c r="A209" s="588">
        <v>7</v>
      </c>
      <c r="B209" s="587" t="s">
        <v>761</v>
      </c>
      <c r="C209" s="629">
        <v>29.911999999999999</v>
      </c>
      <c r="D209" s="629">
        <v>48.437399999999997</v>
      </c>
      <c r="E209" s="630">
        <f t="shared" si="23"/>
        <v>18.525399999999998</v>
      </c>
    </row>
    <row r="210" spans="1:5" s="421" customFormat="1" x14ac:dyDescent="0.2">
      <c r="A210" s="588"/>
      <c r="B210" s="592" t="s">
        <v>826</v>
      </c>
      <c r="C210" s="631">
        <f>C204+C205+C208</f>
        <v>5919.6992000000009</v>
      </c>
      <c r="D210" s="631">
        <f>D204+D205+D208</f>
        <v>6128.4921199999999</v>
      </c>
      <c r="E210" s="632">
        <f t="shared" si="23"/>
        <v>208.79291999999896</v>
      </c>
    </row>
    <row r="211" spans="1:5" s="421" customFormat="1" x14ac:dyDescent="0.2">
      <c r="A211" s="588"/>
      <c r="B211" s="592" t="s">
        <v>727</v>
      </c>
      <c r="C211" s="631">
        <f>C210+C203</f>
        <v>10638.662900000001</v>
      </c>
      <c r="D211" s="631">
        <f>D210+D203</f>
        <v>11078.55926</v>
      </c>
      <c r="E211" s="632">
        <f t="shared" si="23"/>
        <v>439.89635999999882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827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659</v>
      </c>
      <c r="C215" s="633">
        <f>IF(C14*C137=0,0,C25/C14*C137)</f>
        <v>2078.5469849309757</v>
      </c>
      <c r="D215" s="633">
        <f>IF(D14*D137=0,0,D25/D14*D137)</f>
        <v>2234.563418259117</v>
      </c>
      <c r="E215" s="633">
        <f t="shared" ref="E215:E223" si="24">D215-C215</f>
        <v>156.01643332814137</v>
      </c>
    </row>
    <row r="216" spans="1:5" s="421" customFormat="1" x14ac:dyDescent="0.2">
      <c r="A216" s="588">
        <v>2</v>
      </c>
      <c r="B216" s="587" t="s">
        <v>638</v>
      </c>
      <c r="C216" s="633">
        <f>IF(C15*C138=0,0,C26/C15*C138)</f>
        <v>5.0290552694876975</v>
      </c>
      <c r="D216" s="633">
        <f>IF(D15*D138=0,0,D26/D15*D138)</f>
        <v>5.1024245211383592</v>
      </c>
      <c r="E216" s="633">
        <f t="shared" si="24"/>
        <v>7.336925165066166E-2</v>
      </c>
    </row>
    <row r="217" spans="1:5" s="421" customFormat="1" x14ac:dyDescent="0.2">
      <c r="A217" s="588">
        <v>3</v>
      </c>
      <c r="B217" s="587" t="s">
        <v>780</v>
      </c>
      <c r="C217" s="633">
        <f>C218+C219</f>
        <v>2199.0691658835308</v>
      </c>
      <c r="D217" s="633">
        <f>D218+D219</f>
        <v>2311.5722108079717</v>
      </c>
      <c r="E217" s="633">
        <f t="shared" si="24"/>
        <v>112.50304492444093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2199.0691658835308</v>
      </c>
      <c r="D218" s="633">
        <f t="shared" si="25"/>
        <v>2311.5722108079717</v>
      </c>
      <c r="E218" s="633">
        <f t="shared" si="24"/>
        <v>112.50304492444093</v>
      </c>
    </row>
    <row r="219" spans="1:5" s="421" customFormat="1" x14ac:dyDescent="0.2">
      <c r="A219" s="588">
        <v>5</v>
      </c>
      <c r="B219" s="587" t="s">
        <v>746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27.12123700924402</v>
      </c>
      <c r="D220" s="633">
        <f t="shared" si="25"/>
        <v>34.451343563886297</v>
      </c>
      <c r="E220" s="633">
        <f t="shared" si="24"/>
        <v>7.3301065546422777</v>
      </c>
    </row>
    <row r="221" spans="1:5" s="421" customFormat="1" x14ac:dyDescent="0.2">
      <c r="A221" s="588">
        <v>7</v>
      </c>
      <c r="B221" s="587" t="s">
        <v>761</v>
      </c>
      <c r="C221" s="633">
        <f t="shared" si="25"/>
        <v>54.855869288701804</v>
      </c>
      <c r="D221" s="633">
        <f t="shared" si="25"/>
        <v>73.085733449884458</v>
      </c>
      <c r="E221" s="633">
        <f t="shared" si="24"/>
        <v>18.229864161182654</v>
      </c>
    </row>
    <row r="222" spans="1:5" s="421" customFormat="1" x14ac:dyDescent="0.2">
      <c r="A222" s="588"/>
      <c r="B222" s="592" t="s">
        <v>828</v>
      </c>
      <c r="C222" s="634">
        <f>C216+C218+C219+C220</f>
        <v>2231.2194581622625</v>
      </c>
      <c r="D222" s="634">
        <f>D216+D218+D219+D220</f>
        <v>2351.1259788929965</v>
      </c>
      <c r="E222" s="634">
        <f t="shared" si="24"/>
        <v>119.90652073073397</v>
      </c>
    </row>
    <row r="223" spans="1:5" s="421" customFormat="1" x14ac:dyDescent="0.2">
      <c r="A223" s="588"/>
      <c r="B223" s="592" t="s">
        <v>829</v>
      </c>
      <c r="C223" s="634">
        <f>C215+C222</f>
        <v>4309.7664430932382</v>
      </c>
      <c r="D223" s="634">
        <f>D215+D222</f>
        <v>4585.6893971521131</v>
      </c>
      <c r="E223" s="634">
        <f t="shared" si="24"/>
        <v>275.92295405887489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830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659</v>
      </c>
      <c r="C227" s="636">
        <f t="shared" ref="C227:D235" si="26">IF(C203=0,0,C47/C203)</f>
        <v>21975.892503686773</v>
      </c>
      <c r="D227" s="636">
        <f t="shared" si="26"/>
        <v>21423.15306050576</v>
      </c>
      <c r="E227" s="636">
        <f t="shared" ref="E227:E235" si="27">D227-C227</f>
        <v>-552.73944318101348</v>
      </c>
    </row>
    <row r="228" spans="1:5" s="421" customFormat="1" x14ac:dyDescent="0.2">
      <c r="A228" s="588">
        <v>2</v>
      </c>
      <c r="B228" s="587" t="s">
        <v>638</v>
      </c>
      <c r="C228" s="636">
        <f t="shared" si="26"/>
        <v>85232.644483362514</v>
      </c>
      <c r="D228" s="636">
        <f t="shared" si="26"/>
        <v>103003.89143883456</v>
      </c>
      <c r="E228" s="636">
        <f t="shared" si="27"/>
        <v>17771.246955472045</v>
      </c>
    </row>
    <row r="229" spans="1:5" s="421" customFormat="1" x14ac:dyDescent="0.2">
      <c r="A229" s="588">
        <v>3</v>
      </c>
      <c r="B229" s="587" t="s">
        <v>780</v>
      </c>
      <c r="C229" s="636">
        <f t="shared" si="26"/>
        <v>9917.986532160272</v>
      </c>
      <c r="D229" s="636">
        <f t="shared" si="26"/>
        <v>10838.643491051611</v>
      </c>
      <c r="E229" s="636">
        <f t="shared" si="27"/>
        <v>920.65695889133895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9917.986532160272</v>
      </c>
      <c r="D230" s="636">
        <f t="shared" si="26"/>
        <v>10838.643491051611</v>
      </c>
      <c r="E230" s="636">
        <f t="shared" si="27"/>
        <v>920.65695889133895</v>
      </c>
    </row>
    <row r="231" spans="1:5" s="421" customFormat="1" x14ac:dyDescent="0.2">
      <c r="A231" s="588">
        <v>5</v>
      </c>
      <c r="B231" s="587" t="s">
        <v>746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9661.7170682232154</v>
      </c>
      <c r="D232" s="636">
        <f t="shared" si="26"/>
        <v>12486.317196384478</v>
      </c>
      <c r="E232" s="636">
        <f t="shared" si="27"/>
        <v>2824.6001281612625</v>
      </c>
    </row>
    <row r="233" spans="1:5" s="421" customFormat="1" x14ac:dyDescent="0.2">
      <c r="A233" s="588">
        <v>7</v>
      </c>
      <c r="B233" s="587" t="s">
        <v>761</v>
      </c>
      <c r="C233" s="636">
        <f t="shared" si="26"/>
        <v>3423.7764108050283</v>
      </c>
      <c r="D233" s="636">
        <f t="shared" si="26"/>
        <v>2704.6868741922567</v>
      </c>
      <c r="E233" s="636">
        <f t="shared" si="27"/>
        <v>-719.08953661277155</v>
      </c>
    </row>
    <row r="234" spans="1:5" x14ac:dyDescent="0.2">
      <c r="A234" s="588"/>
      <c r="B234" s="592" t="s">
        <v>831</v>
      </c>
      <c r="C234" s="637">
        <f t="shared" si="26"/>
        <v>10277.873747368783</v>
      </c>
      <c r="D234" s="637">
        <f t="shared" si="26"/>
        <v>11193.961362228201</v>
      </c>
      <c r="E234" s="637">
        <f t="shared" si="27"/>
        <v>916.08761485941795</v>
      </c>
    </row>
    <row r="235" spans="1:5" s="421" customFormat="1" x14ac:dyDescent="0.2">
      <c r="A235" s="588"/>
      <c r="B235" s="592" t="s">
        <v>832</v>
      </c>
      <c r="C235" s="637">
        <f t="shared" si="26"/>
        <v>15466.73313617259</v>
      </c>
      <c r="D235" s="637">
        <f t="shared" si="26"/>
        <v>15764.518282677851</v>
      </c>
      <c r="E235" s="637">
        <f t="shared" si="27"/>
        <v>297.78514650526085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833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659</v>
      </c>
      <c r="C239" s="636">
        <f t="shared" ref="C239:D247" si="28">IF(C215=0,0,C58/C215)</f>
        <v>35954.976982385495</v>
      </c>
      <c r="D239" s="636">
        <f t="shared" si="28"/>
        <v>37267.247069173769</v>
      </c>
      <c r="E239" s="638">
        <f t="shared" ref="E239:E247" si="29">D239-C239</f>
        <v>1312.2700867882741</v>
      </c>
    </row>
    <row r="240" spans="1:5" s="421" customFormat="1" x14ac:dyDescent="0.2">
      <c r="A240" s="588">
        <v>2</v>
      </c>
      <c r="B240" s="587" t="s">
        <v>638</v>
      </c>
      <c r="C240" s="636">
        <f t="shared" si="28"/>
        <v>133207.9215880725</v>
      </c>
      <c r="D240" s="636">
        <f t="shared" si="28"/>
        <v>221654.62621045837</v>
      </c>
      <c r="E240" s="638">
        <f t="shared" si="29"/>
        <v>88446.704622385878</v>
      </c>
    </row>
    <row r="241" spans="1:5" x14ac:dyDescent="0.2">
      <c r="A241" s="588">
        <v>3</v>
      </c>
      <c r="B241" s="587" t="s">
        <v>780</v>
      </c>
      <c r="C241" s="636">
        <f t="shared" si="28"/>
        <v>13282.912812914703</v>
      </c>
      <c r="D241" s="636">
        <f t="shared" si="28"/>
        <v>15382.063270077004</v>
      </c>
      <c r="E241" s="638">
        <f t="shared" si="29"/>
        <v>2099.1504571623009</v>
      </c>
    </row>
    <row r="242" spans="1:5" x14ac:dyDescent="0.2">
      <c r="A242" s="588">
        <v>4</v>
      </c>
      <c r="B242" s="587" t="s">
        <v>115</v>
      </c>
      <c r="C242" s="636">
        <f t="shared" si="28"/>
        <v>13282.912812914703</v>
      </c>
      <c r="D242" s="636">
        <f t="shared" si="28"/>
        <v>15382.063270077004</v>
      </c>
      <c r="E242" s="638">
        <f t="shared" si="29"/>
        <v>2099.1504571623009</v>
      </c>
    </row>
    <row r="243" spans="1:5" x14ac:dyDescent="0.2">
      <c r="A243" s="588">
        <v>5</v>
      </c>
      <c r="B243" s="587" t="s">
        <v>746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33613.842896962</v>
      </c>
      <c r="D244" s="636">
        <f t="shared" si="28"/>
        <v>24739.383484986367</v>
      </c>
      <c r="E244" s="638">
        <f t="shared" si="29"/>
        <v>-8874.459411975633</v>
      </c>
    </row>
    <row r="245" spans="1:5" x14ac:dyDescent="0.2">
      <c r="A245" s="588">
        <v>7</v>
      </c>
      <c r="B245" s="587" t="s">
        <v>761</v>
      </c>
      <c r="C245" s="636">
        <f t="shared" si="28"/>
        <v>7069.9818456778703</v>
      </c>
      <c r="D245" s="636">
        <f t="shared" si="28"/>
        <v>6778.8332498534055</v>
      </c>
      <c r="E245" s="638">
        <f t="shared" si="29"/>
        <v>-291.14859582446479</v>
      </c>
    </row>
    <row r="246" spans="1:5" ht="25.5" x14ac:dyDescent="0.2">
      <c r="A246" s="588"/>
      <c r="B246" s="592" t="s">
        <v>834</v>
      </c>
      <c r="C246" s="637">
        <f t="shared" si="28"/>
        <v>13800.347109450819</v>
      </c>
      <c r="D246" s="637">
        <f t="shared" si="28"/>
        <v>15966.830929950993</v>
      </c>
      <c r="E246" s="639">
        <f t="shared" si="29"/>
        <v>2166.4838205001743</v>
      </c>
    </row>
    <row r="247" spans="1:5" x14ac:dyDescent="0.2">
      <c r="A247" s="588"/>
      <c r="B247" s="592" t="s">
        <v>835</v>
      </c>
      <c r="C247" s="637">
        <f t="shared" si="28"/>
        <v>24485.250742325909</v>
      </c>
      <c r="D247" s="637">
        <f t="shared" si="28"/>
        <v>26346.323864636655</v>
      </c>
      <c r="E247" s="639">
        <f t="shared" si="29"/>
        <v>1861.0731223107468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763</v>
      </c>
      <c r="B249" s="626" t="s">
        <v>760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263723389.01576138</v>
      </c>
      <c r="D251" s="622">
        <f>((IF((IF(D15=0,0,D26/D15)*D138)=0,0,D59/(IF(D15=0,0,D26/D15)*D138)))-(IF((IF(D17=0,0,D28/D17)*D140)=0,0,D61/(IF(D17=0,0,D28/D17)*D140))))*(IF(D17=0,0,D28/D17)*D140)</f>
        <v>476813924.34512389</v>
      </c>
      <c r="E251" s="622">
        <f>D251-C251</f>
        <v>213090535.32936251</v>
      </c>
    </row>
    <row r="252" spans="1:5" x14ac:dyDescent="0.2">
      <c r="A252" s="588">
        <v>2</v>
      </c>
      <c r="B252" s="587" t="s">
        <v>746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761</v>
      </c>
      <c r="C253" s="622">
        <f>IF(C233=0,0,(C228-C233)*C209+IF(C221=0,0,(C240-C245)*C221))</f>
        <v>9366473.1966412831</v>
      </c>
      <c r="D253" s="622">
        <f>IF(D233=0,0,(D228-D233)*D209+IF(D221=0,0,(D240-D245)*D221))</f>
        <v>20562587.62033074</v>
      </c>
      <c r="E253" s="622">
        <f>D253-C253</f>
        <v>11196114.423689457</v>
      </c>
    </row>
    <row r="254" spans="1:5" ht="15" customHeight="1" x14ac:dyDescent="0.2">
      <c r="A254" s="588"/>
      <c r="B254" s="592" t="s">
        <v>762</v>
      </c>
      <c r="C254" s="640">
        <f>+C251+C252+C253</f>
        <v>273089862.21240264</v>
      </c>
      <c r="D254" s="640">
        <f>+D251+D252+D253</f>
        <v>497376511.96545464</v>
      </c>
      <c r="E254" s="640">
        <f>D254-C254</f>
        <v>224286649.753052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836</v>
      </c>
      <c r="B256" s="626" t="s">
        <v>837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728</v>
      </c>
      <c r="C258" s="622">
        <f>+C44</f>
        <v>668252697</v>
      </c>
      <c r="D258" s="625">
        <f>+D44</f>
        <v>726117965</v>
      </c>
      <c r="E258" s="622">
        <f t="shared" ref="E258:E271" si="30">D258-C258</f>
        <v>57865268</v>
      </c>
    </row>
    <row r="259" spans="1:5" x14ac:dyDescent="0.2">
      <c r="A259" s="588">
        <v>2</v>
      </c>
      <c r="B259" s="587" t="s">
        <v>745</v>
      </c>
      <c r="C259" s="622">
        <f>+(C43-C76)</f>
        <v>273109297</v>
      </c>
      <c r="D259" s="625">
        <f>+(D43-D76)</f>
        <v>287680732</v>
      </c>
      <c r="E259" s="622">
        <f t="shared" si="30"/>
        <v>14571435</v>
      </c>
    </row>
    <row r="260" spans="1:5" x14ac:dyDescent="0.2">
      <c r="A260" s="588">
        <v>3</v>
      </c>
      <c r="B260" s="587" t="s">
        <v>749</v>
      </c>
      <c r="C260" s="622">
        <f>C195</f>
        <v>2746269</v>
      </c>
      <c r="D260" s="622">
        <f>D195</f>
        <v>3703103</v>
      </c>
      <c r="E260" s="622">
        <f t="shared" si="30"/>
        <v>956834</v>
      </c>
    </row>
    <row r="261" spans="1:5" x14ac:dyDescent="0.2">
      <c r="A261" s="588">
        <v>4</v>
      </c>
      <c r="B261" s="587" t="s">
        <v>750</v>
      </c>
      <c r="C261" s="622">
        <f>C188</f>
        <v>125072328</v>
      </c>
      <c r="D261" s="622">
        <f>D188</f>
        <v>139269922</v>
      </c>
      <c r="E261" s="622">
        <f t="shared" si="30"/>
        <v>14197594</v>
      </c>
    </row>
    <row r="262" spans="1:5" x14ac:dyDescent="0.2">
      <c r="A262" s="588">
        <v>5</v>
      </c>
      <c r="B262" s="587" t="s">
        <v>751</v>
      </c>
      <c r="C262" s="622">
        <f>C191</f>
        <v>523675</v>
      </c>
      <c r="D262" s="622">
        <f>D191</f>
        <v>242329</v>
      </c>
      <c r="E262" s="622">
        <f t="shared" si="30"/>
        <v>-281346</v>
      </c>
    </row>
    <row r="263" spans="1:5" x14ac:dyDescent="0.2">
      <c r="A263" s="588">
        <v>6</v>
      </c>
      <c r="B263" s="587" t="s">
        <v>752</v>
      </c>
      <c r="C263" s="622">
        <f>+C259+C260+C261+C262</f>
        <v>401451569</v>
      </c>
      <c r="D263" s="622">
        <f>+D259+D260+D261+D262</f>
        <v>430896086</v>
      </c>
      <c r="E263" s="622">
        <f t="shared" si="30"/>
        <v>29444517</v>
      </c>
    </row>
    <row r="264" spans="1:5" x14ac:dyDescent="0.2">
      <c r="A264" s="588">
        <v>7</v>
      </c>
      <c r="B264" s="587" t="s">
        <v>657</v>
      </c>
      <c r="C264" s="622">
        <f>+C258-C263</f>
        <v>266801128</v>
      </c>
      <c r="D264" s="622">
        <f>+D258-D263</f>
        <v>295221879</v>
      </c>
      <c r="E264" s="622">
        <f t="shared" si="30"/>
        <v>28420751</v>
      </c>
    </row>
    <row r="265" spans="1:5" x14ac:dyDescent="0.2">
      <c r="A265" s="588">
        <v>8</v>
      </c>
      <c r="B265" s="587" t="s">
        <v>838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839</v>
      </c>
      <c r="C266" s="622">
        <f>+C264+C265</f>
        <v>266801128</v>
      </c>
      <c r="D266" s="622">
        <f>+D264+D265</f>
        <v>295221879</v>
      </c>
      <c r="E266" s="641">
        <f t="shared" si="30"/>
        <v>28420751</v>
      </c>
    </row>
    <row r="267" spans="1:5" x14ac:dyDescent="0.2">
      <c r="A267" s="588">
        <v>10</v>
      </c>
      <c r="B267" s="587" t="s">
        <v>840</v>
      </c>
      <c r="C267" s="642">
        <f>IF(C258=0,0,C266/C258)</f>
        <v>0.39925185367414984</v>
      </c>
      <c r="D267" s="642">
        <f>IF(D258=0,0,D266/D258)</f>
        <v>0.4065756436696894</v>
      </c>
      <c r="E267" s="643">
        <f t="shared" si="30"/>
        <v>7.3237899955395647E-3</v>
      </c>
    </row>
    <row r="268" spans="1:5" x14ac:dyDescent="0.2">
      <c r="A268" s="588">
        <v>11</v>
      </c>
      <c r="B268" s="587" t="s">
        <v>719</v>
      </c>
      <c r="C268" s="622">
        <f>+C260*C267</f>
        <v>1096452.9889378538</v>
      </c>
      <c r="D268" s="644">
        <f>+D260*D267</f>
        <v>1505591.4858001578</v>
      </c>
      <c r="E268" s="622">
        <f t="shared" si="30"/>
        <v>409138.49686230393</v>
      </c>
    </row>
    <row r="269" spans="1:5" x14ac:dyDescent="0.2">
      <c r="A269" s="588">
        <v>12</v>
      </c>
      <c r="B269" s="587" t="s">
        <v>841</v>
      </c>
      <c r="C269" s="622">
        <f>((C17+C18+C28+C29)*C267)-(C50+C51+C61+C62)</f>
        <v>55996666.307032377</v>
      </c>
      <c r="D269" s="644">
        <f>((D17+D18+D28+D29)*D267)-(D50+D51+D61+D62)</f>
        <v>56310750.917637676</v>
      </c>
      <c r="E269" s="622">
        <f t="shared" si="30"/>
        <v>314084.61060529947</v>
      </c>
    </row>
    <row r="270" spans="1:5" s="648" customFormat="1" x14ac:dyDescent="0.2">
      <c r="A270" s="645">
        <v>13</v>
      </c>
      <c r="B270" s="646" t="s">
        <v>842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843</v>
      </c>
      <c r="C271" s="622">
        <f>+C268+C269+C270</f>
        <v>57093119.295970231</v>
      </c>
      <c r="D271" s="622">
        <f>+D268+D269+D270</f>
        <v>57816342.403437831</v>
      </c>
      <c r="E271" s="625">
        <f t="shared" si="30"/>
        <v>723223.10746759921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844</v>
      </c>
      <c r="B273" s="626" t="s">
        <v>845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846</v>
      </c>
      <c r="C275" s="425"/>
      <c r="D275" s="425"/>
      <c r="E275" s="596"/>
    </row>
    <row r="276" spans="1:5" x14ac:dyDescent="0.2">
      <c r="A276" s="588">
        <v>1</v>
      </c>
      <c r="B276" s="587" t="s">
        <v>659</v>
      </c>
      <c r="C276" s="623">
        <f t="shared" ref="C276:D284" si="31">IF(C14=0,0,+C47/C14)</f>
        <v>0.62029935970301364</v>
      </c>
      <c r="D276" s="623">
        <f t="shared" si="31"/>
        <v>0.57807223062973312</v>
      </c>
      <c r="E276" s="650">
        <f t="shared" ref="E276:E284" si="32">D276-C276</f>
        <v>-4.2227129073280523E-2</v>
      </c>
    </row>
    <row r="277" spans="1:5" x14ac:dyDescent="0.2">
      <c r="A277" s="588">
        <v>2</v>
      </c>
      <c r="B277" s="587" t="s">
        <v>638</v>
      </c>
      <c r="C277" s="623">
        <f t="shared" si="31"/>
        <v>1.4328272434736784</v>
      </c>
      <c r="D277" s="623">
        <f t="shared" si="31"/>
        <v>2.0240625077983236</v>
      </c>
      <c r="E277" s="650">
        <f t="shared" si="32"/>
        <v>0.59123526432464524</v>
      </c>
    </row>
    <row r="278" spans="1:5" x14ac:dyDescent="0.2">
      <c r="A278" s="588">
        <v>3</v>
      </c>
      <c r="B278" s="587" t="s">
        <v>780</v>
      </c>
      <c r="C278" s="623">
        <f t="shared" si="31"/>
        <v>0.26444817432148748</v>
      </c>
      <c r="D278" s="623">
        <f t="shared" si="31"/>
        <v>0.27733432361101251</v>
      </c>
      <c r="E278" s="650">
        <f t="shared" si="32"/>
        <v>1.2886149289525028E-2</v>
      </c>
    </row>
    <row r="279" spans="1:5" x14ac:dyDescent="0.2">
      <c r="A279" s="588">
        <v>4</v>
      </c>
      <c r="B279" s="587" t="s">
        <v>115</v>
      </c>
      <c r="C279" s="623">
        <f t="shared" si="31"/>
        <v>0.26444817432148748</v>
      </c>
      <c r="D279" s="623">
        <f t="shared" si="31"/>
        <v>0.27733432361101251</v>
      </c>
      <c r="E279" s="650">
        <f t="shared" si="32"/>
        <v>1.2886149289525028E-2</v>
      </c>
    </row>
    <row r="280" spans="1:5" x14ac:dyDescent="0.2">
      <c r="A280" s="588">
        <v>5</v>
      </c>
      <c r="B280" s="587" t="s">
        <v>746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0.24466929776943769</v>
      </c>
      <c r="D281" s="623">
        <f t="shared" si="31"/>
        <v>0.30955252539689981</v>
      </c>
      <c r="E281" s="650">
        <f t="shared" si="32"/>
        <v>6.4883227627462126E-2</v>
      </c>
    </row>
    <row r="282" spans="1:5" x14ac:dyDescent="0.2">
      <c r="A282" s="588">
        <v>7</v>
      </c>
      <c r="B282" s="587" t="s">
        <v>761</v>
      </c>
      <c r="C282" s="623">
        <f t="shared" si="31"/>
        <v>0.11446851031772466</v>
      </c>
      <c r="D282" s="623">
        <f t="shared" si="31"/>
        <v>0.11338462736816596</v>
      </c>
      <c r="E282" s="650">
        <f t="shared" si="32"/>
        <v>-1.0838829495587038E-3</v>
      </c>
    </row>
    <row r="283" spans="1:5" ht="29.25" customHeight="1" x14ac:dyDescent="0.2">
      <c r="A283" s="588"/>
      <c r="B283" s="592" t="s">
        <v>847</v>
      </c>
      <c r="C283" s="651">
        <f t="shared" si="31"/>
        <v>0.27308343125284007</v>
      </c>
      <c r="D283" s="651">
        <f t="shared" si="31"/>
        <v>0.28598285599533996</v>
      </c>
      <c r="E283" s="652">
        <f t="shared" si="32"/>
        <v>1.2899424742499888E-2</v>
      </c>
    </row>
    <row r="284" spans="1:5" x14ac:dyDescent="0.2">
      <c r="A284" s="588"/>
      <c r="B284" s="592" t="s">
        <v>848</v>
      </c>
      <c r="C284" s="651">
        <f t="shared" si="31"/>
        <v>0.42193392064362034</v>
      </c>
      <c r="D284" s="651">
        <f t="shared" si="31"/>
        <v>0.41255830483243366</v>
      </c>
      <c r="E284" s="652">
        <f t="shared" si="32"/>
        <v>-9.3756158111866772E-3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849</v>
      </c>
      <c r="C286" s="596"/>
      <c r="D286" s="596"/>
      <c r="E286" s="596"/>
    </row>
    <row r="287" spans="1:5" x14ac:dyDescent="0.2">
      <c r="A287" s="588">
        <v>1</v>
      </c>
      <c r="B287" s="587" t="s">
        <v>659</v>
      </c>
      <c r="C287" s="623">
        <f t="shared" ref="C287:D295" si="33">IF(C25=0,0,+C58/C25)</f>
        <v>0.54819746731437702</v>
      </c>
      <c r="D287" s="623">
        <f t="shared" si="33"/>
        <v>0.55947266916499794</v>
      </c>
      <c r="E287" s="650">
        <f t="shared" ref="E287:E295" si="34">D287-C287</f>
        <v>1.127520185062092E-2</v>
      </c>
    </row>
    <row r="288" spans="1:5" x14ac:dyDescent="0.2">
      <c r="A288" s="588">
        <v>2</v>
      </c>
      <c r="B288" s="587" t="s">
        <v>638</v>
      </c>
      <c r="C288" s="623">
        <f t="shared" si="33"/>
        <v>1.5687068840359117</v>
      </c>
      <c r="D288" s="623">
        <f t="shared" si="33"/>
        <v>2.1730148482892186</v>
      </c>
      <c r="E288" s="650">
        <f t="shared" si="34"/>
        <v>0.60430796425330691</v>
      </c>
    </row>
    <row r="289" spans="1:5" x14ac:dyDescent="0.2">
      <c r="A289" s="588">
        <v>3</v>
      </c>
      <c r="B289" s="587" t="s">
        <v>780</v>
      </c>
      <c r="C289" s="623">
        <f t="shared" si="33"/>
        <v>0.20894918347775127</v>
      </c>
      <c r="D289" s="623">
        <f t="shared" si="33"/>
        <v>0.23517946709877502</v>
      </c>
      <c r="E289" s="650">
        <f t="shared" si="34"/>
        <v>2.6230283621023753E-2</v>
      </c>
    </row>
    <row r="290" spans="1:5" x14ac:dyDescent="0.2">
      <c r="A290" s="588">
        <v>4</v>
      </c>
      <c r="B290" s="587" t="s">
        <v>115</v>
      </c>
      <c r="C290" s="623">
        <f t="shared" si="33"/>
        <v>0.20894918347775127</v>
      </c>
      <c r="D290" s="623">
        <f t="shared" si="33"/>
        <v>0.23517946709877502</v>
      </c>
      <c r="E290" s="650">
        <f t="shared" si="34"/>
        <v>2.6230283621023753E-2</v>
      </c>
    </row>
    <row r="291" spans="1:5" x14ac:dyDescent="0.2">
      <c r="A291" s="588">
        <v>5</v>
      </c>
      <c r="B291" s="587" t="s">
        <v>746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0.52857858502085553</v>
      </c>
      <c r="D292" s="623">
        <f t="shared" si="33"/>
        <v>0.38208475480461029</v>
      </c>
      <c r="E292" s="650">
        <f t="shared" si="34"/>
        <v>-0.14649383021624524</v>
      </c>
    </row>
    <row r="293" spans="1:5" x14ac:dyDescent="0.2">
      <c r="A293" s="588">
        <v>7</v>
      </c>
      <c r="B293" s="587" t="s">
        <v>761</v>
      </c>
      <c r="C293" s="623">
        <f t="shared" si="33"/>
        <v>0.15804598872165437</v>
      </c>
      <c r="D293" s="623">
        <f t="shared" si="33"/>
        <v>0.19360887050289707</v>
      </c>
      <c r="E293" s="650">
        <f t="shared" si="34"/>
        <v>3.55628817812427E-2</v>
      </c>
    </row>
    <row r="294" spans="1:5" ht="29.25" customHeight="1" x14ac:dyDescent="0.2">
      <c r="A294" s="588"/>
      <c r="B294" s="592" t="s">
        <v>850</v>
      </c>
      <c r="C294" s="651">
        <f t="shared" si="33"/>
        <v>0.21692365156985299</v>
      </c>
      <c r="D294" s="651">
        <f t="shared" si="33"/>
        <v>0.24385987615215496</v>
      </c>
      <c r="E294" s="652">
        <f t="shared" si="34"/>
        <v>2.6936224582301965E-2</v>
      </c>
    </row>
    <row r="295" spans="1:5" x14ac:dyDescent="0.2">
      <c r="A295" s="588"/>
      <c r="B295" s="592" t="s">
        <v>851</v>
      </c>
      <c r="C295" s="651">
        <f t="shared" si="33"/>
        <v>0.37921551894173317</v>
      </c>
      <c r="D295" s="651">
        <f t="shared" si="33"/>
        <v>0.39901158547231536</v>
      </c>
      <c r="E295" s="652">
        <f t="shared" si="34"/>
        <v>1.979606653058219E-2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852</v>
      </c>
      <c r="B297" s="579" t="s">
        <v>853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854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657</v>
      </c>
      <c r="C301" s="590">
        <f>+C48+C47+C50+C51+C52+C59+C58+C61+C62+C63</f>
        <v>270071072</v>
      </c>
      <c r="D301" s="590">
        <f>+D48+D47+D50+D51+D52+D59+D58+D61+D62+D63</f>
        <v>295464208</v>
      </c>
      <c r="E301" s="590">
        <f>D301-C301</f>
        <v>25393136</v>
      </c>
    </row>
    <row r="302" spans="1:5" ht="25.5" x14ac:dyDescent="0.2">
      <c r="A302" s="588">
        <v>2</v>
      </c>
      <c r="B302" s="587" t="s">
        <v>855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856</v>
      </c>
      <c r="C303" s="593">
        <f>+C301+C302</f>
        <v>270071072</v>
      </c>
      <c r="D303" s="593">
        <f>+D301+D302</f>
        <v>295464208</v>
      </c>
      <c r="E303" s="593">
        <f>D303-C303</f>
        <v>25393136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857</v>
      </c>
      <c r="C305" s="589">
        <v>22963836</v>
      </c>
      <c r="D305" s="654">
        <v>9699926</v>
      </c>
      <c r="E305" s="655">
        <f>D305-C305</f>
        <v>-13263910</v>
      </c>
    </row>
    <row r="306" spans="1:5" x14ac:dyDescent="0.2">
      <c r="A306" s="588">
        <v>4</v>
      </c>
      <c r="B306" s="592" t="s">
        <v>858</v>
      </c>
      <c r="C306" s="593">
        <f>+C303+C305+C194+C190-C191</f>
        <v>294284494</v>
      </c>
      <c r="D306" s="593">
        <f>+D303+D305</f>
        <v>305164134</v>
      </c>
      <c r="E306" s="656">
        <f>D306-C306</f>
        <v>10879640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859</v>
      </c>
      <c r="C308" s="589">
        <v>293034805</v>
      </c>
      <c r="D308" s="589">
        <v>305164135</v>
      </c>
      <c r="E308" s="590">
        <f>D308-C308</f>
        <v>12129330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860</v>
      </c>
      <c r="C310" s="657">
        <f>C306-C308</f>
        <v>1249689</v>
      </c>
      <c r="D310" s="658">
        <f>D306-D308</f>
        <v>-1</v>
      </c>
      <c r="E310" s="656">
        <f>D310-C310</f>
        <v>-1249690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861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862</v>
      </c>
      <c r="C314" s="590">
        <f>+C14+C15+C16+C19+C25+C26+C27+C30</f>
        <v>668252697</v>
      </c>
      <c r="D314" s="590">
        <f>+D14+D15+D16+D19+D25+D26+D27+D30</f>
        <v>726117965</v>
      </c>
      <c r="E314" s="590">
        <f>D314-C314</f>
        <v>57865268</v>
      </c>
    </row>
    <row r="315" spans="1:5" x14ac:dyDescent="0.2">
      <c r="A315" s="588">
        <v>2</v>
      </c>
      <c r="B315" s="659" t="s">
        <v>863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864</v>
      </c>
      <c r="C316" s="657">
        <f>C314+C315</f>
        <v>668252697</v>
      </c>
      <c r="D316" s="657">
        <f>D314+D315</f>
        <v>726117965</v>
      </c>
      <c r="E316" s="593">
        <f>D316-C316</f>
        <v>57865268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865</v>
      </c>
      <c r="C318" s="589">
        <v>668252697</v>
      </c>
      <c r="D318" s="589">
        <v>726117965</v>
      </c>
      <c r="E318" s="590">
        <f>D318-C318</f>
        <v>57865268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860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866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867</v>
      </c>
      <c r="C324" s="589">
        <f>+C193+C194</f>
        <v>2746269</v>
      </c>
      <c r="D324" s="589">
        <f>+D193+D194</f>
        <v>3703103</v>
      </c>
      <c r="E324" s="590">
        <f>D324-C324</f>
        <v>956834</v>
      </c>
    </row>
    <row r="325" spans="1:5" x14ac:dyDescent="0.2">
      <c r="A325" s="588">
        <v>2</v>
      </c>
      <c r="B325" s="587" t="s">
        <v>868</v>
      </c>
      <c r="C325" s="589">
        <v>2031854</v>
      </c>
      <c r="D325" s="589">
        <v>2131943</v>
      </c>
      <c r="E325" s="590">
        <f>D325-C325</f>
        <v>100089</v>
      </c>
    </row>
    <row r="326" spans="1:5" x14ac:dyDescent="0.2">
      <c r="A326" s="588"/>
      <c r="B326" s="592" t="s">
        <v>869</v>
      </c>
      <c r="C326" s="657">
        <f>C324+C325</f>
        <v>4778123</v>
      </c>
      <c r="D326" s="657">
        <f>D324+D325</f>
        <v>5835046</v>
      </c>
      <c r="E326" s="593">
        <f>D326-C326</f>
        <v>1056923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870</v>
      </c>
      <c r="C328" s="589">
        <v>4778123</v>
      </c>
      <c r="D328" s="589">
        <v>5835046</v>
      </c>
      <c r="E328" s="590">
        <f>D328-C328</f>
        <v>1056923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871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55" orientation="portrait" horizontalDpi="1200" verticalDpi="1200" r:id="rId1"/>
  <headerFooter>
    <oddHeader>_x000D_
                &amp;LOFFICE OF HEALTH CARE ACCESS&amp;CTWELVE MONTHS ACTUAL FILING&amp;RCT CHILDREN`S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632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872</v>
      </c>
      <c r="B5" s="824"/>
      <c r="C5" s="825"/>
      <c r="D5" s="661"/>
    </row>
    <row r="6" spans="1:58" s="662" customFormat="1" ht="15.75" customHeight="1" x14ac:dyDescent="0.25">
      <c r="A6" s="823" t="s">
        <v>873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874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875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779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659</v>
      </c>
      <c r="C14" s="589">
        <v>183447743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638</v>
      </c>
      <c r="C15" s="591">
        <v>1122036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780</v>
      </c>
      <c r="C16" s="591">
        <v>235198677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235198677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746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3561163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761</v>
      </c>
      <c r="C20" s="591">
        <v>1155430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781</v>
      </c>
      <c r="C21" s="593">
        <f>SUM(C15+C16+C19)</f>
        <v>239881876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423329619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782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659</v>
      </c>
      <c r="C25" s="589">
        <v>148847355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638</v>
      </c>
      <c r="C26" s="591">
        <v>520464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780</v>
      </c>
      <c r="C27" s="591">
        <v>151189857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151189857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746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2230670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761</v>
      </c>
      <c r="C31" s="594">
        <v>2558953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783</v>
      </c>
      <c r="C32" s="593">
        <f>SUM(C26+C27+C30)</f>
        <v>153940991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302788346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656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876</v>
      </c>
      <c r="C36" s="590">
        <f>SUM(C14+C25)</f>
        <v>332295098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877</v>
      </c>
      <c r="C37" s="594">
        <f>SUM(C21+C32)</f>
        <v>393822867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656</v>
      </c>
      <c r="C38" s="593">
        <f>SUM(+C36+C37)</f>
        <v>726117965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792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659</v>
      </c>
      <c r="C41" s="589">
        <v>106046046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638</v>
      </c>
      <c r="C42" s="591">
        <v>2271071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780</v>
      </c>
      <c r="C43" s="591">
        <v>65228666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65228666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746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1102367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761</v>
      </c>
      <c r="C47" s="591">
        <v>131008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793</v>
      </c>
      <c r="C48" s="593">
        <f>SUM(C42+C43+C46)</f>
        <v>68602104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174648150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794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659</v>
      </c>
      <c r="C52" s="589">
        <v>83276027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638</v>
      </c>
      <c r="C53" s="591">
        <v>1130976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780</v>
      </c>
      <c r="C54" s="591">
        <v>35556750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35556750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746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852305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761</v>
      </c>
      <c r="C58" s="591">
        <v>495436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795</v>
      </c>
      <c r="C59" s="593">
        <f>SUM(C53+C54+C57)</f>
        <v>37540031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120816058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657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878</v>
      </c>
      <c r="C63" s="590">
        <f>SUM(C41+C52)</f>
        <v>189322073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879</v>
      </c>
      <c r="C64" s="594">
        <f>SUM(C48+C59)</f>
        <v>106142135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657</v>
      </c>
      <c r="C65" s="593">
        <f>SUM(+C63+C64)</f>
        <v>295464208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880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881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659</v>
      </c>
      <c r="C70" s="606">
        <v>2754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638</v>
      </c>
      <c r="C71" s="606">
        <v>11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780</v>
      </c>
      <c r="C72" s="606">
        <v>3596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3596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746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55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761</v>
      </c>
      <c r="C76" s="621">
        <v>33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810</v>
      </c>
      <c r="C77" s="608">
        <f>SUM(C71+C72+C75)</f>
        <v>3662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6416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814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659</v>
      </c>
      <c r="C81" s="617">
        <v>1.79741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638</v>
      </c>
      <c r="C82" s="617">
        <v>2.0044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780</v>
      </c>
      <c r="C83" s="617">
        <f>((C73*C84)+(C74*C85))/(C73+C74)</f>
        <v>1.67357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1.67357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746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1.6052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761</v>
      </c>
      <c r="C87" s="617">
        <v>1.4678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815</v>
      </c>
      <c r="C88" s="619">
        <f>((C71*C82)+(C73*C84)+(C74*C85)+(C75*C86))/(C71+C73+C74+C75)</f>
        <v>1.6735368978700162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726</v>
      </c>
      <c r="C89" s="619">
        <f>((C70*C81)+(C71*C82)+(C73*C84)+(C74*C85)+(C75*C86))/(C70+C71+C73+C74+C75)</f>
        <v>1.7267081140897755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816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817</v>
      </c>
      <c r="C92" s="589">
        <v>332295098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818</v>
      </c>
      <c r="C93" s="622">
        <v>193025176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671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750</v>
      </c>
      <c r="C95" s="589">
        <f>+C92-C93</f>
        <v>139269922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673</v>
      </c>
      <c r="C96" s="681">
        <f>(+C92-C93)/C92</f>
        <v>0.41911518658635161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765</v>
      </c>
      <c r="C98" s="589">
        <v>809310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751</v>
      </c>
      <c r="C99" s="589">
        <v>242329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882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820</v>
      </c>
      <c r="C103" s="589">
        <v>2097657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821</v>
      </c>
      <c r="C104" s="589">
        <v>1605446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822</v>
      </c>
      <c r="C105" s="654">
        <f>+C103+C104</f>
        <v>3703103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823</v>
      </c>
      <c r="C107" s="589">
        <v>43377255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713</v>
      </c>
      <c r="C108" s="589">
        <v>302746868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853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854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657</v>
      </c>
      <c r="C114" s="590">
        <f>+C65</f>
        <v>295464208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855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856</v>
      </c>
      <c r="C116" s="593">
        <f>+C114+C115</f>
        <v>295464208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857</v>
      </c>
      <c r="C118" s="654">
        <v>9699926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858</v>
      </c>
      <c r="C119" s="656">
        <f>+C116+C118</f>
        <v>305164134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859</v>
      </c>
      <c r="C121" s="589">
        <v>305164135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860</v>
      </c>
      <c r="C123" s="658">
        <f>C119-C121</f>
        <v>-1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861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862</v>
      </c>
      <c r="C127" s="590">
        <f>C38</f>
        <v>726117965</v>
      </c>
      <c r="D127" s="664"/>
      <c r="AR127" s="485"/>
    </row>
    <row r="128" spans="1:58" s="421" customFormat="1" ht="12.75" x14ac:dyDescent="0.2">
      <c r="A128" s="588">
        <v>2</v>
      </c>
      <c r="B128" s="659" t="s">
        <v>863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864</v>
      </c>
      <c r="C129" s="657">
        <f>C127+C128</f>
        <v>726117965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865</v>
      </c>
      <c r="C131" s="589">
        <v>726117965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860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866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867</v>
      </c>
      <c r="C137" s="589">
        <f>C105</f>
        <v>3703103</v>
      </c>
      <c r="D137" s="664"/>
      <c r="AR137" s="485"/>
    </row>
    <row r="138" spans="1:44" s="421" customFormat="1" ht="12.75" x14ac:dyDescent="0.2">
      <c r="A138" s="588">
        <v>2</v>
      </c>
      <c r="B138" s="669" t="s">
        <v>883</v>
      </c>
      <c r="C138" s="589">
        <v>2131943</v>
      </c>
      <c r="D138" s="664"/>
      <c r="AR138" s="485"/>
    </row>
    <row r="139" spans="1:44" s="421" customFormat="1" ht="12.75" x14ac:dyDescent="0.2">
      <c r="A139" s="588"/>
      <c r="B139" s="671" t="s">
        <v>869</v>
      </c>
      <c r="C139" s="657">
        <f>C137+C138</f>
        <v>5835046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884</v>
      </c>
      <c r="C141" s="589">
        <v>5835046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871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67" orientation="portrait" r:id="rId1"/>
  <headerFooter>
    <oddHeader>&amp;LOFFICE OF HEALTH CARE ACCESS&amp;CTWELVE MONTHS ACTUAL FILING&amp;RCT CHILDREN`S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632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885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635</v>
      </c>
      <c r="D8" s="177" t="s">
        <v>635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886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887</v>
      </c>
      <c r="C12" s="185">
        <v>792</v>
      </c>
      <c r="D12" s="185">
        <v>1359</v>
      </c>
      <c r="E12" s="185">
        <f>+D12-C12</f>
        <v>567</v>
      </c>
      <c r="F12" s="77">
        <f>IF(C12=0,0,+E12/C12)</f>
        <v>0.71590909090909094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888</v>
      </c>
      <c r="C13" s="185">
        <v>760</v>
      </c>
      <c r="D13" s="185">
        <v>1278</v>
      </c>
      <c r="E13" s="185">
        <f>+D13-C13</f>
        <v>518</v>
      </c>
      <c r="F13" s="77">
        <f>IF(C13=0,0,+E13/C13)</f>
        <v>0.68157894736842106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889</v>
      </c>
      <c r="C15" s="76">
        <v>1893788</v>
      </c>
      <c r="D15" s="76">
        <v>2097657</v>
      </c>
      <c r="E15" s="76">
        <f>+D15-C15</f>
        <v>203869</v>
      </c>
      <c r="F15" s="77">
        <f>IF(C15=0,0,+E15/C15)</f>
        <v>0.10765143722528604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890</v>
      </c>
      <c r="C16" s="79">
        <f>IF(C13=0,0,+C15/+C13)</f>
        <v>2491.8263157894735</v>
      </c>
      <c r="D16" s="79">
        <f>IF(D13=0,0,+D15/+D13)</f>
        <v>1641.3591549295775</v>
      </c>
      <c r="E16" s="79">
        <f>+D16-C16</f>
        <v>-850.46716085989601</v>
      </c>
      <c r="F16" s="80">
        <f>IF(C16=0,0,+E16/C16)</f>
        <v>-0.34130274468605831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891</v>
      </c>
      <c r="C18" s="704">
        <v>0.44558700000000001</v>
      </c>
      <c r="D18" s="704">
        <v>0.40454699999999999</v>
      </c>
      <c r="E18" s="704">
        <f>+D18-C18</f>
        <v>-4.1040000000000021E-2</v>
      </c>
      <c r="F18" s="77">
        <f>IF(C18=0,0,+E18/C18)</f>
        <v>-9.2103225632704774E-2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892</v>
      </c>
      <c r="C19" s="79">
        <f>+C15*C18</f>
        <v>843847.31355600001</v>
      </c>
      <c r="D19" s="79">
        <f>+D15*D18</f>
        <v>848600.846379</v>
      </c>
      <c r="E19" s="79">
        <f>+D19-C19</f>
        <v>4753.5328229999868</v>
      </c>
      <c r="F19" s="80">
        <f>IF(C19=0,0,+E19/C19)</f>
        <v>5.6331669801358321E-3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893</v>
      </c>
      <c r="C20" s="79">
        <f>IF(C13=0,0,+C19/C13)</f>
        <v>1110.3254125736842</v>
      </c>
      <c r="D20" s="79">
        <f>IF(D13=0,0,+D19/D13)</f>
        <v>664.00692204929578</v>
      </c>
      <c r="E20" s="79">
        <f>+D20-C20</f>
        <v>-446.31849052438838</v>
      </c>
      <c r="F20" s="80">
        <f>IF(C20=0,0,+E20/C20)</f>
        <v>-0.40197088661588165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894</v>
      </c>
      <c r="C22" s="76">
        <v>911805</v>
      </c>
      <c r="D22" s="76">
        <v>492638</v>
      </c>
      <c r="E22" s="76">
        <f>+D22-C22</f>
        <v>-419167</v>
      </c>
      <c r="F22" s="77">
        <f>IF(C22=0,0,+E22/C22)</f>
        <v>-0.45971123211651616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895</v>
      </c>
      <c r="C23" s="185">
        <v>247338</v>
      </c>
      <c r="D23" s="185">
        <v>1121232</v>
      </c>
      <c r="E23" s="185">
        <f>+D23-C23</f>
        <v>873894</v>
      </c>
      <c r="F23" s="77">
        <f>IF(C23=0,0,+E23/C23)</f>
        <v>3.533197486839871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896</v>
      </c>
      <c r="C24" s="185">
        <v>734645</v>
      </c>
      <c r="D24" s="185">
        <v>483787</v>
      </c>
      <c r="E24" s="185">
        <f>+D24-C24</f>
        <v>-250858</v>
      </c>
      <c r="F24" s="77">
        <f>IF(C24=0,0,+E24/C24)</f>
        <v>-0.34146832824017043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897</v>
      </c>
      <c r="C25" s="79">
        <f>+C22+C23+C24</f>
        <v>1893788</v>
      </c>
      <c r="D25" s="79">
        <f>+D22+D23+D24</f>
        <v>2097657</v>
      </c>
      <c r="E25" s="79">
        <f>+E22+E23+E24</f>
        <v>203869</v>
      </c>
      <c r="F25" s="80">
        <f>IF(C25=0,0,+E25/C25)</f>
        <v>0.10765143722528604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898</v>
      </c>
      <c r="C27" s="185">
        <v>743</v>
      </c>
      <c r="D27" s="185">
        <v>1301</v>
      </c>
      <c r="E27" s="185">
        <f>+D27-C27</f>
        <v>558</v>
      </c>
      <c r="F27" s="77">
        <f>IF(C27=0,0,+E27/C27)</f>
        <v>0.75100942126514136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899</v>
      </c>
      <c r="C28" s="185">
        <v>167</v>
      </c>
      <c r="D28" s="185">
        <v>198</v>
      </c>
      <c r="E28" s="185">
        <f>+D28-C28</f>
        <v>31</v>
      </c>
      <c r="F28" s="77">
        <f>IF(C28=0,0,+E28/C28)</f>
        <v>0.18562874251497005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900</v>
      </c>
      <c r="C29" s="185">
        <v>365</v>
      </c>
      <c r="D29" s="185">
        <v>723</v>
      </c>
      <c r="E29" s="185">
        <f>+D29-C29</f>
        <v>358</v>
      </c>
      <c r="F29" s="77">
        <f>IF(C29=0,0,+E29/C29)</f>
        <v>0.98082191780821915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901</v>
      </c>
      <c r="C30" s="185">
        <v>935</v>
      </c>
      <c r="D30" s="185">
        <v>1720</v>
      </c>
      <c r="E30" s="185">
        <f>+D30-C30</f>
        <v>785</v>
      </c>
      <c r="F30" s="77">
        <f>IF(C30=0,0,+E30/C30)</f>
        <v>0.83957219251336901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902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903</v>
      </c>
      <c r="C33" s="76">
        <v>202890</v>
      </c>
      <c r="D33" s="76">
        <v>812864</v>
      </c>
      <c r="E33" s="76">
        <f>+D33-C33</f>
        <v>609974</v>
      </c>
      <c r="F33" s="77">
        <f>IF(C33=0,0,+E33/C33)</f>
        <v>3.0064271280003942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904</v>
      </c>
      <c r="C34" s="185">
        <v>281319</v>
      </c>
      <c r="D34" s="185">
        <v>340810</v>
      </c>
      <c r="E34" s="185">
        <f>+D34-C34</f>
        <v>59491</v>
      </c>
      <c r="F34" s="77">
        <f>IF(C34=0,0,+E34/C34)</f>
        <v>0.21147167450474372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905</v>
      </c>
      <c r="C35" s="185">
        <v>368272</v>
      </c>
      <c r="D35" s="185">
        <v>451772</v>
      </c>
      <c r="E35" s="185">
        <f>+D35-C35</f>
        <v>83500</v>
      </c>
      <c r="F35" s="77">
        <f>IF(C35=0,0,+E35/C35)</f>
        <v>0.22673458747882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906</v>
      </c>
      <c r="C36" s="79">
        <f>+C33+C34+C35</f>
        <v>852481</v>
      </c>
      <c r="D36" s="79">
        <f>+D33+D34+D35</f>
        <v>1605446</v>
      </c>
      <c r="E36" s="79">
        <f>+E33+E34+E35</f>
        <v>752965</v>
      </c>
      <c r="F36" s="80">
        <f>IF(C36=0,0,+E36/C36)</f>
        <v>0.88326308738845793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907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908</v>
      </c>
      <c r="C39" s="76">
        <f>+C25</f>
        <v>1893788</v>
      </c>
      <c r="D39" s="76">
        <f>+D25</f>
        <v>2097657</v>
      </c>
      <c r="E39" s="76">
        <f>+D39-C39</f>
        <v>203869</v>
      </c>
      <c r="F39" s="77">
        <f>IF(C39=0,0,+E39/C39)</f>
        <v>0.10765143722528604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909</v>
      </c>
      <c r="C40" s="185">
        <f>+C36</f>
        <v>852481</v>
      </c>
      <c r="D40" s="185">
        <f>+D36</f>
        <v>1605446</v>
      </c>
      <c r="E40" s="185">
        <f>+D40-C40</f>
        <v>752965</v>
      </c>
      <c r="F40" s="77">
        <f>IF(C40=0,0,+E40/C40)</f>
        <v>0.88326308738845793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910</v>
      </c>
      <c r="C41" s="79">
        <f>+C39+C40</f>
        <v>2746269</v>
      </c>
      <c r="D41" s="79">
        <f>+D39+D40</f>
        <v>3703103</v>
      </c>
      <c r="E41" s="79">
        <f>+E39+E40</f>
        <v>956834</v>
      </c>
      <c r="F41" s="80">
        <f>IF(C41=0,0,+E41/C41)</f>
        <v>0.34841233688324053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911</v>
      </c>
      <c r="C43" s="76">
        <f t="shared" ref="C43:D45" si="0">+C22+C33</f>
        <v>1114695</v>
      </c>
      <c r="D43" s="76">
        <f t="shared" si="0"/>
        <v>1305502</v>
      </c>
      <c r="E43" s="76">
        <f>+D43-C43</f>
        <v>190807</v>
      </c>
      <c r="F43" s="77">
        <f>IF(C43=0,0,+E43/C43)</f>
        <v>0.17117417768986135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912</v>
      </c>
      <c r="C44" s="185">
        <f t="shared" si="0"/>
        <v>528657</v>
      </c>
      <c r="D44" s="185">
        <f t="shared" si="0"/>
        <v>1462042</v>
      </c>
      <c r="E44" s="185">
        <f>+D44-C44</f>
        <v>933385</v>
      </c>
      <c r="F44" s="77">
        <f>IF(C44=0,0,+E44/C44)</f>
        <v>1.7655776808024863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913</v>
      </c>
      <c r="C45" s="185">
        <f t="shared" si="0"/>
        <v>1102917</v>
      </c>
      <c r="D45" s="185">
        <f t="shared" si="0"/>
        <v>935559</v>
      </c>
      <c r="E45" s="185">
        <f>+D45-C45</f>
        <v>-167358</v>
      </c>
      <c r="F45" s="77">
        <f>IF(C45=0,0,+E45/C45)</f>
        <v>-0.15174124616811602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910</v>
      </c>
      <c r="C46" s="79">
        <f>+C43+C44+C45</f>
        <v>2746269</v>
      </c>
      <c r="D46" s="79">
        <f>+D43+D44+D45</f>
        <v>3703103</v>
      </c>
      <c r="E46" s="79">
        <f>+E43+E44+E45</f>
        <v>956834</v>
      </c>
      <c r="F46" s="80">
        <f>IF(C46=0,0,+E46/C46)</f>
        <v>0.34841233688324053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914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4" orientation="portrait" horizontalDpi="1200" verticalDpi="1200" r:id="rId1"/>
  <headerFooter>
    <oddHeader>_x000D_
                  &amp;LOFFICE OF HEALTH CARE ACCESS&amp;CTWELVE MONTHS ACTUAL FILING&amp;RCT CHILDREN`S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zoomScaleSheetLayoutView="90" workbookViewId="0">
      <selection activeCell="J48" sqref="J48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632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915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916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917</v>
      </c>
      <c r="D10" s="177" t="s">
        <v>917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918</v>
      </c>
      <c r="D11" s="693" t="s">
        <v>918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919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303509876</v>
      </c>
      <c r="D15" s="76">
        <v>332295098</v>
      </c>
      <c r="E15" s="76">
        <f>+D15-C15</f>
        <v>28785222</v>
      </c>
      <c r="F15" s="77">
        <f>IF(C15=0,0,E15/C15)</f>
        <v>9.4841137887717364E-2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920</v>
      </c>
      <c r="C17" s="76">
        <v>125072328</v>
      </c>
      <c r="D17" s="76">
        <v>139269922</v>
      </c>
      <c r="E17" s="76">
        <f>+D17-C17</f>
        <v>14197594</v>
      </c>
      <c r="F17" s="77">
        <f>IF(C17=0,0,E17/C17)</f>
        <v>0.11351506945645083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921</v>
      </c>
      <c r="C19" s="79">
        <f>+C15-C17</f>
        <v>178437548</v>
      </c>
      <c r="D19" s="79">
        <f>+D15-D17</f>
        <v>193025176</v>
      </c>
      <c r="E19" s="79">
        <f>+D19-C19</f>
        <v>14587628</v>
      </c>
      <c r="F19" s="80">
        <f>IF(C19=0,0,E19/C19)</f>
        <v>8.1752008831683792E-2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922</v>
      </c>
      <c r="C21" s="720">
        <f>IF(C15=0,0,C17/C15)</f>
        <v>0.41208651806770202</v>
      </c>
      <c r="D21" s="720">
        <f>IF(D15=0,0,D17/D15)</f>
        <v>0.41911518658635161</v>
      </c>
      <c r="E21" s="720">
        <f>+D21-C21</f>
        <v>7.0286685186495834E-3</v>
      </c>
      <c r="F21" s="80">
        <f>IF(C21=0,0,E21/C21)</f>
        <v>1.705629330366697E-2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923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FILING&amp;R&amp;12CT CHILDREN`S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zoomScaleNormal="75" workbookViewId="0">
      <selection activeCell="J19" sqref="J19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924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925</v>
      </c>
      <c r="B6" s="734" t="s">
        <v>926</v>
      </c>
      <c r="C6" s="734" t="s">
        <v>927</v>
      </c>
      <c r="D6" s="734" t="s">
        <v>928</v>
      </c>
      <c r="E6" s="734" t="s">
        <v>929</v>
      </c>
    </row>
    <row r="7" spans="1:6" ht="37.5" customHeight="1" x14ac:dyDescent="0.25">
      <c r="A7" s="735" t="s">
        <v>8</v>
      </c>
      <c r="B7" s="736" t="s">
        <v>9</v>
      </c>
      <c r="C7" s="737" t="s">
        <v>930</v>
      </c>
      <c r="D7" s="737" t="s">
        <v>931</v>
      </c>
      <c r="E7" s="737" t="s">
        <v>932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933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934</v>
      </c>
      <c r="C10" s="744">
        <v>334817086</v>
      </c>
      <c r="D10" s="744">
        <v>389978980</v>
      </c>
      <c r="E10" s="744">
        <v>423329619</v>
      </c>
    </row>
    <row r="11" spans="1:6" ht="26.1" customHeight="1" x14ac:dyDescent="0.25">
      <c r="A11" s="742">
        <v>2</v>
      </c>
      <c r="B11" s="743" t="s">
        <v>935</v>
      </c>
      <c r="C11" s="744">
        <v>261858160</v>
      </c>
      <c r="D11" s="744">
        <v>278273717</v>
      </c>
      <c r="E11" s="744">
        <v>302788346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596675246</v>
      </c>
      <c r="D12" s="744">
        <f>+D11+D10</f>
        <v>668252697</v>
      </c>
      <c r="E12" s="744">
        <f>+E11+E10</f>
        <v>726117965</v>
      </c>
    </row>
    <row r="13" spans="1:6" ht="26.1" customHeight="1" x14ac:dyDescent="0.25">
      <c r="A13" s="742">
        <v>4</v>
      </c>
      <c r="B13" s="743" t="s">
        <v>507</v>
      </c>
      <c r="C13" s="744">
        <v>252957977</v>
      </c>
      <c r="D13" s="744">
        <v>293034805</v>
      </c>
      <c r="E13" s="744">
        <v>305164135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936</v>
      </c>
      <c r="C16" s="744">
        <v>280099480</v>
      </c>
      <c r="D16" s="744">
        <v>288197545</v>
      </c>
      <c r="E16" s="744">
        <v>302746868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937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42524</v>
      </c>
      <c r="D19" s="747">
        <v>45010</v>
      </c>
      <c r="E19" s="747">
        <v>44704</v>
      </c>
    </row>
    <row r="20" spans="1:5" ht="26.1" customHeight="1" x14ac:dyDescent="0.25">
      <c r="A20" s="742">
        <v>2</v>
      </c>
      <c r="B20" s="743" t="s">
        <v>381</v>
      </c>
      <c r="C20" s="748">
        <v>5803</v>
      </c>
      <c r="D20" s="748">
        <v>6047</v>
      </c>
      <c r="E20" s="748">
        <v>6416</v>
      </c>
    </row>
    <row r="21" spans="1:5" ht="26.1" customHeight="1" x14ac:dyDescent="0.25">
      <c r="A21" s="742">
        <v>3</v>
      </c>
      <c r="B21" s="743" t="s">
        <v>938</v>
      </c>
      <c r="C21" s="749">
        <f>IF(C20=0,0,+C19/C20)</f>
        <v>7.3279338273306909</v>
      </c>
      <c r="D21" s="749">
        <f>IF(D20=0,0,+D19/D20)</f>
        <v>7.443360343972218</v>
      </c>
      <c r="E21" s="749">
        <f>IF(E20=0,0,+E19/E20)</f>
        <v>6.9675810473815458</v>
      </c>
    </row>
    <row r="22" spans="1:5" ht="26.1" customHeight="1" x14ac:dyDescent="0.25">
      <c r="A22" s="742">
        <v>4</v>
      </c>
      <c r="B22" s="743" t="s">
        <v>939</v>
      </c>
      <c r="C22" s="748">
        <f>IF(C10=0,0,C19*(C12/C10))</f>
        <v>75781.730448797942</v>
      </c>
      <c r="D22" s="748">
        <f>IF(D10=0,0,D19*(D12/D10))</f>
        <v>77127.37207520775</v>
      </c>
      <c r="E22" s="748">
        <f>IF(E10=0,0,E19*(E12/E10))</f>
        <v>76678.729884383545</v>
      </c>
    </row>
    <row r="23" spans="1:5" ht="26.1" customHeight="1" x14ac:dyDescent="0.25">
      <c r="A23" s="742">
        <v>0</v>
      </c>
      <c r="B23" s="743" t="s">
        <v>940</v>
      </c>
      <c r="C23" s="748">
        <f>IF(C10=0,0,C20*(C12/C10))</f>
        <v>10341.486732065998</v>
      </c>
      <c r="D23" s="748">
        <f>IF(D10=0,0,D20*(D12/D10))</f>
        <v>10361.902220368391</v>
      </c>
      <c r="E23" s="748">
        <f>IF(E10=0,0,E20*(E12/E10))</f>
        <v>11005.071826642019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941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1.7792276408754095</v>
      </c>
      <c r="D26" s="750">
        <v>1.7593290722672401</v>
      </c>
      <c r="E26" s="750">
        <v>1.7267081140897755</v>
      </c>
    </row>
    <row r="27" spans="1:5" ht="26.1" customHeight="1" x14ac:dyDescent="0.25">
      <c r="A27" s="742">
        <v>2</v>
      </c>
      <c r="B27" s="743" t="s">
        <v>942</v>
      </c>
      <c r="C27" s="748">
        <f>C19*C26</f>
        <v>75659.876200585917</v>
      </c>
      <c r="D27" s="748">
        <f>D19*D26</f>
        <v>79187.401542748485</v>
      </c>
      <c r="E27" s="748">
        <f>E19*E26</f>
        <v>77190.759532269323</v>
      </c>
    </row>
    <row r="28" spans="1:5" ht="26.1" customHeight="1" x14ac:dyDescent="0.25">
      <c r="A28" s="742">
        <v>3</v>
      </c>
      <c r="B28" s="743" t="s">
        <v>943</v>
      </c>
      <c r="C28" s="748">
        <f>C20*C26</f>
        <v>10324.858000000002</v>
      </c>
      <c r="D28" s="748">
        <f>D20*D26</f>
        <v>10638.662900000001</v>
      </c>
      <c r="E28" s="748">
        <f>E20*E26</f>
        <v>11078.55926</v>
      </c>
    </row>
    <row r="29" spans="1:5" ht="26.1" customHeight="1" x14ac:dyDescent="0.25">
      <c r="A29" s="742">
        <v>4</v>
      </c>
      <c r="B29" s="743" t="s">
        <v>944</v>
      </c>
      <c r="C29" s="748">
        <f>C22*C26</f>
        <v>134832.94948787094</v>
      </c>
      <c r="D29" s="748">
        <f>D22*D26</f>
        <v>135692.4279594855</v>
      </c>
      <c r="E29" s="748">
        <f>E22*E26</f>
        <v>132401.78506946322</v>
      </c>
    </row>
    <row r="30" spans="1:5" ht="26.1" customHeight="1" x14ac:dyDescent="0.25">
      <c r="A30" s="742">
        <v>5</v>
      </c>
      <c r="B30" s="743" t="s">
        <v>945</v>
      </c>
      <c r="C30" s="748">
        <f>C23*C26</f>
        <v>18399.859041438132</v>
      </c>
      <c r="D30" s="748">
        <f>D23*D26</f>
        <v>18229.995820284577</v>
      </c>
      <c r="E30" s="748">
        <f>E23*E26</f>
        <v>19002.546819203562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946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947</v>
      </c>
      <c r="C33" s="744">
        <f>IF(C19=0,0,C12/C19)</f>
        <v>14031.493885805663</v>
      </c>
      <c r="D33" s="744">
        <f>IF(D19=0,0,D12/D19)</f>
        <v>14846.760653188181</v>
      </c>
      <c r="E33" s="744">
        <f>IF(E19=0,0,E12/E19)</f>
        <v>16242.796282211882</v>
      </c>
    </row>
    <row r="34" spans="1:5" ht="26.1" customHeight="1" x14ac:dyDescent="0.25">
      <c r="A34" s="742">
        <v>2</v>
      </c>
      <c r="B34" s="743" t="s">
        <v>948</v>
      </c>
      <c r="C34" s="744">
        <f>IF(C20=0,0,C12/C20)</f>
        <v>102821.85869377908</v>
      </c>
      <c r="D34" s="744">
        <f>IF(D20=0,0,D12/D20)</f>
        <v>110509.78948238796</v>
      </c>
      <c r="E34" s="744">
        <f>IF(E20=0,0,E12/E20)</f>
        <v>113172.99953241895</v>
      </c>
    </row>
    <row r="35" spans="1:5" ht="26.1" customHeight="1" x14ac:dyDescent="0.25">
      <c r="A35" s="742">
        <v>3</v>
      </c>
      <c r="B35" s="743" t="s">
        <v>949</v>
      </c>
      <c r="C35" s="744">
        <f>IF(C22=0,0,C12/C22)</f>
        <v>7873.6028125293951</v>
      </c>
      <c r="D35" s="744">
        <f>IF(D22=0,0,D12/D22)</f>
        <v>8664.2741612974896</v>
      </c>
      <c r="E35" s="744">
        <f>IF(E22=0,0,E12/E22)</f>
        <v>9469.6138824266291</v>
      </c>
    </row>
    <row r="36" spans="1:5" ht="26.1" customHeight="1" x14ac:dyDescent="0.25">
      <c r="A36" s="742">
        <v>4</v>
      </c>
      <c r="B36" s="743" t="s">
        <v>950</v>
      </c>
      <c r="C36" s="744">
        <f>IF(C23=0,0,C12/C23)</f>
        <v>57697.240392900225</v>
      </c>
      <c r="D36" s="744">
        <f>IF(D23=0,0,D12/D23)</f>
        <v>64491.314701504874</v>
      </c>
      <c r="E36" s="744">
        <f>IF(E23=0,0,E12/E23)</f>
        <v>65980.302213216957</v>
      </c>
    </row>
    <row r="37" spans="1:5" ht="26.1" customHeight="1" x14ac:dyDescent="0.25">
      <c r="A37" s="742">
        <v>5</v>
      </c>
      <c r="B37" s="743" t="s">
        <v>951</v>
      </c>
      <c r="C37" s="744">
        <f>IF(C29=0,0,C12/C29)</f>
        <v>4425.2925435979923</v>
      </c>
      <c r="D37" s="744">
        <f>IF(D29=0,0,D12/D29)</f>
        <v>4924.7604088823891</v>
      </c>
      <c r="E37" s="744">
        <f>IF(E29=0,0,E12/E29)</f>
        <v>5484.2007199453519</v>
      </c>
    </row>
    <row r="38" spans="1:5" ht="26.1" customHeight="1" x14ac:dyDescent="0.25">
      <c r="A38" s="742">
        <v>6</v>
      </c>
      <c r="B38" s="743" t="s">
        <v>952</v>
      </c>
      <c r="C38" s="744">
        <f>IF(C30=0,0,C12/C30)</f>
        <v>32428.250926066001</v>
      </c>
      <c r="D38" s="744">
        <f>IF(D30=0,0,D12/D30)</f>
        <v>36656.76633103958</v>
      </c>
      <c r="E38" s="744">
        <f>IF(E30=0,0,E12/E30)</f>
        <v>38211.612996327465</v>
      </c>
    </row>
    <row r="39" spans="1:5" ht="26.1" customHeight="1" x14ac:dyDescent="0.25">
      <c r="A39" s="742">
        <v>7</v>
      </c>
      <c r="B39" s="743" t="s">
        <v>953</v>
      </c>
      <c r="C39" s="744">
        <f>IF(C22=0,0,C10/C22)</f>
        <v>4418.1768351967066</v>
      </c>
      <c r="D39" s="744">
        <f>IF(D22=0,0,D10/D22)</f>
        <v>5056.2980367038463</v>
      </c>
      <c r="E39" s="744">
        <f>IF(E22=0,0,E10/E22)</f>
        <v>5520.8220015941561</v>
      </c>
    </row>
    <row r="40" spans="1:5" ht="26.1" customHeight="1" x14ac:dyDescent="0.25">
      <c r="A40" s="742">
        <v>8</v>
      </c>
      <c r="B40" s="743" t="s">
        <v>954</v>
      </c>
      <c r="C40" s="744">
        <f>IF(C23=0,0,C10/C23)</f>
        <v>32376.107485766799</v>
      </c>
      <c r="D40" s="744">
        <f>IF(D23=0,0,D10/D23)</f>
        <v>37635.848293705989</v>
      </c>
      <c r="E40" s="744">
        <f>IF(E23=0,0,E10/E23)</f>
        <v>38466.774744274495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955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956</v>
      </c>
      <c r="C43" s="744">
        <f>IF(C19=0,0,C13/C19)</f>
        <v>5948.5931944313797</v>
      </c>
      <c r="D43" s="744">
        <f>IF(D19=0,0,D13/D19)</f>
        <v>6510.4377916018666</v>
      </c>
      <c r="E43" s="744">
        <f>IF(E19=0,0,E13/E19)</f>
        <v>6826.3272861488904</v>
      </c>
    </row>
    <row r="44" spans="1:5" ht="26.1" customHeight="1" x14ac:dyDescent="0.25">
      <c r="A44" s="742">
        <v>2</v>
      </c>
      <c r="B44" s="743" t="s">
        <v>957</v>
      </c>
      <c r="C44" s="744">
        <f>IF(C20=0,0,C13/C20)</f>
        <v>43590.897294502844</v>
      </c>
      <c r="D44" s="744">
        <f>IF(D20=0,0,D13/D20)</f>
        <v>48459.534479907394</v>
      </c>
      <c r="E44" s="744">
        <f>IF(E20=0,0,E13/E20)</f>
        <v>47562.988622194513</v>
      </c>
    </row>
    <row r="45" spans="1:5" ht="26.1" customHeight="1" x14ac:dyDescent="0.25">
      <c r="A45" s="742">
        <v>3</v>
      </c>
      <c r="B45" s="743" t="s">
        <v>958</v>
      </c>
      <c r="C45" s="744">
        <f>IF(C22=0,0,C13/C22)</f>
        <v>3337.9810081126543</v>
      </c>
      <c r="D45" s="744">
        <f>IF(D22=0,0,D13/D22)</f>
        <v>3799.3619789645954</v>
      </c>
      <c r="E45" s="744">
        <f>IF(E22=0,0,E13/E22)</f>
        <v>3979.7755578388887</v>
      </c>
    </row>
    <row r="46" spans="1:5" ht="26.1" customHeight="1" x14ac:dyDescent="0.25">
      <c r="A46" s="742">
        <v>4</v>
      </c>
      <c r="B46" s="743" t="s">
        <v>959</v>
      </c>
      <c r="C46" s="744">
        <f>IF(C23=0,0,C13/C23)</f>
        <v>24460.50394433612</v>
      </c>
      <c r="D46" s="744">
        <f>IF(D23=0,0,D13/D23)</f>
        <v>28280.020286620878</v>
      </c>
      <c r="E46" s="744">
        <f>IF(E23=0,0,E13/E23)</f>
        <v>27729.408749630562</v>
      </c>
    </row>
    <row r="47" spans="1:5" ht="26.1" customHeight="1" x14ac:dyDescent="0.25">
      <c r="A47" s="742">
        <v>5</v>
      </c>
      <c r="B47" s="743" t="s">
        <v>960</v>
      </c>
      <c r="C47" s="744">
        <f>IF(C29=0,0,C13/C29)</f>
        <v>1876.0842802949671</v>
      </c>
      <c r="D47" s="744">
        <f>IF(D29=0,0,D13/D29)</f>
        <v>2159.5516375275793</v>
      </c>
      <c r="E47" s="744">
        <f>IF(E29=0,0,E13/E29)</f>
        <v>2304.8339932871659</v>
      </c>
    </row>
    <row r="48" spans="1:5" ht="26.1" customHeight="1" x14ac:dyDescent="0.25">
      <c r="A48" s="742">
        <v>6</v>
      </c>
      <c r="B48" s="743" t="s">
        <v>961</v>
      </c>
      <c r="C48" s="744">
        <f>IF(C30=0,0,C13/C30)</f>
        <v>13747.821460496842</v>
      </c>
      <c r="D48" s="744">
        <f>IF(D30=0,0,D13/D30)</f>
        <v>16074.321019533048</v>
      </c>
      <c r="E48" s="744">
        <f>IF(E30=0,0,E13/E30)</f>
        <v>16059.117648988384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962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963</v>
      </c>
      <c r="C51" s="744">
        <f>IF(C19=0,0,C16/C19)</f>
        <v>6586.8563634653374</v>
      </c>
      <c r="D51" s="744">
        <f>IF(D19=0,0,D16/D19)</f>
        <v>6402.9670073317038</v>
      </c>
      <c r="E51" s="744">
        <f>IF(E19=0,0,E16/E19)</f>
        <v>6772.2545633500358</v>
      </c>
    </row>
    <row r="52" spans="1:6" ht="26.1" customHeight="1" x14ac:dyDescent="0.25">
      <c r="A52" s="742">
        <v>2</v>
      </c>
      <c r="B52" s="743" t="s">
        <v>964</v>
      </c>
      <c r="C52" s="744">
        <f>IF(C20=0,0,C16/C20)</f>
        <v>48268.047561606065</v>
      </c>
      <c r="D52" s="744">
        <f>IF(D20=0,0,D16/D20)</f>
        <v>47659.590706135277</v>
      </c>
      <c r="E52" s="744">
        <f>IF(E20=0,0,E16/E20)</f>
        <v>47186.232543640901</v>
      </c>
    </row>
    <row r="53" spans="1:6" ht="26.1" customHeight="1" x14ac:dyDescent="0.25">
      <c r="A53" s="742">
        <v>3</v>
      </c>
      <c r="B53" s="743" t="s">
        <v>965</v>
      </c>
      <c r="C53" s="744">
        <f>IF(C22=0,0,C16/C22)</f>
        <v>3696.1346533152828</v>
      </c>
      <c r="D53" s="744">
        <f>IF(D22=0,0,D16/D22)</f>
        <v>3736.6441672481128</v>
      </c>
      <c r="E53" s="744">
        <f>IF(E22=0,0,E16/E22)</f>
        <v>3948.2509485548703</v>
      </c>
    </row>
    <row r="54" spans="1:6" ht="26.1" customHeight="1" x14ac:dyDescent="0.25">
      <c r="A54" s="742">
        <v>4</v>
      </c>
      <c r="B54" s="743" t="s">
        <v>966</v>
      </c>
      <c r="C54" s="744">
        <f>IF(C23=0,0,C16/C23)</f>
        <v>27085.030156398258</v>
      </c>
      <c r="D54" s="744">
        <f>IF(D23=0,0,D16/D23)</f>
        <v>27813.189014029693</v>
      </c>
      <c r="E54" s="744">
        <f>IF(E23=0,0,E16/E23)</f>
        <v>27509.758479457127</v>
      </c>
    </row>
    <row r="55" spans="1:6" ht="26.1" customHeight="1" x14ac:dyDescent="0.25">
      <c r="A55" s="742">
        <v>5</v>
      </c>
      <c r="B55" s="743" t="s">
        <v>967</v>
      </c>
      <c r="C55" s="744">
        <f>IF(C29=0,0,C16/C29)</f>
        <v>2077.3815381469253</v>
      </c>
      <c r="D55" s="744">
        <f>IF(D29=0,0,D16/D29)</f>
        <v>2123.9029276272427</v>
      </c>
      <c r="E55" s="744">
        <f>IF(E29=0,0,E16/E29)</f>
        <v>2286.5769358106991</v>
      </c>
    </row>
    <row r="56" spans="1:6" ht="26.1" customHeight="1" x14ac:dyDescent="0.25">
      <c r="A56" s="742">
        <v>6</v>
      </c>
      <c r="B56" s="743" t="s">
        <v>968</v>
      </c>
      <c r="C56" s="744">
        <f>IF(C30=0,0,C16/C30)</f>
        <v>15222.914445659113</v>
      </c>
      <c r="D56" s="744">
        <f>IF(D30=0,0,D16/D30)</f>
        <v>15808.974825947114</v>
      </c>
      <c r="E56" s="744">
        <f>IF(E30=0,0,E16/E30)</f>
        <v>15931.910121334398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969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970</v>
      </c>
      <c r="C59" s="752">
        <v>29168523</v>
      </c>
      <c r="D59" s="752">
        <v>29796100</v>
      </c>
      <c r="E59" s="752">
        <v>32933706</v>
      </c>
    </row>
    <row r="60" spans="1:6" ht="26.1" customHeight="1" x14ac:dyDescent="0.25">
      <c r="A60" s="742">
        <v>2</v>
      </c>
      <c r="B60" s="743" t="s">
        <v>971</v>
      </c>
      <c r="C60" s="752">
        <v>8007981</v>
      </c>
      <c r="D60" s="752">
        <v>7444234</v>
      </c>
      <c r="E60" s="752">
        <v>6847407</v>
      </c>
    </row>
    <row r="61" spans="1:6" ht="26.1" customHeight="1" x14ac:dyDescent="0.25">
      <c r="A61" s="753">
        <v>3</v>
      </c>
      <c r="B61" s="754" t="s">
        <v>972</v>
      </c>
      <c r="C61" s="755">
        <f>C59+C60</f>
        <v>37176504</v>
      </c>
      <c r="D61" s="755">
        <f>D59+D60</f>
        <v>37240334</v>
      </c>
      <c r="E61" s="755">
        <f>E59+E60</f>
        <v>39781113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973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974</v>
      </c>
      <c r="C64" s="744">
        <v>0</v>
      </c>
      <c r="D64" s="744">
        <v>0</v>
      </c>
      <c r="E64" s="752">
        <v>0</v>
      </c>
      <c r="F64" s="756"/>
    </row>
    <row r="65" spans="1:6" ht="26.1" customHeight="1" x14ac:dyDescent="0.25">
      <c r="A65" s="742">
        <v>2</v>
      </c>
      <c r="B65" s="743" t="s">
        <v>975</v>
      </c>
      <c r="C65" s="752">
        <v>0</v>
      </c>
      <c r="D65" s="752">
        <v>0</v>
      </c>
      <c r="E65" s="752">
        <v>0</v>
      </c>
      <c r="F65" s="756"/>
    </row>
    <row r="66" spans="1:6" ht="26.1" customHeight="1" x14ac:dyDescent="0.25">
      <c r="A66" s="753">
        <v>3</v>
      </c>
      <c r="B66" s="754" t="s">
        <v>976</v>
      </c>
      <c r="C66" s="757">
        <f>C64+C65</f>
        <v>0</v>
      </c>
      <c r="D66" s="757">
        <f>D64+D65</f>
        <v>0</v>
      </c>
      <c r="E66" s="757">
        <f>E64+E65</f>
        <v>0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977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978</v>
      </c>
      <c r="C69" s="752">
        <v>80702121</v>
      </c>
      <c r="D69" s="752">
        <v>87302564</v>
      </c>
      <c r="E69" s="752">
        <v>93062573</v>
      </c>
    </row>
    <row r="70" spans="1:6" ht="26.1" customHeight="1" x14ac:dyDescent="0.25">
      <c r="A70" s="742">
        <v>2</v>
      </c>
      <c r="B70" s="743" t="s">
        <v>979</v>
      </c>
      <c r="C70" s="752">
        <v>22156113</v>
      </c>
      <c r="D70" s="752">
        <v>21811602</v>
      </c>
      <c r="E70" s="752">
        <v>19349094</v>
      </c>
    </row>
    <row r="71" spans="1:6" ht="26.1" customHeight="1" x14ac:dyDescent="0.25">
      <c r="A71" s="753">
        <v>3</v>
      </c>
      <c r="B71" s="754" t="s">
        <v>980</v>
      </c>
      <c r="C71" s="755">
        <f>C69+C70</f>
        <v>102858234</v>
      </c>
      <c r="D71" s="755">
        <f>D69+D70</f>
        <v>109114166</v>
      </c>
      <c r="E71" s="755">
        <f>E69+E70</f>
        <v>112411667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981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982</v>
      </c>
      <c r="C75" s="744">
        <f t="shared" ref="C75:E76" si="0">+C59+C64+C69</f>
        <v>109870644</v>
      </c>
      <c r="D75" s="744">
        <f t="shared" si="0"/>
        <v>117098664</v>
      </c>
      <c r="E75" s="744">
        <f t="shared" si="0"/>
        <v>125996279</v>
      </c>
    </row>
    <row r="76" spans="1:6" ht="26.1" customHeight="1" x14ac:dyDescent="0.25">
      <c r="A76" s="742">
        <v>2</v>
      </c>
      <c r="B76" s="743" t="s">
        <v>983</v>
      </c>
      <c r="C76" s="744">
        <f t="shared" si="0"/>
        <v>30164094</v>
      </c>
      <c r="D76" s="744">
        <f t="shared" si="0"/>
        <v>29255836</v>
      </c>
      <c r="E76" s="744">
        <f t="shared" si="0"/>
        <v>26196501</v>
      </c>
    </row>
    <row r="77" spans="1:6" ht="26.1" customHeight="1" x14ac:dyDescent="0.25">
      <c r="A77" s="753">
        <v>3</v>
      </c>
      <c r="B77" s="754" t="s">
        <v>981</v>
      </c>
      <c r="C77" s="757">
        <f>C75+C76</f>
        <v>140034738</v>
      </c>
      <c r="D77" s="757">
        <f>D75+D76</f>
        <v>146354500</v>
      </c>
      <c r="E77" s="757">
        <f>E75+E76</f>
        <v>152192780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984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327.3</v>
      </c>
      <c r="D80" s="749">
        <v>329.9</v>
      </c>
      <c r="E80" s="749">
        <v>362.7</v>
      </c>
    </row>
    <row r="81" spans="1:5" ht="26.1" customHeight="1" x14ac:dyDescent="0.25">
      <c r="A81" s="742">
        <v>2</v>
      </c>
      <c r="B81" s="743" t="s">
        <v>617</v>
      </c>
      <c r="C81" s="749">
        <v>44.4</v>
      </c>
      <c r="D81" s="749">
        <v>50</v>
      </c>
      <c r="E81" s="749">
        <v>51.1</v>
      </c>
    </row>
    <row r="82" spans="1:5" ht="26.1" customHeight="1" x14ac:dyDescent="0.25">
      <c r="A82" s="742">
        <v>3</v>
      </c>
      <c r="B82" s="743" t="s">
        <v>985</v>
      </c>
      <c r="C82" s="749">
        <v>1082.7</v>
      </c>
      <c r="D82" s="749">
        <v>1067.8</v>
      </c>
      <c r="E82" s="749">
        <v>1099.8</v>
      </c>
    </row>
    <row r="83" spans="1:5" ht="26.1" customHeight="1" x14ac:dyDescent="0.25">
      <c r="A83" s="753">
        <v>4</v>
      </c>
      <c r="B83" s="754" t="s">
        <v>984</v>
      </c>
      <c r="C83" s="759">
        <f>C80+C81+C82</f>
        <v>1454.4</v>
      </c>
      <c r="D83" s="759">
        <f>D80+D81+D82</f>
        <v>1447.6999999999998</v>
      </c>
      <c r="E83" s="759">
        <f>E80+E81+E82</f>
        <v>1513.6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986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987</v>
      </c>
      <c r="C86" s="752">
        <f>IF(C80=0,0,C59/C80)</f>
        <v>89118.615948670937</v>
      </c>
      <c r="D86" s="752">
        <f>IF(D80=0,0,D59/D80)</f>
        <v>90318.581388299484</v>
      </c>
      <c r="E86" s="752">
        <f>IF(E80=0,0,E59/E80)</f>
        <v>90801.505376344096</v>
      </c>
    </row>
    <row r="87" spans="1:5" ht="26.1" customHeight="1" x14ac:dyDescent="0.25">
      <c r="A87" s="742">
        <v>2</v>
      </c>
      <c r="B87" s="743" t="s">
        <v>988</v>
      </c>
      <c r="C87" s="752">
        <f>IF(C80=0,0,C60/C80)</f>
        <v>24466.791934005498</v>
      </c>
      <c r="D87" s="752">
        <f>IF(D80=0,0,D60/D80)</f>
        <v>22565.122764474083</v>
      </c>
      <c r="E87" s="752">
        <f>IF(E80=0,0,E60/E80)</f>
        <v>18878.982630272953</v>
      </c>
    </row>
    <row r="88" spans="1:5" ht="26.1" customHeight="1" x14ac:dyDescent="0.25">
      <c r="A88" s="753">
        <v>3</v>
      </c>
      <c r="B88" s="754" t="s">
        <v>989</v>
      </c>
      <c r="C88" s="755">
        <f>+C86+C87</f>
        <v>113585.40788267643</v>
      </c>
      <c r="D88" s="755">
        <f>+D86+D87</f>
        <v>112883.70415277357</v>
      </c>
      <c r="E88" s="755">
        <f>+E86+E87</f>
        <v>109680.48800661704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990</v>
      </c>
    </row>
    <row r="91" spans="1:5" ht="26.1" customHeight="1" x14ac:dyDescent="0.25">
      <c r="A91" s="742">
        <v>1</v>
      </c>
      <c r="B91" s="743" t="s">
        <v>991</v>
      </c>
      <c r="C91" s="744">
        <f>IF(C81=0,0,C64/C81)</f>
        <v>0</v>
      </c>
      <c r="D91" s="744">
        <f>IF(D81=0,0,D64/D81)</f>
        <v>0</v>
      </c>
      <c r="E91" s="744">
        <f>IF(E81=0,0,E64/E81)</f>
        <v>0</v>
      </c>
    </row>
    <row r="92" spans="1:5" ht="26.1" customHeight="1" x14ac:dyDescent="0.25">
      <c r="A92" s="742">
        <v>2</v>
      </c>
      <c r="B92" s="743" t="s">
        <v>992</v>
      </c>
      <c r="C92" s="744">
        <f>IF(C81=0,0,C65/C81)</f>
        <v>0</v>
      </c>
      <c r="D92" s="744">
        <f>IF(D81=0,0,D65/D81)</f>
        <v>0</v>
      </c>
      <c r="E92" s="744">
        <f>IF(E81=0,0,E65/E81)</f>
        <v>0</v>
      </c>
    </row>
    <row r="93" spans="1:5" ht="26.1" customHeight="1" x14ac:dyDescent="0.25">
      <c r="A93" s="753">
        <v>3</v>
      </c>
      <c r="B93" s="754" t="s">
        <v>993</v>
      </c>
      <c r="C93" s="757">
        <f>+C91+C92</f>
        <v>0</v>
      </c>
      <c r="D93" s="757">
        <f>+D91+D92</f>
        <v>0</v>
      </c>
      <c r="E93" s="757">
        <f>+E91+E92</f>
        <v>0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994</v>
      </c>
      <c r="B95" s="745" t="s">
        <v>995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996</v>
      </c>
      <c r="C96" s="752">
        <f>IF(C82=0,0,C69/C82)</f>
        <v>74537.841507342746</v>
      </c>
      <c r="D96" s="752">
        <f>IF(D82=0,0,D69/D82)</f>
        <v>81759.284510207901</v>
      </c>
      <c r="E96" s="752">
        <f>IF(E82=0,0,E69/E82)</f>
        <v>84617.724131660303</v>
      </c>
    </row>
    <row r="97" spans="1:5" ht="26.1" customHeight="1" x14ac:dyDescent="0.25">
      <c r="A97" s="742">
        <v>2</v>
      </c>
      <c r="B97" s="743" t="s">
        <v>997</v>
      </c>
      <c r="C97" s="752">
        <f>IF(C82=0,0,C70/C82)</f>
        <v>20463.760044333609</v>
      </c>
      <c r="D97" s="752">
        <f>IF(D82=0,0,D70/D82)</f>
        <v>20426.673534369733</v>
      </c>
      <c r="E97" s="752">
        <f>IF(E82=0,0,E70/E82)</f>
        <v>17593.284233497001</v>
      </c>
    </row>
    <row r="98" spans="1:5" ht="26.1" customHeight="1" x14ac:dyDescent="0.25">
      <c r="A98" s="753">
        <v>3</v>
      </c>
      <c r="B98" s="754" t="s">
        <v>998</v>
      </c>
      <c r="C98" s="757">
        <f>+C96+C97</f>
        <v>95001.601551676358</v>
      </c>
      <c r="D98" s="757">
        <f>+D96+D97</f>
        <v>102185.95804457764</v>
      </c>
      <c r="E98" s="757">
        <f>+E96+E97</f>
        <v>102211.00836515731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999</v>
      </c>
      <c r="B100" s="745" t="s">
        <v>1000</v>
      </c>
    </row>
    <row r="101" spans="1:5" ht="26.1" customHeight="1" x14ac:dyDescent="0.25">
      <c r="A101" s="742">
        <v>1</v>
      </c>
      <c r="B101" s="743" t="s">
        <v>1001</v>
      </c>
      <c r="C101" s="744">
        <f>IF(C83=0,0,C75/C83)</f>
        <v>75543.622112211218</v>
      </c>
      <c r="D101" s="744">
        <f>IF(D83=0,0,D75/D83)</f>
        <v>80886.001243351537</v>
      </c>
      <c r="E101" s="744">
        <f>IF(E83=0,0,E75/E83)</f>
        <v>83242.784751585627</v>
      </c>
    </row>
    <row r="102" spans="1:5" ht="26.1" customHeight="1" x14ac:dyDescent="0.25">
      <c r="A102" s="742">
        <v>2</v>
      </c>
      <c r="B102" s="743" t="s">
        <v>1002</v>
      </c>
      <c r="C102" s="761">
        <f>IF(C83=0,0,C76/C83)</f>
        <v>20739.888613861385</v>
      </c>
      <c r="D102" s="761">
        <f>IF(D83=0,0,D76/D83)</f>
        <v>20208.493472404505</v>
      </c>
      <c r="E102" s="761">
        <f>IF(E83=0,0,E76/E83)</f>
        <v>17307.413451374206</v>
      </c>
    </row>
    <row r="103" spans="1:5" ht="26.1" customHeight="1" x14ac:dyDescent="0.25">
      <c r="A103" s="753">
        <v>3</v>
      </c>
      <c r="B103" s="754" t="s">
        <v>1000</v>
      </c>
      <c r="C103" s="757">
        <f>+C101+C102</f>
        <v>96283.510726072607</v>
      </c>
      <c r="D103" s="757">
        <f>+D101+D102</f>
        <v>101094.49471575604</v>
      </c>
      <c r="E103" s="757">
        <f>+E101+E102</f>
        <v>100550.19820295983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1003</v>
      </c>
      <c r="B107" s="736" t="s">
        <v>1004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1005</v>
      </c>
      <c r="C108" s="744">
        <f>IF(C19=0,0,C77/C19)</f>
        <v>3293.0753927194055</v>
      </c>
      <c r="D108" s="744">
        <f>IF(D19=0,0,D77/D19)</f>
        <v>3251.5996445234391</v>
      </c>
      <c r="E108" s="744">
        <f>IF(E19=0,0,E77/E19)</f>
        <v>3404.455529706514</v>
      </c>
    </row>
    <row r="109" spans="1:5" ht="26.1" customHeight="1" x14ac:dyDescent="0.25">
      <c r="A109" s="742">
        <v>2</v>
      </c>
      <c r="B109" s="743" t="s">
        <v>1006</v>
      </c>
      <c r="C109" s="744">
        <f>IF(C20=0,0,C77/C20)</f>
        <v>24131.438566258832</v>
      </c>
      <c r="D109" s="744">
        <f>IF(D20=0,0,D77/D20)</f>
        <v>24202.827848519926</v>
      </c>
      <c r="E109" s="744">
        <f>IF(E20=0,0,E77/E20)</f>
        <v>23720.819825436411</v>
      </c>
    </row>
    <row r="110" spans="1:5" ht="26.1" customHeight="1" x14ac:dyDescent="0.25">
      <c r="A110" s="742">
        <v>3</v>
      </c>
      <c r="B110" s="743" t="s">
        <v>1007</v>
      </c>
      <c r="C110" s="744">
        <f>IF(C22=0,0,C77/C22)</f>
        <v>1847.869363376635</v>
      </c>
      <c r="D110" s="744">
        <f>IF(D22=0,0,D77/D22)</f>
        <v>1897.5688664367835</v>
      </c>
      <c r="E110" s="744">
        <f>IF(E22=0,0,E77/E22)</f>
        <v>1984.8109147018581</v>
      </c>
    </row>
    <row r="111" spans="1:5" ht="26.1" customHeight="1" x14ac:dyDescent="0.25">
      <c r="A111" s="742">
        <v>4</v>
      </c>
      <c r="B111" s="743" t="s">
        <v>1008</v>
      </c>
      <c r="C111" s="744">
        <f>IF(C23=0,0,C77/C23)</f>
        <v>13541.06441637567</v>
      </c>
      <c r="D111" s="744">
        <f>IF(D23=0,0,D77/D23)</f>
        <v>14124.288850391868</v>
      </c>
      <c r="E111" s="744">
        <f>IF(E23=0,0,E77/E23)</f>
        <v>13829.330911912697</v>
      </c>
    </row>
    <row r="112" spans="1:5" ht="26.1" customHeight="1" x14ac:dyDescent="0.25">
      <c r="A112" s="742">
        <v>5</v>
      </c>
      <c r="B112" s="743" t="s">
        <v>1009</v>
      </c>
      <c r="C112" s="744">
        <f>IF(C29=0,0,C77/C29)</f>
        <v>1038.579505468706</v>
      </c>
      <c r="D112" s="744">
        <f>IF(D29=0,0,D77/D29)</f>
        <v>1078.5752911997265</v>
      </c>
      <c r="E112" s="744">
        <f>IF(E29=0,0,E77/E29)</f>
        <v>1149.4767983690979</v>
      </c>
    </row>
    <row r="113" spans="1:7" ht="25.5" customHeight="1" x14ac:dyDescent="0.25">
      <c r="A113" s="742">
        <v>6</v>
      </c>
      <c r="B113" s="743" t="s">
        <v>1010</v>
      </c>
      <c r="C113" s="744">
        <f>IF(C30=0,0,C77/C30)</f>
        <v>7610.6418904965094</v>
      </c>
      <c r="D113" s="744">
        <f>IF(D30=0,0,D77/D30)</f>
        <v>8028.224550504332</v>
      </c>
      <c r="E113" s="744">
        <f>IF(E30=0,0,E77/E30)</f>
        <v>8009.0727547213446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56" fitToHeight="5" orientation="portrait" horizontalDpi="1200" verticalDpi="1200" r:id="rId1"/>
  <headerFooter>
    <oddHeader>&amp;L&amp;"Arial,Bold"&amp;12OFFICE OF HEALTH CARE ACCESS&amp;C&amp;"Arial,Bold"&amp;12TWELVE MONTHS ACTUAL FILING&amp;R&amp;"Arial,Bold"&amp;12CT CHILDREN`S MEDICAL CENTER</oddHeader>
    <oddFooter>&amp;L&amp;"Arial,Bold"&amp;12REPORT 700&amp;C&amp;"Arial,Bold"&amp;12PAGE &amp;P of &amp;N&amp;R&amp;"Arial,Bold"&amp;12&amp;D, &amp;T</oddFooter>
  </headerFooter>
  <rowBreaks count="2" manualBreakCount="2">
    <brk id="40" max="4" man="1"/>
    <brk id="7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75" zoomScaleNormal="75" zoomScaleSheetLayoutView="75" workbookViewId="0">
      <selection activeCell="I27" sqref="I2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668252698</v>
      </c>
      <c r="D12" s="76">
        <v>726117965</v>
      </c>
      <c r="E12" s="76">
        <f t="shared" ref="E12:E21" si="0">D12-C12</f>
        <v>57865267</v>
      </c>
      <c r="F12" s="77">
        <f t="shared" ref="F12:F21" si="1">IF(C12=0,0,E12/C12)</f>
        <v>8.6591894313608891E-2</v>
      </c>
    </row>
    <row r="13" spans="1:8" ht="23.1" customHeight="1" x14ac:dyDescent="0.2">
      <c r="A13" s="74">
        <v>2</v>
      </c>
      <c r="B13" s="75" t="s">
        <v>72</v>
      </c>
      <c r="C13" s="76">
        <v>369005460</v>
      </c>
      <c r="D13" s="76">
        <v>413474247</v>
      </c>
      <c r="E13" s="76">
        <f t="shared" si="0"/>
        <v>44468787</v>
      </c>
      <c r="F13" s="77">
        <f t="shared" si="1"/>
        <v>0.12050983473252672</v>
      </c>
    </row>
    <row r="14" spans="1:8" ht="23.1" customHeight="1" x14ac:dyDescent="0.2">
      <c r="A14" s="74">
        <v>3</v>
      </c>
      <c r="B14" s="75" t="s">
        <v>73</v>
      </c>
      <c r="C14" s="76">
        <v>1893788</v>
      </c>
      <c r="D14" s="76">
        <v>2097657</v>
      </c>
      <c r="E14" s="76">
        <f t="shared" si="0"/>
        <v>203869</v>
      </c>
      <c r="F14" s="77">
        <f t="shared" si="1"/>
        <v>0.10765143722528604</v>
      </c>
    </row>
    <row r="15" spans="1:8" ht="23.1" customHeight="1" x14ac:dyDescent="0.2">
      <c r="A15" s="74">
        <v>4</v>
      </c>
      <c r="B15" s="75" t="s">
        <v>74</v>
      </c>
      <c r="C15" s="76">
        <v>3466164</v>
      </c>
      <c r="D15" s="76">
        <v>3776480</v>
      </c>
      <c r="E15" s="76">
        <f t="shared" si="0"/>
        <v>310316</v>
      </c>
      <c r="F15" s="77">
        <f t="shared" si="1"/>
        <v>8.9527212215001942E-2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293887286</v>
      </c>
      <c r="D16" s="79">
        <f>D12-D13-D14-D15</f>
        <v>306769581</v>
      </c>
      <c r="E16" s="79">
        <f t="shared" si="0"/>
        <v>12882295</v>
      </c>
      <c r="F16" s="80">
        <f t="shared" si="1"/>
        <v>4.3834135104435921E-2</v>
      </c>
    </row>
    <row r="17" spans="1:7" ht="23.1" customHeight="1" x14ac:dyDescent="0.2">
      <c r="A17" s="74">
        <v>5</v>
      </c>
      <c r="B17" s="75" t="s">
        <v>76</v>
      </c>
      <c r="C17" s="76">
        <v>852481</v>
      </c>
      <c r="D17" s="76">
        <v>1605446</v>
      </c>
      <c r="E17" s="76">
        <f t="shared" si="0"/>
        <v>752965</v>
      </c>
      <c r="F17" s="77">
        <f t="shared" si="1"/>
        <v>0.88326308738845793</v>
      </c>
      <c r="G17" s="65"/>
    </row>
    <row r="18" spans="1:7" ht="31.5" customHeight="1" x14ac:dyDescent="0.25">
      <c r="A18" s="71"/>
      <c r="B18" s="81" t="s">
        <v>77</v>
      </c>
      <c r="C18" s="79">
        <f>C16-C17</f>
        <v>293034805</v>
      </c>
      <c r="D18" s="79">
        <f>D16-D17</f>
        <v>305164135</v>
      </c>
      <c r="E18" s="79">
        <f t="shared" si="0"/>
        <v>12129330</v>
      </c>
      <c r="F18" s="80">
        <f t="shared" si="1"/>
        <v>4.1392113813920502E-2</v>
      </c>
    </row>
    <row r="19" spans="1:7" ht="23.1" customHeight="1" x14ac:dyDescent="0.2">
      <c r="A19" s="74">
        <v>6</v>
      </c>
      <c r="B19" s="75" t="s">
        <v>78</v>
      </c>
      <c r="C19" s="76">
        <v>3320641</v>
      </c>
      <c r="D19" s="76">
        <v>3849544</v>
      </c>
      <c r="E19" s="76">
        <f t="shared" si="0"/>
        <v>528903</v>
      </c>
      <c r="F19" s="77">
        <f t="shared" si="1"/>
        <v>0.15927738048166001</v>
      </c>
      <c r="G19" s="65"/>
    </row>
    <row r="20" spans="1:7" ht="33" customHeight="1" x14ac:dyDescent="0.2">
      <c r="A20" s="74">
        <v>7</v>
      </c>
      <c r="B20" s="82" t="s">
        <v>79</v>
      </c>
      <c r="C20" s="76">
        <v>15485926</v>
      </c>
      <c r="D20" s="76">
        <v>16467708</v>
      </c>
      <c r="E20" s="76">
        <f t="shared" si="0"/>
        <v>981782</v>
      </c>
      <c r="F20" s="77">
        <f t="shared" si="1"/>
        <v>6.3398339886165028E-2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311841372</v>
      </c>
      <c r="D21" s="79">
        <f>SUM(D18:D20)</f>
        <v>325481387</v>
      </c>
      <c r="E21" s="79">
        <f t="shared" si="0"/>
        <v>13640015</v>
      </c>
      <c r="F21" s="80">
        <f t="shared" si="1"/>
        <v>4.3740235339908652E-2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117098664</v>
      </c>
      <c r="D24" s="76">
        <v>125996279</v>
      </c>
      <c r="E24" s="76">
        <f t="shared" ref="E24:E33" si="2">D24-C24</f>
        <v>8897615</v>
      </c>
      <c r="F24" s="77">
        <f t="shared" ref="F24:F33" si="3">IF(C24=0,0,E24/C24)</f>
        <v>7.5983915580796035E-2</v>
      </c>
    </row>
    <row r="25" spans="1:7" ht="23.1" customHeight="1" x14ac:dyDescent="0.2">
      <c r="A25" s="74">
        <v>2</v>
      </c>
      <c r="B25" s="75" t="s">
        <v>83</v>
      </c>
      <c r="C25" s="76">
        <v>29255836</v>
      </c>
      <c r="D25" s="76">
        <v>26196501</v>
      </c>
      <c r="E25" s="76">
        <f t="shared" si="2"/>
        <v>-3059335</v>
      </c>
      <c r="F25" s="77">
        <f t="shared" si="3"/>
        <v>-0.10457178526704894</v>
      </c>
    </row>
    <row r="26" spans="1:7" ht="23.1" customHeight="1" x14ac:dyDescent="0.2">
      <c r="A26" s="74">
        <v>3</v>
      </c>
      <c r="B26" s="75" t="s">
        <v>84</v>
      </c>
      <c r="C26" s="76">
        <v>12947896</v>
      </c>
      <c r="D26" s="76">
        <v>13118485</v>
      </c>
      <c r="E26" s="76">
        <f t="shared" si="2"/>
        <v>170589</v>
      </c>
      <c r="F26" s="77">
        <f t="shared" si="3"/>
        <v>1.3175036314780409E-2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24748107</v>
      </c>
      <c r="D27" s="76">
        <v>30364995</v>
      </c>
      <c r="E27" s="76">
        <f t="shared" si="2"/>
        <v>5616888</v>
      </c>
      <c r="F27" s="77">
        <f t="shared" si="3"/>
        <v>0.22696232887630557</v>
      </c>
    </row>
    <row r="28" spans="1:7" ht="23.1" customHeight="1" x14ac:dyDescent="0.2">
      <c r="A28" s="74">
        <v>5</v>
      </c>
      <c r="B28" s="75" t="s">
        <v>86</v>
      </c>
      <c r="C28" s="76">
        <v>17239933</v>
      </c>
      <c r="D28" s="76">
        <v>19075786</v>
      </c>
      <c r="E28" s="76">
        <f t="shared" si="2"/>
        <v>1835853</v>
      </c>
      <c r="F28" s="77">
        <f t="shared" si="3"/>
        <v>0.10648840688650008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1230401</v>
      </c>
      <c r="D30" s="76">
        <v>1137843</v>
      </c>
      <c r="E30" s="76">
        <f t="shared" si="2"/>
        <v>-92558</v>
      </c>
      <c r="F30" s="77">
        <f t="shared" si="3"/>
        <v>-7.5225881643464207E-2</v>
      </c>
    </row>
    <row r="31" spans="1:7" ht="23.1" customHeight="1" x14ac:dyDescent="0.2">
      <c r="A31" s="74">
        <v>8</v>
      </c>
      <c r="B31" s="75" t="s">
        <v>89</v>
      </c>
      <c r="C31" s="76">
        <v>3757011</v>
      </c>
      <c r="D31" s="76">
        <v>2533717</v>
      </c>
      <c r="E31" s="76">
        <f t="shared" si="2"/>
        <v>-1223294</v>
      </c>
      <c r="F31" s="77">
        <f t="shared" si="3"/>
        <v>-0.32560298599072507</v>
      </c>
    </row>
    <row r="32" spans="1:7" ht="23.1" customHeight="1" x14ac:dyDescent="0.2">
      <c r="A32" s="74">
        <v>9</v>
      </c>
      <c r="B32" s="75" t="s">
        <v>90</v>
      </c>
      <c r="C32" s="76">
        <v>81919697</v>
      </c>
      <c r="D32" s="76">
        <v>84323262</v>
      </c>
      <c r="E32" s="76">
        <f t="shared" si="2"/>
        <v>2403565</v>
      </c>
      <c r="F32" s="77">
        <f t="shared" si="3"/>
        <v>2.9340501589013447E-2</v>
      </c>
    </row>
    <row r="33" spans="1:6" ht="23.1" customHeight="1" x14ac:dyDescent="0.25">
      <c r="A33" s="71"/>
      <c r="B33" s="78" t="s">
        <v>91</v>
      </c>
      <c r="C33" s="79">
        <f>SUM(C24:C32)</f>
        <v>288197545</v>
      </c>
      <c r="D33" s="79">
        <f>SUM(D24:D32)</f>
        <v>302746868</v>
      </c>
      <c r="E33" s="79">
        <f t="shared" si="2"/>
        <v>14549323</v>
      </c>
      <c r="F33" s="80">
        <f t="shared" si="3"/>
        <v>5.0483854746229712E-2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23643827</v>
      </c>
      <c r="D35" s="79">
        <f>+D21-D33</f>
        <v>22734519</v>
      </c>
      <c r="E35" s="79">
        <f>D35-C35</f>
        <v>-909308</v>
      </c>
      <c r="F35" s="80">
        <f>IF(C35=0,0,E35/C35)</f>
        <v>-3.8458579484615583E-2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5156717</v>
      </c>
      <c r="D38" s="76">
        <v>7722695</v>
      </c>
      <c r="E38" s="76">
        <f>D38-C38</f>
        <v>2565978</v>
      </c>
      <c r="F38" s="77">
        <f>IF(C38=0,0,E38/C38)</f>
        <v>0.49759915077751987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-655403</v>
      </c>
      <c r="D40" s="76">
        <v>0</v>
      </c>
      <c r="E40" s="76">
        <f>D40-C40</f>
        <v>655403</v>
      </c>
      <c r="F40" s="77">
        <f>IF(C40=0,0,E40/C40)</f>
        <v>-1</v>
      </c>
    </row>
    <row r="41" spans="1:6" ht="23.1" customHeight="1" x14ac:dyDescent="0.25">
      <c r="A41" s="83"/>
      <c r="B41" s="78" t="s">
        <v>97</v>
      </c>
      <c r="C41" s="79">
        <f>SUM(C38:C40)</f>
        <v>4501314</v>
      </c>
      <c r="D41" s="79">
        <f>SUM(D38:D40)</f>
        <v>7722695</v>
      </c>
      <c r="E41" s="79">
        <f>D41-C41</f>
        <v>3221381</v>
      </c>
      <c r="F41" s="80">
        <f>IF(C41=0,0,E41/C41)</f>
        <v>0.71565347363014442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28145141</v>
      </c>
      <c r="D43" s="79">
        <f>D35+D41</f>
        <v>30457214</v>
      </c>
      <c r="E43" s="79">
        <f>D43-C43</f>
        <v>2312073</v>
      </c>
      <c r="F43" s="80">
        <f>IF(C43=0,0,E43/C43)</f>
        <v>8.2148211657564627E-2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28145141</v>
      </c>
      <c r="D50" s="79">
        <f>D43+D48</f>
        <v>30457214</v>
      </c>
      <c r="E50" s="79">
        <f>D50-C50</f>
        <v>2312073</v>
      </c>
      <c r="F50" s="80">
        <f>IF(C50=0,0,E50/C50)</f>
        <v>8.2148211657564627E-2</v>
      </c>
    </row>
    <row r="51" spans="1:6" ht="23.1" customHeight="1" x14ac:dyDescent="0.2">
      <c r="A51" s="85"/>
      <c r="B51" s="75" t="s">
        <v>104</v>
      </c>
      <c r="C51" s="76">
        <v>7853485</v>
      </c>
      <c r="D51" s="76">
        <v>7216002</v>
      </c>
      <c r="E51" s="76">
        <f>D51-C51</f>
        <v>-637483</v>
      </c>
      <c r="F51" s="77">
        <f>IF(C51=0,0,E51/C51)</f>
        <v>-8.1171989250632043E-2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6" orientation="portrait" horizontalDpi="1200" verticalDpi="1200" r:id="rId1"/>
  <headerFooter>
    <oddHeader>&amp;LOFFICE OF HEALTH CARE ACCESS&amp;CTWELVE MONTHS ACTUAL FILING&amp;RCT CHILDREN`S MEDICAL CENTER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6" zoomScale="75" zoomScaleNormal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1698315</v>
      </c>
      <c r="D14" s="113">
        <v>1122036</v>
      </c>
      <c r="E14" s="113">
        <f t="shared" ref="E14:E25" si="0">D14-C14</f>
        <v>-576279</v>
      </c>
      <c r="F14" s="114">
        <f t="shared" ref="F14:F25" si="1">IF(C14=0,0,E14/C14)</f>
        <v>-0.33932397700073308</v>
      </c>
    </row>
    <row r="15" spans="1:6" x14ac:dyDescent="0.2">
      <c r="A15" s="115">
        <v>2</v>
      </c>
      <c r="B15" s="116" t="s">
        <v>114</v>
      </c>
      <c r="C15" s="113">
        <v>0</v>
      </c>
      <c r="D15" s="113">
        <v>0</v>
      </c>
      <c r="E15" s="113">
        <f t="shared" si="0"/>
        <v>0</v>
      </c>
      <c r="F15" s="114">
        <f t="shared" si="1"/>
        <v>0</v>
      </c>
    </row>
    <row r="16" spans="1:6" x14ac:dyDescent="0.2">
      <c r="A16" s="115">
        <v>3</v>
      </c>
      <c r="B16" s="116" t="s">
        <v>115</v>
      </c>
      <c r="C16" s="113">
        <v>218045317</v>
      </c>
      <c r="D16" s="113">
        <v>235198677</v>
      </c>
      <c r="E16" s="113">
        <f t="shared" si="0"/>
        <v>17153360</v>
      </c>
      <c r="F16" s="114">
        <f t="shared" si="1"/>
        <v>7.8668784250936236E-2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3052459</v>
      </c>
      <c r="D18" s="113">
        <v>3561163</v>
      </c>
      <c r="E18" s="113">
        <f t="shared" si="0"/>
        <v>508704</v>
      </c>
      <c r="F18" s="114">
        <f t="shared" si="1"/>
        <v>0.16665383548149212</v>
      </c>
    </row>
    <row r="19" spans="1:6" x14ac:dyDescent="0.2">
      <c r="A19" s="115">
        <v>6</v>
      </c>
      <c r="B19" s="116" t="s">
        <v>118</v>
      </c>
      <c r="C19" s="113">
        <v>0</v>
      </c>
      <c r="D19" s="113">
        <v>0</v>
      </c>
      <c r="E19" s="113">
        <f t="shared" si="0"/>
        <v>0</v>
      </c>
      <c r="F19" s="114">
        <f t="shared" si="1"/>
        <v>0</v>
      </c>
    </row>
    <row r="20" spans="1:6" x14ac:dyDescent="0.2">
      <c r="A20" s="115">
        <v>7</v>
      </c>
      <c r="B20" s="116" t="s">
        <v>119</v>
      </c>
      <c r="C20" s="113">
        <v>166288215</v>
      </c>
      <c r="D20" s="113">
        <v>182292313</v>
      </c>
      <c r="E20" s="113">
        <f t="shared" si="0"/>
        <v>16004098</v>
      </c>
      <c r="F20" s="114">
        <f t="shared" si="1"/>
        <v>9.6243128233711575E-2</v>
      </c>
    </row>
    <row r="21" spans="1:6" x14ac:dyDescent="0.2">
      <c r="A21" s="115">
        <v>8</v>
      </c>
      <c r="B21" s="116" t="s">
        <v>120</v>
      </c>
      <c r="C21" s="113">
        <v>0</v>
      </c>
      <c r="D21" s="113">
        <v>0</v>
      </c>
      <c r="E21" s="113">
        <f t="shared" si="0"/>
        <v>0</v>
      </c>
      <c r="F21" s="114">
        <f t="shared" si="1"/>
        <v>0</v>
      </c>
    </row>
    <row r="22" spans="1:6" x14ac:dyDescent="0.2">
      <c r="A22" s="115">
        <v>9</v>
      </c>
      <c r="B22" s="116" t="s">
        <v>121</v>
      </c>
      <c r="C22" s="113">
        <v>894674</v>
      </c>
      <c r="D22" s="113">
        <v>1155430</v>
      </c>
      <c r="E22" s="113">
        <f t="shared" si="0"/>
        <v>260756</v>
      </c>
      <c r="F22" s="114">
        <f t="shared" si="1"/>
        <v>0.29145364680319313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389978980</v>
      </c>
      <c r="D25" s="119">
        <f>SUM(D14:D24)</f>
        <v>423329619</v>
      </c>
      <c r="E25" s="119">
        <f t="shared" si="0"/>
        <v>33350639</v>
      </c>
      <c r="F25" s="120">
        <f t="shared" si="1"/>
        <v>8.5519068232857057E-2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427046</v>
      </c>
      <c r="D27" s="113">
        <v>520464</v>
      </c>
      <c r="E27" s="113">
        <f t="shared" ref="E27:E38" si="2">D27-C27</f>
        <v>93418</v>
      </c>
      <c r="F27" s="114">
        <f t="shared" ref="F27:F38" si="3">IF(C27=0,0,E27/C27)</f>
        <v>0.21875395156493679</v>
      </c>
    </row>
    <row r="28" spans="1:6" x14ac:dyDescent="0.2">
      <c r="A28" s="115">
        <v>2</v>
      </c>
      <c r="B28" s="116" t="s">
        <v>114</v>
      </c>
      <c r="C28" s="113">
        <v>0</v>
      </c>
      <c r="D28" s="113">
        <v>0</v>
      </c>
      <c r="E28" s="113">
        <f t="shared" si="2"/>
        <v>0</v>
      </c>
      <c r="F28" s="114">
        <f t="shared" si="3"/>
        <v>0</v>
      </c>
    </row>
    <row r="29" spans="1:6" x14ac:dyDescent="0.2">
      <c r="A29" s="115">
        <v>3</v>
      </c>
      <c r="B29" s="116" t="s">
        <v>115</v>
      </c>
      <c r="C29" s="113">
        <v>139794966</v>
      </c>
      <c r="D29" s="113">
        <v>151189857</v>
      </c>
      <c r="E29" s="113">
        <f t="shared" si="2"/>
        <v>11394891</v>
      </c>
      <c r="F29" s="114">
        <f t="shared" si="3"/>
        <v>8.1511454425333169E-2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1724718</v>
      </c>
      <c r="D31" s="113">
        <v>2230670</v>
      </c>
      <c r="E31" s="113">
        <f t="shared" si="2"/>
        <v>505952</v>
      </c>
      <c r="F31" s="114">
        <f t="shared" si="3"/>
        <v>0.29335346416051783</v>
      </c>
    </row>
    <row r="32" spans="1:6" x14ac:dyDescent="0.2">
      <c r="A32" s="115">
        <v>6</v>
      </c>
      <c r="B32" s="116" t="s">
        <v>118</v>
      </c>
      <c r="C32" s="113">
        <v>0</v>
      </c>
      <c r="D32" s="113">
        <v>0</v>
      </c>
      <c r="E32" s="113">
        <f t="shared" si="2"/>
        <v>0</v>
      </c>
      <c r="F32" s="114">
        <f t="shared" si="3"/>
        <v>0</v>
      </c>
    </row>
    <row r="33" spans="1:6" x14ac:dyDescent="0.2">
      <c r="A33" s="115">
        <v>7</v>
      </c>
      <c r="B33" s="116" t="s">
        <v>119</v>
      </c>
      <c r="C33" s="113">
        <v>133873081</v>
      </c>
      <c r="D33" s="113">
        <v>146288402</v>
      </c>
      <c r="E33" s="113">
        <f t="shared" si="2"/>
        <v>12415321</v>
      </c>
      <c r="F33" s="114">
        <f t="shared" si="3"/>
        <v>9.2739488082746069E-2</v>
      </c>
    </row>
    <row r="34" spans="1:6" x14ac:dyDescent="0.2">
      <c r="A34" s="115">
        <v>8</v>
      </c>
      <c r="B34" s="116" t="s">
        <v>120</v>
      </c>
      <c r="C34" s="113">
        <v>0</v>
      </c>
      <c r="D34" s="113">
        <v>0</v>
      </c>
      <c r="E34" s="113">
        <f t="shared" si="2"/>
        <v>0</v>
      </c>
      <c r="F34" s="114">
        <f t="shared" si="3"/>
        <v>0</v>
      </c>
    </row>
    <row r="35" spans="1:6" x14ac:dyDescent="0.2">
      <c r="A35" s="115">
        <v>9</v>
      </c>
      <c r="B35" s="116" t="s">
        <v>121</v>
      </c>
      <c r="C35" s="113">
        <v>2453906</v>
      </c>
      <c r="D35" s="113">
        <v>2558953</v>
      </c>
      <c r="E35" s="113">
        <f t="shared" si="2"/>
        <v>105047</v>
      </c>
      <c r="F35" s="114">
        <f t="shared" si="3"/>
        <v>4.2808078223045221E-2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278273717</v>
      </c>
      <c r="D38" s="119">
        <f>SUM(D27:D37)</f>
        <v>302788346</v>
      </c>
      <c r="E38" s="119">
        <f t="shared" si="2"/>
        <v>24514629</v>
      </c>
      <c r="F38" s="120">
        <f t="shared" si="3"/>
        <v>8.8095380563734657E-2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2125361</v>
      </c>
      <c r="D41" s="119">
        <f t="shared" si="4"/>
        <v>1642500</v>
      </c>
      <c r="E41" s="123">
        <f t="shared" ref="E41:E52" si="5">D41-C41</f>
        <v>-482861</v>
      </c>
      <c r="F41" s="124">
        <f t="shared" ref="F41:F52" si="6">IF(C41=0,0,E41/C41)</f>
        <v>-0.2271901102918516</v>
      </c>
    </row>
    <row r="42" spans="1:6" ht="15.75" x14ac:dyDescent="0.25">
      <c r="A42" s="121">
        <v>2</v>
      </c>
      <c r="B42" s="122" t="s">
        <v>114</v>
      </c>
      <c r="C42" s="119">
        <f t="shared" si="4"/>
        <v>0</v>
      </c>
      <c r="D42" s="119">
        <f t="shared" si="4"/>
        <v>0</v>
      </c>
      <c r="E42" s="123">
        <f t="shared" si="5"/>
        <v>0</v>
      </c>
      <c r="F42" s="124">
        <f t="shared" si="6"/>
        <v>0</v>
      </c>
    </row>
    <row r="43" spans="1:6" ht="15.75" x14ac:dyDescent="0.25">
      <c r="A43" s="121">
        <v>3</v>
      </c>
      <c r="B43" s="122" t="s">
        <v>115</v>
      </c>
      <c r="C43" s="119">
        <f t="shared" si="4"/>
        <v>357840283</v>
      </c>
      <c r="D43" s="119">
        <f t="shared" si="4"/>
        <v>386388534</v>
      </c>
      <c r="E43" s="123">
        <f t="shared" si="5"/>
        <v>28548251</v>
      </c>
      <c r="F43" s="124">
        <f t="shared" si="6"/>
        <v>7.9779310369034115E-2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4777177</v>
      </c>
      <c r="D45" s="119">
        <f t="shared" si="4"/>
        <v>5791833</v>
      </c>
      <c r="E45" s="123">
        <f t="shared" si="5"/>
        <v>1014656</v>
      </c>
      <c r="F45" s="124">
        <f t="shared" si="6"/>
        <v>0.21239656809869092</v>
      </c>
    </row>
    <row r="46" spans="1:6" ht="15.75" x14ac:dyDescent="0.25">
      <c r="A46" s="121">
        <v>6</v>
      </c>
      <c r="B46" s="122" t="s">
        <v>118</v>
      </c>
      <c r="C46" s="119">
        <f t="shared" si="4"/>
        <v>0</v>
      </c>
      <c r="D46" s="119">
        <f t="shared" si="4"/>
        <v>0</v>
      </c>
      <c r="E46" s="123">
        <f t="shared" si="5"/>
        <v>0</v>
      </c>
      <c r="F46" s="124">
        <f t="shared" si="6"/>
        <v>0</v>
      </c>
    </row>
    <row r="47" spans="1:6" ht="15.75" x14ac:dyDescent="0.25">
      <c r="A47" s="121">
        <v>7</v>
      </c>
      <c r="B47" s="122" t="s">
        <v>119</v>
      </c>
      <c r="C47" s="119">
        <f t="shared" si="4"/>
        <v>300161296</v>
      </c>
      <c r="D47" s="119">
        <f t="shared" si="4"/>
        <v>328580715</v>
      </c>
      <c r="E47" s="123">
        <f t="shared" si="5"/>
        <v>28419419</v>
      </c>
      <c r="F47" s="124">
        <f t="shared" si="6"/>
        <v>9.4680491384871945E-2</v>
      </c>
    </row>
    <row r="48" spans="1:6" ht="15.75" x14ac:dyDescent="0.25">
      <c r="A48" s="121">
        <v>8</v>
      </c>
      <c r="B48" s="122" t="s">
        <v>120</v>
      </c>
      <c r="C48" s="119">
        <f t="shared" si="4"/>
        <v>0</v>
      </c>
      <c r="D48" s="119">
        <f t="shared" si="4"/>
        <v>0</v>
      </c>
      <c r="E48" s="123">
        <f t="shared" si="5"/>
        <v>0</v>
      </c>
      <c r="F48" s="124">
        <f t="shared" si="6"/>
        <v>0</v>
      </c>
    </row>
    <row r="49" spans="1:6" ht="15.75" x14ac:dyDescent="0.25">
      <c r="A49" s="121">
        <v>9</v>
      </c>
      <c r="B49" s="122" t="s">
        <v>121</v>
      </c>
      <c r="C49" s="119">
        <f t="shared" si="4"/>
        <v>3348580</v>
      </c>
      <c r="D49" s="119">
        <f t="shared" si="4"/>
        <v>3714383</v>
      </c>
      <c r="E49" s="123">
        <f t="shared" si="5"/>
        <v>365803</v>
      </c>
      <c r="F49" s="124">
        <f t="shared" si="6"/>
        <v>0.10924123061118444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668252697</v>
      </c>
      <c r="D52" s="128">
        <f>SUM(D41:D51)</f>
        <v>726117965</v>
      </c>
      <c r="E52" s="127">
        <f t="shared" si="5"/>
        <v>57865268</v>
      </c>
      <c r="F52" s="129">
        <f t="shared" si="6"/>
        <v>8.6591895939628363E-2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2433392</v>
      </c>
      <c r="D57" s="113">
        <v>2271071</v>
      </c>
      <c r="E57" s="113">
        <f t="shared" ref="E57:E68" si="7">D57-C57</f>
        <v>-162321</v>
      </c>
      <c r="F57" s="114">
        <f t="shared" ref="F57:F68" si="8">IF(C57=0,0,E57/C57)</f>
        <v>-6.6705652028115486E-2</v>
      </c>
    </row>
    <row r="58" spans="1:6" x14ac:dyDescent="0.2">
      <c r="A58" s="115">
        <v>2</v>
      </c>
      <c r="B58" s="116" t="s">
        <v>114</v>
      </c>
      <c r="C58" s="113">
        <v>0</v>
      </c>
      <c r="D58" s="113">
        <v>0</v>
      </c>
      <c r="E58" s="113">
        <f t="shared" si="7"/>
        <v>0</v>
      </c>
      <c r="F58" s="114">
        <f t="shared" si="8"/>
        <v>0</v>
      </c>
    </row>
    <row r="59" spans="1:6" x14ac:dyDescent="0.2">
      <c r="A59" s="115">
        <v>3</v>
      </c>
      <c r="B59" s="116" t="s">
        <v>115</v>
      </c>
      <c r="C59" s="113">
        <v>57661686</v>
      </c>
      <c r="D59" s="113">
        <v>65228666</v>
      </c>
      <c r="E59" s="113">
        <f t="shared" si="7"/>
        <v>7566980</v>
      </c>
      <c r="F59" s="114">
        <f t="shared" si="8"/>
        <v>0.13123064074123675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746843</v>
      </c>
      <c r="D61" s="113">
        <v>1102367</v>
      </c>
      <c r="E61" s="113">
        <f t="shared" si="7"/>
        <v>355524</v>
      </c>
      <c r="F61" s="114">
        <f t="shared" si="8"/>
        <v>0.47603579333273527</v>
      </c>
    </row>
    <row r="62" spans="1:6" x14ac:dyDescent="0.2">
      <c r="A62" s="115">
        <v>6</v>
      </c>
      <c r="B62" s="116" t="s">
        <v>118</v>
      </c>
      <c r="C62" s="113">
        <v>0</v>
      </c>
      <c r="D62" s="113">
        <v>0</v>
      </c>
      <c r="E62" s="113">
        <f t="shared" si="7"/>
        <v>0</v>
      </c>
      <c r="F62" s="114">
        <f t="shared" si="8"/>
        <v>0</v>
      </c>
    </row>
    <row r="63" spans="1:6" x14ac:dyDescent="0.2">
      <c r="A63" s="115">
        <v>7</v>
      </c>
      <c r="B63" s="116" t="s">
        <v>119</v>
      </c>
      <c r="C63" s="113">
        <v>103601027</v>
      </c>
      <c r="D63" s="113">
        <v>105915038</v>
      </c>
      <c r="E63" s="113">
        <f t="shared" si="7"/>
        <v>2314011</v>
      </c>
      <c r="F63" s="114">
        <f t="shared" si="8"/>
        <v>2.2335792095960594E-2</v>
      </c>
    </row>
    <row r="64" spans="1:6" x14ac:dyDescent="0.2">
      <c r="A64" s="115">
        <v>8</v>
      </c>
      <c r="B64" s="116" t="s">
        <v>120</v>
      </c>
      <c r="C64" s="113">
        <v>0</v>
      </c>
      <c r="D64" s="113">
        <v>0</v>
      </c>
      <c r="E64" s="113">
        <f t="shared" si="7"/>
        <v>0</v>
      </c>
      <c r="F64" s="114">
        <f t="shared" si="8"/>
        <v>0</v>
      </c>
    </row>
    <row r="65" spans="1:6" x14ac:dyDescent="0.2">
      <c r="A65" s="115">
        <v>9</v>
      </c>
      <c r="B65" s="116" t="s">
        <v>121</v>
      </c>
      <c r="C65" s="113">
        <v>102412</v>
      </c>
      <c r="D65" s="113">
        <v>131008</v>
      </c>
      <c r="E65" s="113">
        <f t="shared" si="7"/>
        <v>28596</v>
      </c>
      <c r="F65" s="114">
        <f t="shared" si="8"/>
        <v>0.27922509080967073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164545360</v>
      </c>
      <c r="D68" s="119">
        <f>SUM(D57:D67)</f>
        <v>174648150</v>
      </c>
      <c r="E68" s="119">
        <f t="shared" si="7"/>
        <v>10102790</v>
      </c>
      <c r="F68" s="120">
        <f t="shared" si="8"/>
        <v>6.139820654924575E-2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669910</v>
      </c>
      <c r="D70" s="113">
        <v>1130976</v>
      </c>
      <c r="E70" s="113">
        <f t="shared" ref="E70:E81" si="9">D70-C70</f>
        <v>461066</v>
      </c>
      <c r="F70" s="114">
        <f t="shared" ref="F70:F81" si="10">IF(C70=0,0,E70/C70)</f>
        <v>0.68825066053648998</v>
      </c>
    </row>
    <row r="71" spans="1:6" x14ac:dyDescent="0.2">
      <c r="A71" s="115">
        <v>2</v>
      </c>
      <c r="B71" s="116" t="s">
        <v>114</v>
      </c>
      <c r="C71" s="113">
        <v>0</v>
      </c>
      <c r="D71" s="113">
        <v>0</v>
      </c>
      <c r="E71" s="113">
        <f t="shared" si="9"/>
        <v>0</v>
      </c>
      <c r="F71" s="114">
        <f t="shared" si="10"/>
        <v>0</v>
      </c>
    </row>
    <row r="72" spans="1:6" x14ac:dyDescent="0.2">
      <c r="A72" s="115">
        <v>3</v>
      </c>
      <c r="B72" s="116" t="s">
        <v>115</v>
      </c>
      <c r="C72" s="113">
        <v>29210044</v>
      </c>
      <c r="D72" s="113">
        <v>35556750</v>
      </c>
      <c r="E72" s="113">
        <f t="shared" si="9"/>
        <v>6346706</v>
      </c>
      <c r="F72" s="114">
        <f t="shared" si="10"/>
        <v>0.21727820745494256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911649</v>
      </c>
      <c r="D74" s="113">
        <v>852305</v>
      </c>
      <c r="E74" s="113">
        <f t="shared" si="9"/>
        <v>-59344</v>
      </c>
      <c r="F74" s="114">
        <f t="shared" si="10"/>
        <v>-6.5095228536421371E-2</v>
      </c>
    </row>
    <row r="75" spans="1:6" x14ac:dyDescent="0.2">
      <c r="A75" s="115">
        <v>6</v>
      </c>
      <c r="B75" s="116" t="s">
        <v>118</v>
      </c>
      <c r="C75" s="113">
        <v>0</v>
      </c>
      <c r="D75" s="113">
        <v>0</v>
      </c>
      <c r="E75" s="113">
        <f t="shared" si="9"/>
        <v>0</v>
      </c>
      <c r="F75" s="114">
        <f t="shared" si="10"/>
        <v>0</v>
      </c>
    </row>
    <row r="76" spans="1:6" x14ac:dyDescent="0.2">
      <c r="A76" s="115">
        <v>7</v>
      </c>
      <c r="B76" s="116" t="s">
        <v>119</v>
      </c>
      <c r="C76" s="113">
        <v>74346279</v>
      </c>
      <c r="D76" s="113">
        <v>82780591</v>
      </c>
      <c r="E76" s="113">
        <f t="shared" si="9"/>
        <v>8434312</v>
      </c>
      <c r="F76" s="114">
        <f t="shared" si="10"/>
        <v>0.11344632325176623</v>
      </c>
    </row>
    <row r="77" spans="1:6" x14ac:dyDescent="0.2">
      <c r="A77" s="115">
        <v>8</v>
      </c>
      <c r="B77" s="116" t="s">
        <v>120</v>
      </c>
      <c r="C77" s="113">
        <v>0</v>
      </c>
      <c r="D77" s="113">
        <v>0</v>
      </c>
      <c r="E77" s="113">
        <f t="shared" si="9"/>
        <v>0</v>
      </c>
      <c r="F77" s="114">
        <f t="shared" si="10"/>
        <v>0</v>
      </c>
    </row>
    <row r="78" spans="1:6" x14ac:dyDescent="0.2">
      <c r="A78" s="115">
        <v>9</v>
      </c>
      <c r="B78" s="116" t="s">
        <v>121</v>
      </c>
      <c r="C78" s="113">
        <v>387830</v>
      </c>
      <c r="D78" s="113">
        <v>495436</v>
      </c>
      <c r="E78" s="113">
        <f t="shared" si="9"/>
        <v>107606</v>
      </c>
      <c r="F78" s="114">
        <f t="shared" si="10"/>
        <v>0.27745661759018125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105525712</v>
      </c>
      <c r="D81" s="119">
        <f>SUM(D70:D80)</f>
        <v>120816058</v>
      </c>
      <c r="E81" s="119">
        <f t="shared" si="9"/>
        <v>15290346</v>
      </c>
      <c r="F81" s="120">
        <f t="shared" si="10"/>
        <v>0.14489687593863379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3103302</v>
      </c>
      <c r="D84" s="119">
        <f t="shared" si="11"/>
        <v>3402047</v>
      </c>
      <c r="E84" s="119">
        <f t="shared" ref="E84:E95" si="12">D84-C84</f>
        <v>298745</v>
      </c>
      <c r="F84" s="120">
        <f t="shared" ref="F84:F95" si="13">IF(C84=0,0,E84/C84)</f>
        <v>9.626681515366535E-2</v>
      </c>
    </row>
    <row r="85" spans="1:6" ht="15.75" x14ac:dyDescent="0.25">
      <c r="A85" s="130">
        <v>2</v>
      </c>
      <c r="B85" s="122" t="s">
        <v>114</v>
      </c>
      <c r="C85" s="119">
        <f t="shared" si="11"/>
        <v>0</v>
      </c>
      <c r="D85" s="119">
        <f t="shared" si="11"/>
        <v>0</v>
      </c>
      <c r="E85" s="119">
        <f t="shared" si="12"/>
        <v>0</v>
      </c>
      <c r="F85" s="120">
        <f t="shared" si="13"/>
        <v>0</v>
      </c>
    </row>
    <row r="86" spans="1:6" ht="15.75" x14ac:dyDescent="0.25">
      <c r="A86" s="130">
        <v>3</v>
      </c>
      <c r="B86" s="122" t="s">
        <v>115</v>
      </c>
      <c r="C86" s="119">
        <f t="shared" si="11"/>
        <v>86871730</v>
      </c>
      <c r="D86" s="119">
        <f t="shared" si="11"/>
        <v>100785416</v>
      </c>
      <c r="E86" s="119">
        <f t="shared" si="12"/>
        <v>13913686</v>
      </c>
      <c r="F86" s="120">
        <f t="shared" si="13"/>
        <v>0.16016356529333536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1658492</v>
      </c>
      <c r="D88" s="119">
        <f t="shared" si="11"/>
        <v>1954672</v>
      </c>
      <c r="E88" s="119">
        <f t="shared" si="12"/>
        <v>296180</v>
      </c>
      <c r="F88" s="120">
        <f t="shared" si="13"/>
        <v>0.17858391840298296</v>
      </c>
    </row>
    <row r="89" spans="1:6" ht="15.75" x14ac:dyDescent="0.25">
      <c r="A89" s="130">
        <v>6</v>
      </c>
      <c r="B89" s="122" t="s">
        <v>118</v>
      </c>
      <c r="C89" s="119">
        <f t="shared" si="11"/>
        <v>0</v>
      </c>
      <c r="D89" s="119">
        <f t="shared" si="11"/>
        <v>0</v>
      </c>
      <c r="E89" s="119">
        <f t="shared" si="12"/>
        <v>0</v>
      </c>
      <c r="F89" s="120">
        <f t="shared" si="13"/>
        <v>0</v>
      </c>
    </row>
    <row r="90" spans="1:6" ht="15.75" x14ac:dyDescent="0.25">
      <c r="A90" s="130">
        <v>7</v>
      </c>
      <c r="B90" s="122" t="s">
        <v>119</v>
      </c>
      <c r="C90" s="119">
        <f t="shared" si="11"/>
        <v>177947306</v>
      </c>
      <c r="D90" s="119">
        <f t="shared" si="11"/>
        <v>188695629</v>
      </c>
      <c r="E90" s="119">
        <f t="shared" si="12"/>
        <v>10748323</v>
      </c>
      <c r="F90" s="120">
        <f t="shared" si="13"/>
        <v>6.0401718023199519E-2</v>
      </c>
    </row>
    <row r="91" spans="1:6" ht="15.75" x14ac:dyDescent="0.25">
      <c r="A91" s="130">
        <v>8</v>
      </c>
      <c r="B91" s="122" t="s">
        <v>120</v>
      </c>
      <c r="C91" s="119">
        <f t="shared" si="11"/>
        <v>0</v>
      </c>
      <c r="D91" s="119">
        <f t="shared" si="11"/>
        <v>0</v>
      </c>
      <c r="E91" s="119">
        <f t="shared" si="12"/>
        <v>0</v>
      </c>
      <c r="F91" s="120">
        <f t="shared" si="13"/>
        <v>0</v>
      </c>
    </row>
    <row r="92" spans="1:6" ht="15.75" x14ac:dyDescent="0.25">
      <c r="A92" s="130">
        <v>9</v>
      </c>
      <c r="B92" s="122" t="s">
        <v>121</v>
      </c>
      <c r="C92" s="119">
        <f t="shared" si="11"/>
        <v>490242</v>
      </c>
      <c r="D92" s="119">
        <f t="shared" si="11"/>
        <v>626444</v>
      </c>
      <c r="E92" s="119">
        <f t="shared" si="12"/>
        <v>136202</v>
      </c>
      <c r="F92" s="120">
        <f t="shared" si="13"/>
        <v>0.27782605325533105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270071072</v>
      </c>
      <c r="D95" s="128">
        <f>SUM(D84:D94)</f>
        <v>295464208</v>
      </c>
      <c r="E95" s="128">
        <f t="shared" si="12"/>
        <v>25393136</v>
      </c>
      <c r="F95" s="129">
        <f t="shared" si="13"/>
        <v>9.4023901974958649E-2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20</v>
      </c>
      <c r="D100" s="133">
        <v>11</v>
      </c>
      <c r="E100" s="133">
        <f t="shared" ref="E100:E111" si="14">D100-C100</f>
        <v>-9</v>
      </c>
      <c r="F100" s="114">
        <f t="shared" ref="F100:F111" si="15">IF(C100=0,0,E100/C100)</f>
        <v>-0.45</v>
      </c>
    </row>
    <row r="101" spans="1:6" x14ac:dyDescent="0.2">
      <c r="A101" s="115">
        <v>2</v>
      </c>
      <c r="B101" s="116" t="s">
        <v>114</v>
      </c>
      <c r="C101" s="133">
        <v>0</v>
      </c>
      <c r="D101" s="133">
        <v>0</v>
      </c>
      <c r="E101" s="133">
        <f t="shared" si="14"/>
        <v>0</v>
      </c>
      <c r="F101" s="114">
        <f t="shared" si="15"/>
        <v>0</v>
      </c>
    </row>
    <row r="102" spans="1:6" x14ac:dyDescent="0.2">
      <c r="A102" s="115">
        <v>3</v>
      </c>
      <c r="B102" s="116" t="s">
        <v>115</v>
      </c>
      <c r="C102" s="133">
        <v>3430</v>
      </c>
      <c r="D102" s="133">
        <v>3596</v>
      </c>
      <c r="E102" s="133">
        <f t="shared" si="14"/>
        <v>166</v>
      </c>
      <c r="F102" s="114">
        <f t="shared" si="15"/>
        <v>4.8396501457725949E-2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48</v>
      </c>
      <c r="D104" s="133">
        <v>55</v>
      </c>
      <c r="E104" s="133">
        <f t="shared" si="14"/>
        <v>7</v>
      </c>
      <c r="F104" s="114">
        <f t="shared" si="15"/>
        <v>0.14583333333333334</v>
      </c>
    </row>
    <row r="105" spans="1:6" x14ac:dyDescent="0.2">
      <c r="A105" s="115">
        <v>6</v>
      </c>
      <c r="B105" s="116" t="s">
        <v>118</v>
      </c>
      <c r="C105" s="133">
        <v>0</v>
      </c>
      <c r="D105" s="133">
        <v>0</v>
      </c>
      <c r="E105" s="133">
        <f t="shared" si="14"/>
        <v>0</v>
      </c>
      <c r="F105" s="114">
        <f t="shared" si="15"/>
        <v>0</v>
      </c>
    </row>
    <row r="106" spans="1:6" x14ac:dyDescent="0.2">
      <c r="A106" s="115">
        <v>7</v>
      </c>
      <c r="B106" s="116" t="s">
        <v>119</v>
      </c>
      <c r="C106" s="133">
        <v>2529</v>
      </c>
      <c r="D106" s="133">
        <v>2721</v>
      </c>
      <c r="E106" s="133">
        <f t="shared" si="14"/>
        <v>192</v>
      </c>
      <c r="F106" s="114">
        <f t="shared" si="15"/>
        <v>7.591933570581258E-2</v>
      </c>
    </row>
    <row r="107" spans="1:6" x14ac:dyDescent="0.2">
      <c r="A107" s="115">
        <v>8</v>
      </c>
      <c r="B107" s="116" t="s">
        <v>120</v>
      </c>
      <c r="C107" s="133">
        <v>0</v>
      </c>
      <c r="D107" s="133">
        <v>0</v>
      </c>
      <c r="E107" s="133">
        <f t="shared" si="14"/>
        <v>0</v>
      </c>
      <c r="F107" s="114">
        <f t="shared" si="15"/>
        <v>0</v>
      </c>
    </row>
    <row r="108" spans="1:6" x14ac:dyDescent="0.2">
      <c r="A108" s="115">
        <v>9</v>
      </c>
      <c r="B108" s="116" t="s">
        <v>121</v>
      </c>
      <c r="C108" s="133">
        <v>20</v>
      </c>
      <c r="D108" s="133">
        <v>33</v>
      </c>
      <c r="E108" s="133">
        <f t="shared" si="14"/>
        <v>13</v>
      </c>
      <c r="F108" s="114">
        <f t="shared" si="15"/>
        <v>0.65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6047</v>
      </c>
      <c r="D111" s="134">
        <f>SUM(D100:D110)</f>
        <v>6416</v>
      </c>
      <c r="E111" s="134">
        <f t="shared" si="14"/>
        <v>369</v>
      </c>
      <c r="F111" s="120">
        <f t="shared" si="15"/>
        <v>6.1021994377377209E-2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193</v>
      </c>
      <c r="D113" s="133">
        <v>121</v>
      </c>
      <c r="E113" s="133">
        <f t="shared" ref="E113:E124" si="16">D113-C113</f>
        <v>-72</v>
      </c>
      <c r="F113" s="114">
        <f t="shared" ref="F113:F124" si="17">IF(C113=0,0,E113/C113)</f>
        <v>-0.37305699481865284</v>
      </c>
    </row>
    <row r="114" spans="1:6" x14ac:dyDescent="0.2">
      <c r="A114" s="115">
        <v>2</v>
      </c>
      <c r="B114" s="116" t="s">
        <v>114</v>
      </c>
      <c r="C114" s="133">
        <v>0</v>
      </c>
      <c r="D114" s="133">
        <v>0</v>
      </c>
      <c r="E114" s="133">
        <f t="shared" si="16"/>
        <v>0</v>
      </c>
      <c r="F114" s="114">
        <f t="shared" si="17"/>
        <v>0</v>
      </c>
    </row>
    <row r="115" spans="1:6" x14ac:dyDescent="0.2">
      <c r="A115" s="115">
        <v>3</v>
      </c>
      <c r="B115" s="116" t="s">
        <v>115</v>
      </c>
      <c r="C115" s="133">
        <v>25146</v>
      </c>
      <c r="D115" s="133">
        <v>24917</v>
      </c>
      <c r="E115" s="133">
        <f t="shared" si="16"/>
        <v>-229</v>
      </c>
      <c r="F115" s="114">
        <f t="shared" si="17"/>
        <v>-9.1068161934303674E-3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353</v>
      </c>
      <c r="D117" s="133">
        <v>389</v>
      </c>
      <c r="E117" s="133">
        <f t="shared" si="16"/>
        <v>36</v>
      </c>
      <c r="F117" s="114">
        <f t="shared" si="17"/>
        <v>0.10198300283286119</v>
      </c>
    </row>
    <row r="118" spans="1:6" x14ac:dyDescent="0.2">
      <c r="A118" s="115">
        <v>6</v>
      </c>
      <c r="B118" s="116" t="s">
        <v>118</v>
      </c>
      <c r="C118" s="133">
        <v>0</v>
      </c>
      <c r="D118" s="133">
        <v>0</v>
      </c>
      <c r="E118" s="133">
        <f t="shared" si="16"/>
        <v>0</v>
      </c>
      <c r="F118" s="114">
        <f t="shared" si="17"/>
        <v>0</v>
      </c>
    </row>
    <row r="119" spans="1:6" x14ac:dyDescent="0.2">
      <c r="A119" s="115">
        <v>7</v>
      </c>
      <c r="B119" s="116" t="s">
        <v>119</v>
      </c>
      <c r="C119" s="133">
        <v>19213</v>
      </c>
      <c r="D119" s="133">
        <v>19148</v>
      </c>
      <c r="E119" s="133">
        <f t="shared" si="16"/>
        <v>-65</v>
      </c>
      <c r="F119" s="114">
        <f t="shared" si="17"/>
        <v>-3.383126008431791E-3</v>
      </c>
    </row>
    <row r="120" spans="1:6" x14ac:dyDescent="0.2">
      <c r="A120" s="115">
        <v>8</v>
      </c>
      <c r="B120" s="116" t="s">
        <v>120</v>
      </c>
      <c r="C120" s="133">
        <v>0</v>
      </c>
      <c r="D120" s="133">
        <v>0</v>
      </c>
      <c r="E120" s="133">
        <f t="shared" si="16"/>
        <v>0</v>
      </c>
      <c r="F120" s="114">
        <f t="shared" si="17"/>
        <v>0</v>
      </c>
    </row>
    <row r="121" spans="1:6" x14ac:dyDescent="0.2">
      <c r="A121" s="115">
        <v>9</v>
      </c>
      <c r="B121" s="116" t="s">
        <v>121</v>
      </c>
      <c r="C121" s="133">
        <v>105</v>
      </c>
      <c r="D121" s="133">
        <v>129</v>
      </c>
      <c r="E121" s="133">
        <f t="shared" si="16"/>
        <v>24</v>
      </c>
      <c r="F121" s="114">
        <f t="shared" si="17"/>
        <v>0.22857142857142856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45010</v>
      </c>
      <c r="D124" s="134">
        <f>SUM(D113:D123)</f>
        <v>44704</v>
      </c>
      <c r="E124" s="134">
        <f t="shared" si="16"/>
        <v>-306</v>
      </c>
      <c r="F124" s="120">
        <f t="shared" si="17"/>
        <v>-6.7984892246167519E-3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421</v>
      </c>
      <c r="D126" s="133">
        <v>334</v>
      </c>
      <c r="E126" s="133">
        <f t="shared" ref="E126:E137" si="18">D126-C126</f>
        <v>-87</v>
      </c>
      <c r="F126" s="114">
        <f t="shared" ref="F126:F137" si="19">IF(C126=0,0,E126/C126)</f>
        <v>-0.20665083135391923</v>
      </c>
    </row>
    <row r="127" spans="1:6" x14ac:dyDescent="0.2">
      <c r="A127" s="115">
        <v>2</v>
      </c>
      <c r="B127" s="116" t="s">
        <v>114</v>
      </c>
      <c r="C127" s="133">
        <v>0</v>
      </c>
      <c r="D127" s="133">
        <v>0</v>
      </c>
      <c r="E127" s="133">
        <f t="shared" si="18"/>
        <v>0</v>
      </c>
      <c r="F127" s="114">
        <f t="shared" si="19"/>
        <v>0</v>
      </c>
    </row>
    <row r="128" spans="1:6" x14ac:dyDescent="0.2">
      <c r="A128" s="115">
        <v>3</v>
      </c>
      <c r="B128" s="116" t="s">
        <v>115</v>
      </c>
      <c r="C128" s="133">
        <v>120094</v>
      </c>
      <c r="D128" s="133">
        <v>131594</v>
      </c>
      <c r="E128" s="133">
        <f t="shared" si="18"/>
        <v>11500</v>
      </c>
      <c r="F128" s="114">
        <f t="shared" si="19"/>
        <v>9.5758322647259642E-2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1602</v>
      </c>
      <c r="D130" s="133">
        <v>1800</v>
      </c>
      <c r="E130" s="133">
        <f t="shared" si="18"/>
        <v>198</v>
      </c>
      <c r="F130" s="114">
        <f t="shared" si="19"/>
        <v>0.12359550561797752</v>
      </c>
    </row>
    <row r="131" spans="1:6" x14ac:dyDescent="0.2">
      <c r="A131" s="115">
        <v>6</v>
      </c>
      <c r="B131" s="116" t="s">
        <v>118</v>
      </c>
      <c r="C131" s="133">
        <v>0</v>
      </c>
      <c r="D131" s="133">
        <v>0</v>
      </c>
      <c r="E131" s="133">
        <f t="shared" si="18"/>
        <v>0</v>
      </c>
      <c r="F131" s="114">
        <f t="shared" si="19"/>
        <v>0</v>
      </c>
    </row>
    <row r="132" spans="1:6" x14ac:dyDescent="0.2">
      <c r="A132" s="115">
        <v>7</v>
      </c>
      <c r="B132" s="116" t="s">
        <v>119</v>
      </c>
      <c r="C132" s="133">
        <v>113790</v>
      </c>
      <c r="D132" s="133">
        <v>117133</v>
      </c>
      <c r="E132" s="133">
        <f t="shared" si="18"/>
        <v>3343</v>
      </c>
      <c r="F132" s="114">
        <f t="shared" si="19"/>
        <v>2.9378680024606731E-2</v>
      </c>
    </row>
    <row r="133" spans="1:6" x14ac:dyDescent="0.2">
      <c r="A133" s="115">
        <v>8</v>
      </c>
      <c r="B133" s="116" t="s">
        <v>120</v>
      </c>
      <c r="C133" s="133">
        <v>0</v>
      </c>
      <c r="D133" s="133">
        <v>0</v>
      </c>
      <c r="E133" s="133">
        <f t="shared" si="18"/>
        <v>0</v>
      </c>
      <c r="F133" s="114">
        <f t="shared" si="19"/>
        <v>0</v>
      </c>
    </row>
    <row r="134" spans="1:6" x14ac:dyDescent="0.2">
      <c r="A134" s="115">
        <v>9</v>
      </c>
      <c r="B134" s="116" t="s">
        <v>121</v>
      </c>
      <c r="C134" s="133">
        <v>2363</v>
      </c>
      <c r="D134" s="133">
        <v>2350</v>
      </c>
      <c r="E134" s="133">
        <f t="shared" si="18"/>
        <v>-13</v>
      </c>
      <c r="F134" s="114">
        <f t="shared" si="19"/>
        <v>-5.5014811680067707E-3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238270</v>
      </c>
      <c r="D137" s="134">
        <f>SUM(D126:D136)</f>
        <v>253211</v>
      </c>
      <c r="E137" s="134">
        <f t="shared" si="18"/>
        <v>14941</v>
      </c>
      <c r="F137" s="120">
        <f t="shared" si="19"/>
        <v>6.2706173668527307E-2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18312</v>
      </c>
      <c r="D142" s="113">
        <v>58370</v>
      </c>
      <c r="E142" s="113">
        <f t="shared" ref="E142:E153" si="20">D142-C142</f>
        <v>40058</v>
      </c>
      <c r="F142" s="114">
        <f t="shared" ref="F142:F153" si="21">IF(C142=0,0,E142/C142)</f>
        <v>2.1875273044997816</v>
      </c>
    </row>
    <row r="143" spans="1:6" x14ac:dyDescent="0.2">
      <c r="A143" s="115">
        <v>2</v>
      </c>
      <c r="B143" s="116" t="s">
        <v>114</v>
      </c>
      <c r="C143" s="113">
        <v>0</v>
      </c>
      <c r="D143" s="113">
        <v>0</v>
      </c>
      <c r="E143" s="113">
        <f t="shared" si="20"/>
        <v>0</v>
      </c>
      <c r="F143" s="114">
        <f t="shared" si="21"/>
        <v>0</v>
      </c>
    </row>
    <row r="144" spans="1:6" x14ac:dyDescent="0.2">
      <c r="A144" s="115">
        <v>3</v>
      </c>
      <c r="B144" s="116" t="s">
        <v>115</v>
      </c>
      <c r="C144" s="113">
        <v>59417609</v>
      </c>
      <c r="D144" s="113">
        <v>58315517</v>
      </c>
      <c r="E144" s="113">
        <f t="shared" si="20"/>
        <v>-1102092</v>
      </c>
      <c r="F144" s="114">
        <f t="shared" si="21"/>
        <v>-1.8548238788942181E-2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483736</v>
      </c>
      <c r="D146" s="113">
        <v>679744</v>
      </c>
      <c r="E146" s="113">
        <f t="shared" si="20"/>
        <v>196008</v>
      </c>
      <c r="F146" s="114">
        <f t="shared" si="21"/>
        <v>0.405196222733061</v>
      </c>
    </row>
    <row r="147" spans="1:6" x14ac:dyDescent="0.2">
      <c r="A147" s="115">
        <v>6</v>
      </c>
      <c r="B147" s="116" t="s">
        <v>118</v>
      </c>
      <c r="C147" s="113">
        <v>0</v>
      </c>
      <c r="D147" s="113">
        <v>0</v>
      </c>
      <c r="E147" s="113">
        <f t="shared" si="20"/>
        <v>0</v>
      </c>
      <c r="F147" s="114">
        <f t="shared" si="21"/>
        <v>0</v>
      </c>
    </row>
    <row r="148" spans="1:6" x14ac:dyDescent="0.2">
      <c r="A148" s="115">
        <v>7</v>
      </c>
      <c r="B148" s="116" t="s">
        <v>119</v>
      </c>
      <c r="C148" s="113">
        <v>36243553</v>
      </c>
      <c r="D148" s="113">
        <v>37117665</v>
      </c>
      <c r="E148" s="113">
        <f t="shared" si="20"/>
        <v>874112</v>
      </c>
      <c r="F148" s="114">
        <f t="shared" si="21"/>
        <v>2.4117723778350319E-2</v>
      </c>
    </row>
    <row r="149" spans="1:6" x14ac:dyDescent="0.2">
      <c r="A149" s="115">
        <v>8</v>
      </c>
      <c r="B149" s="116" t="s">
        <v>120</v>
      </c>
      <c r="C149" s="113">
        <v>0</v>
      </c>
      <c r="D149" s="113">
        <v>0</v>
      </c>
      <c r="E149" s="113">
        <f t="shared" si="20"/>
        <v>0</v>
      </c>
      <c r="F149" s="114">
        <f t="shared" si="21"/>
        <v>0</v>
      </c>
    </row>
    <row r="150" spans="1:6" x14ac:dyDescent="0.2">
      <c r="A150" s="115">
        <v>9</v>
      </c>
      <c r="B150" s="116" t="s">
        <v>121</v>
      </c>
      <c r="C150" s="113">
        <v>1285170</v>
      </c>
      <c r="D150" s="113">
        <v>1455200</v>
      </c>
      <c r="E150" s="113">
        <f t="shared" si="20"/>
        <v>170030</v>
      </c>
      <c r="F150" s="114">
        <f t="shared" si="21"/>
        <v>0.13230156321731756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97448380</v>
      </c>
      <c r="D153" s="119">
        <f>SUM(D142:D152)</f>
        <v>97626496</v>
      </c>
      <c r="E153" s="119">
        <f t="shared" si="20"/>
        <v>178116</v>
      </c>
      <c r="F153" s="120">
        <f t="shared" si="21"/>
        <v>1.8277984713547829E-3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6877</v>
      </c>
      <c r="D155" s="113">
        <v>22126</v>
      </c>
      <c r="E155" s="113">
        <f t="shared" ref="E155:E166" si="22">D155-C155</f>
        <v>15249</v>
      </c>
      <c r="F155" s="114">
        <f t="shared" ref="F155:F166" si="23">IF(C155=0,0,E155/C155)</f>
        <v>2.2173913043478262</v>
      </c>
    </row>
    <row r="156" spans="1:6" x14ac:dyDescent="0.2">
      <c r="A156" s="115">
        <v>2</v>
      </c>
      <c r="B156" s="116" t="s">
        <v>114</v>
      </c>
      <c r="C156" s="113">
        <v>0</v>
      </c>
      <c r="D156" s="113">
        <v>0</v>
      </c>
      <c r="E156" s="113">
        <f t="shared" si="22"/>
        <v>0</v>
      </c>
      <c r="F156" s="114">
        <f t="shared" si="23"/>
        <v>0</v>
      </c>
    </row>
    <row r="157" spans="1:6" x14ac:dyDescent="0.2">
      <c r="A157" s="115">
        <v>3</v>
      </c>
      <c r="B157" s="116" t="s">
        <v>115</v>
      </c>
      <c r="C157" s="113">
        <v>10529026</v>
      </c>
      <c r="D157" s="113">
        <v>10967098</v>
      </c>
      <c r="E157" s="113">
        <f t="shared" si="22"/>
        <v>438072</v>
      </c>
      <c r="F157" s="114">
        <f t="shared" si="23"/>
        <v>4.1606127670308725E-2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319266</v>
      </c>
      <c r="D159" s="113">
        <v>448631</v>
      </c>
      <c r="E159" s="113">
        <f t="shared" si="22"/>
        <v>129365</v>
      </c>
      <c r="F159" s="114">
        <f t="shared" si="23"/>
        <v>0.4051950411255818</v>
      </c>
    </row>
    <row r="160" spans="1:6" x14ac:dyDescent="0.2">
      <c r="A160" s="115">
        <v>6</v>
      </c>
      <c r="B160" s="116" t="s">
        <v>118</v>
      </c>
      <c r="C160" s="113">
        <v>0</v>
      </c>
      <c r="D160" s="113">
        <v>0</v>
      </c>
      <c r="E160" s="113">
        <f t="shared" si="22"/>
        <v>0</v>
      </c>
      <c r="F160" s="114">
        <f t="shared" si="23"/>
        <v>0</v>
      </c>
    </row>
    <row r="161" spans="1:6" x14ac:dyDescent="0.2">
      <c r="A161" s="115">
        <v>7</v>
      </c>
      <c r="B161" s="116" t="s">
        <v>119</v>
      </c>
      <c r="C161" s="113">
        <v>22651462</v>
      </c>
      <c r="D161" s="113">
        <v>23389182</v>
      </c>
      <c r="E161" s="113">
        <f t="shared" si="22"/>
        <v>737720</v>
      </c>
      <c r="F161" s="114">
        <f t="shared" si="23"/>
        <v>3.2568317223850715E-2</v>
      </c>
    </row>
    <row r="162" spans="1:6" x14ac:dyDescent="0.2">
      <c r="A162" s="115">
        <v>8</v>
      </c>
      <c r="B162" s="116" t="s">
        <v>120</v>
      </c>
      <c r="C162" s="113">
        <v>0</v>
      </c>
      <c r="D162" s="113">
        <v>0</v>
      </c>
      <c r="E162" s="113">
        <f t="shared" si="22"/>
        <v>0</v>
      </c>
      <c r="F162" s="114">
        <f t="shared" si="23"/>
        <v>0</v>
      </c>
    </row>
    <row r="163" spans="1:6" x14ac:dyDescent="0.2">
      <c r="A163" s="115">
        <v>9</v>
      </c>
      <c r="B163" s="116" t="s">
        <v>121</v>
      </c>
      <c r="C163" s="113">
        <v>705539</v>
      </c>
      <c r="D163" s="113">
        <v>800360</v>
      </c>
      <c r="E163" s="113">
        <f t="shared" si="22"/>
        <v>94821</v>
      </c>
      <c r="F163" s="114">
        <f t="shared" si="23"/>
        <v>0.13439512202727277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34212170</v>
      </c>
      <c r="D166" s="119">
        <f>SUM(D155:D165)</f>
        <v>35627397</v>
      </c>
      <c r="E166" s="119">
        <f t="shared" si="22"/>
        <v>1415227</v>
      </c>
      <c r="F166" s="120">
        <f t="shared" si="23"/>
        <v>4.1366186359999967E-2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10</v>
      </c>
      <c r="D168" s="133">
        <v>23</v>
      </c>
      <c r="E168" s="133">
        <f t="shared" ref="E168:E179" si="24">D168-C168</f>
        <v>13</v>
      </c>
      <c r="F168" s="114">
        <f t="shared" ref="F168:F179" si="25">IF(C168=0,0,E168/C168)</f>
        <v>1.3</v>
      </c>
    </row>
    <row r="169" spans="1:6" x14ac:dyDescent="0.2">
      <c r="A169" s="115">
        <v>2</v>
      </c>
      <c r="B169" s="116" t="s">
        <v>114</v>
      </c>
      <c r="C169" s="133">
        <v>0</v>
      </c>
      <c r="D169" s="133">
        <v>0</v>
      </c>
      <c r="E169" s="133">
        <f t="shared" si="24"/>
        <v>0</v>
      </c>
      <c r="F169" s="114">
        <f t="shared" si="25"/>
        <v>0</v>
      </c>
    </row>
    <row r="170" spans="1:6" x14ac:dyDescent="0.2">
      <c r="A170" s="115">
        <v>3</v>
      </c>
      <c r="B170" s="116" t="s">
        <v>115</v>
      </c>
      <c r="C170" s="133">
        <v>36781</v>
      </c>
      <c r="D170" s="133">
        <v>38336</v>
      </c>
      <c r="E170" s="133">
        <f t="shared" si="24"/>
        <v>1555</v>
      </c>
      <c r="F170" s="114">
        <f t="shared" si="25"/>
        <v>4.2277262717163755E-2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247</v>
      </c>
      <c r="D172" s="133">
        <v>347</v>
      </c>
      <c r="E172" s="133">
        <f t="shared" si="24"/>
        <v>100</v>
      </c>
      <c r="F172" s="114">
        <f t="shared" si="25"/>
        <v>0.40485829959514169</v>
      </c>
    </row>
    <row r="173" spans="1:6" x14ac:dyDescent="0.2">
      <c r="A173" s="115">
        <v>6</v>
      </c>
      <c r="B173" s="116" t="s">
        <v>118</v>
      </c>
      <c r="C173" s="133">
        <v>0</v>
      </c>
      <c r="D173" s="133">
        <v>0</v>
      </c>
      <c r="E173" s="133">
        <f t="shared" si="24"/>
        <v>0</v>
      </c>
      <c r="F173" s="114">
        <f t="shared" si="25"/>
        <v>0</v>
      </c>
    </row>
    <row r="174" spans="1:6" x14ac:dyDescent="0.2">
      <c r="A174" s="115">
        <v>7</v>
      </c>
      <c r="B174" s="116" t="s">
        <v>119</v>
      </c>
      <c r="C174" s="133">
        <v>15669</v>
      </c>
      <c r="D174" s="133">
        <v>16643</v>
      </c>
      <c r="E174" s="133">
        <f t="shared" si="24"/>
        <v>974</v>
      </c>
      <c r="F174" s="114">
        <f t="shared" si="25"/>
        <v>6.216095475142E-2</v>
      </c>
    </row>
    <row r="175" spans="1:6" x14ac:dyDescent="0.2">
      <c r="A175" s="115">
        <v>8</v>
      </c>
      <c r="B175" s="116" t="s">
        <v>120</v>
      </c>
      <c r="C175" s="133">
        <v>0</v>
      </c>
      <c r="D175" s="133">
        <v>0</v>
      </c>
      <c r="E175" s="133">
        <f t="shared" si="24"/>
        <v>0</v>
      </c>
      <c r="F175" s="114">
        <f t="shared" si="25"/>
        <v>0</v>
      </c>
    </row>
    <row r="176" spans="1:6" x14ac:dyDescent="0.2">
      <c r="A176" s="115">
        <v>9</v>
      </c>
      <c r="B176" s="116" t="s">
        <v>121</v>
      </c>
      <c r="C176" s="133">
        <v>1033</v>
      </c>
      <c r="D176" s="133">
        <v>1113</v>
      </c>
      <c r="E176" s="133">
        <f t="shared" si="24"/>
        <v>80</v>
      </c>
      <c r="F176" s="114">
        <f t="shared" si="25"/>
        <v>7.7444336882865436E-2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53740</v>
      </c>
      <c r="D179" s="134">
        <f>SUM(D168:D178)</f>
        <v>56462</v>
      </c>
      <c r="E179" s="134">
        <f t="shared" si="24"/>
        <v>2722</v>
      </c>
      <c r="F179" s="120">
        <f t="shared" si="25"/>
        <v>5.0651283959806476E-2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FILING&amp;RCT CHILDREN`S MEDICAL CENTER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zoomScaleNormal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29796100</v>
      </c>
      <c r="D15" s="157">
        <v>32933706</v>
      </c>
      <c r="E15" s="157">
        <f>+D15-C15</f>
        <v>3137606</v>
      </c>
      <c r="F15" s="161">
        <f>IF(C15=0,0,E15/C15)</f>
        <v>0.1053025731555472</v>
      </c>
    </row>
    <row r="16" spans="1:6" ht="15" customHeight="1" x14ac:dyDescent="0.2">
      <c r="A16" s="147">
        <v>2</v>
      </c>
      <c r="B16" s="160" t="s">
        <v>157</v>
      </c>
      <c r="C16" s="157">
        <v>0</v>
      </c>
      <c r="D16" s="157">
        <v>0</v>
      </c>
      <c r="E16" s="157">
        <f>+D16-C16</f>
        <v>0</v>
      </c>
      <c r="F16" s="161">
        <f>IF(C16=0,0,E16/C16)</f>
        <v>0</v>
      </c>
    </row>
    <row r="17" spans="1:6" ht="15" customHeight="1" x14ac:dyDescent="0.2">
      <c r="A17" s="147">
        <v>3</v>
      </c>
      <c r="B17" s="160" t="s">
        <v>158</v>
      </c>
      <c r="C17" s="157">
        <v>87302564</v>
      </c>
      <c r="D17" s="157">
        <v>93062573</v>
      </c>
      <c r="E17" s="157">
        <f>+D17-C17</f>
        <v>5760009</v>
      </c>
      <c r="F17" s="161">
        <f>IF(C17=0,0,E17/C17)</f>
        <v>6.5977546776289406E-2</v>
      </c>
    </row>
    <row r="18" spans="1:6" ht="15.75" customHeight="1" x14ac:dyDescent="0.25">
      <c r="A18" s="147"/>
      <c r="B18" s="162" t="s">
        <v>159</v>
      </c>
      <c r="C18" s="158">
        <f>SUM(C15:C17)</f>
        <v>117098664</v>
      </c>
      <c r="D18" s="158">
        <f>SUM(D15:D17)</f>
        <v>125996279</v>
      </c>
      <c r="E18" s="158">
        <f>+D18-C18</f>
        <v>8897615</v>
      </c>
      <c r="F18" s="159">
        <f>IF(C18=0,0,E18/C18)</f>
        <v>7.5983915580796035E-2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7444234</v>
      </c>
      <c r="D21" s="157">
        <v>6847407</v>
      </c>
      <c r="E21" s="157">
        <f>+D21-C21</f>
        <v>-596827</v>
      </c>
      <c r="F21" s="161">
        <f>IF(C21=0,0,E21/C21)</f>
        <v>-8.0173057429414496E-2</v>
      </c>
    </row>
    <row r="22" spans="1:6" ht="15" customHeight="1" x14ac:dyDescent="0.2">
      <c r="A22" s="147">
        <v>2</v>
      </c>
      <c r="B22" s="160" t="s">
        <v>162</v>
      </c>
      <c r="C22" s="157">
        <v>0</v>
      </c>
      <c r="D22" s="157">
        <v>0</v>
      </c>
      <c r="E22" s="157">
        <f>+D22-C22</f>
        <v>0</v>
      </c>
      <c r="F22" s="161">
        <f>IF(C22=0,0,E22/C22)</f>
        <v>0</v>
      </c>
    </row>
    <row r="23" spans="1:6" ht="15" customHeight="1" x14ac:dyDescent="0.2">
      <c r="A23" s="147">
        <v>3</v>
      </c>
      <c r="B23" s="160" t="s">
        <v>163</v>
      </c>
      <c r="C23" s="157">
        <v>21811602</v>
      </c>
      <c r="D23" s="157">
        <v>19349094</v>
      </c>
      <c r="E23" s="157">
        <f>+D23-C23</f>
        <v>-2462508</v>
      </c>
      <c r="F23" s="161">
        <f>IF(C23=0,0,E23/C23)</f>
        <v>-0.11289899751517564</v>
      </c>
    </row>
    <row r="24" spans="1:6" ht="15.75" customHeight="1" x14ac:dyDescent="0.25">
      <c r="A24" s="147"/>
      <c r="B24" s="162" t="s">
        <v>164</v>
      </c>
      <c r="C24" s="158">
        <f>SUM(C21:C23)</f>
        <v>29255836</v>
      </c>
      <c r="D24" s="158">
        <f>SUM(D21:D23)</f>
        <v>26196501</v>
      </c>
      <c r="E24" s="158">
        <f>+D24-C24</f>
        <v>-3059335</v>
      </c>
      <c r="F24" s="159">
        <f>IF(C24=0,0,E24/C24)</f>
        <v>-0.10457178526704894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12947896</v>
      </c>
      <c r="D28" s="157">
        <v>13118485</v>
      </c>
      <c r="E28" s="157">
        <f>+D28-C28</f>
        <v>170589</v>
      </c>
      <c r="F28" s="161">
        <f>IF(C28=0,0,E28/C28)</f>
        <v>1.3175036314780409E-2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12947896</v>
      </c>
      <c r="D30" s="158">
        <f>SUM(D27:D29)</f>
        <v>13118485</v>
      </c>
      <c r="E30" s="158">
        <f>+D30-C30</f>
        <v>170589</v>
      </c>
      <c r="F30" s="159">
        <f>IF(C30=0,0,E30/C30)</f>
        <v>1.3175036314780409E-2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13690743</v>
      </c>
      <c r="D33" s="157">
        <v>15685468</v>
      </c>
      <c r="E33" s="157">
        <f>+D33-C33</f>
        <v>1994725</v>
      </c>
      <c r="F33" s="161">
        <f>IF(C33=0,0,E33/C33)</f>
        <v>0.14569881269409557</v>
      </c>
    </row>
    <row r="34" spans="1:6" ht="15" customHeight="1" x14ac:dyDescent="0.2">
      <c r="A34" s="147">
        <v>2</v>
      </c>
      <c r="B34" s="160" t="s">
        <v>173</v>
      </c>
      <c r="C34" s="157">
        <v>11057364</v>
      </c>
      <c r="D34" s="157">
        <v>14679527</v>
      </c>
      <c r="E34" s="157">
        <f>+D34-C34</f>
        <v>3622163</v>
      </c>
      <c r="F34" s="161">
        <f>IF(C34=0,0,E34/C34)</f>
        <v>0.32757924944860278</v>
      </c>
    </row>
    <row r="35" spans="1:6" ht="15.75" customHeight="1" x14ac:dyDescent="0.25">
      <c r="A35" s="147"/>
      <c r="B35" s="162" t="s">
        <v>174</v>
      </c>
      <c r="C35" s="158">
        <f>SUM(C33:C34)</f>
        <v>24748107</v>
      </c>
      <c r="D35" s="158">
        <f>SUM(D33:D34)</f>
        <v>30364995</v>
      </c>
      <c r="E35" s="158">
        <f>+D35-C35</f>
        <v>5616888</v>
      </c>
      <c r="F35" s="159">
        <f>IF(C35=0,0,E35/C35)</f>
        <v>0.22696232887630557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5451539</v>
      </c>
      <c r="D38" s="157">
        <v>5863920</v>
      </c>
      <c r="E38" s="157">
        <f>+D38-C38</f>
        <v>412381</v>
      </c>
      <c r="F38" s="161">
        <f>IF(C38=0,0,E38/C38)</f>
        <v>7.5644877529079405E-2</v>
      </c>
    </row>
    <row r="39" spans="1:6" ht="15" customHeight="1" x14ac:dyDescent="0.2">
      <c r="A39" s="147">
        <v>2</v>
      </c>
      <c r="B39" s="160" t="s">
        <v>178</v>
      </c>
      <c r="C39" s="157">
        <v>11625705</v>
      </c>
      <c r="D39" s="157">
        <v>13066854</v>
      </c>
      <c r="E39" s="157">
        <f>+D39-C39</f>
        <v>1441149</v>
      </c>
      <c r="F39" s="161">
        <f>IF(C39=0,0,E39/C39)</f>
        <v>0.12396228873861843</v>
      </c>
    </row>
    <row r="40" spans="1:6" ht="15" customHeight="1" x14ac:dyDescent="0.2">
      <c r="A40" s="147">
        <v>3</v>
      </c>
      <c r="B40" s="160" t="s">
        <v>179</v>
      </c>
      <c r="C40" s="157">
        <v>162689</v>
      </c>
      <c r="D40" s="157">
        <v>145012</v>
      </c>
      <c r="E40" s="157">
        <f>+D40-C40</f>
        <v>-17677</v>
      </c>
      <c r="F40" s="161">
        <f>IF(C40=0,0,E40/C40)</f>
        <v>-0.10865516414754532</v>
      </c>
    </row>
    <row r="41" spans="1:6" ht="15.75" customHeight="1" x14ac:dyDescent="0.25">
      <c r="A41" s="147"/>
      <c r="B41" s="162" t="s">
        <v>180</v>
      </c>
      <c r="C41" s="158">
        <f>SUM(C38:C40)</f>
        <v>17239933</v>
      </c>
      <c r="D41" s="158">
        <f>SUM(D38:D40)</f>
        <v>19075786</v>
      </c>
      <c r="E41" s="158">
        <f>+D41-C41</f>
        <v>1835853</v>
      </c>
      <c r="F41" s="159">
        <f>IF(C41=0,0,E41/C41)</f>
        <v>0.10648840688650008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1230401</v>
      </c>
      <c r="D47" s="157">
        <v>1137843</v>
      </c>
      <c r="E47" s="157">
        <f>+D47-C47</f>
        <v>-92558</v>
      </c>
      <c r="F47" s="161">
        <f>IF(C47=0,0,E47/C47)</f>
        <v>-7.5225881643464207E-2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3757011</v>
      </c>
      <c r="D50" s="157">
        <v>2533717</v>
      </c>
      <c r="E50" s="157">
        <f>+D50-C50</f>
        <v>-1223294</v>
      </c>
      <c r="F50" s="161">
        <f>IF(C50=0,0,E50/C50)</f>
        <v>-0.32560298599072507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168773</v>
      </c>
      <c r="D53" s="157">
        <v>192882</v>
      </c>
      <c r="E53" s="157">
        <f t="shared" ref="E53:E59" si="0">+D53-C53</f>
        <v>24109</v>
      </c>
      <c r="F53" s="161">
        <f t="shared" ref="F53:F59" si="1">IF(C53=0,0,E53/C53)</f>
        <v>0.14284867840235108</v>
      </c>
    </row>
    <row r="54" spans="1:6" ht="15" customHeight="1" x14ac:dyDescent="0.2">
      <c r="A54" s="147">
        <v>2</v>
      </c>
      <c r="B54" s="160" t="s">
        <v>189</v>
      </c>
      <c r="C54" s="157">
        <v>506911</v>
      </c>
      <c r="D54" s="157">
        <v>623271</v>
      </c>
      <c r="E54" s="157">
        <f t="shared" si="0"/>
        <v>116360</v>
      </c>
      <c r="F54" s="161">
        <f t="shared" si="1"/>
        <v>0.22954719862066517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1619340</v>
      </c>
      <c r="D56" s="157">
        <v>1877388</v>
      </c>
      <c r="E56" s="157">
        <f t="shared" si="0"/>
        <v>258048</v>
      </c>
      <c r="F56" s="161">
        <f t="shared" si="1"/>
        <v>0.15935381081181221</v>
      </c>
    </row>
    <row r="57" spans="1:6" ht="15" customHeight="1" x14ac:dyDescent="0.2">
      <c r="A57" s="147">
        <v>5</v>
      </c>
      <c r="B57" s="160" t="s">
        <v>192</v>
      </c>
      <c r="C57" s="157">
        <v>325686</v>
      </c>
      <c r="D57" s="157">
        <v>278452</v>
      </c>
      <c r="E57" s="157">
        <f t="shared" si="0"/>
        <v>-47234</v>
      </c>
      <c r="F57" s="161">
        <f t="shared" si="1"/>
        <v>-0.14502926131304386</v>
      </c>
    </row>
    <row r="58" spans="1:6" ht="15" customHeight="1" x14ac:dyDescent="0.2">
      <c r="A58" s="147">
        <v>6</v>
      </c>
      <c r="B58" s="160" t="s">
        <v>193</v>
      </c>
      <c r="C58" s="157">
        <v>43638</v>
      </c>
      <c r="D58" s="157">
        <v>67924</v>
      </c>
      <c r="E58" s="157">
        <f t="shared" si="0"/>
        <v>24286</v>
      </c>
      <c r="F58" s="161">
        <f t="shared" si="1"/>
        <v>0.55653329666804163</v>
      </c>
    </row>
    <row r="59" spans="1:6" ht="15.75" customHeight="1" x14ac:dyDescent="0.25">
      <c r="A59" s="147"/>
      <c r="B59" s="162" t="s">
        <v>194</v>
      </c>
      <c r="C59" s="158">
        <f>SUM(C53:C58)</f>
        <v>2664348</v>
      </c>
      <c r="D59" s="158">
        <f>SUM(D53:D58)</f>
        <v>3039917</v>
      </c>
      <c r="E59" s="158">
        <f t="shared" si="0"/>
        <v>375569</v>
      </c>
      <c r="F59" s="159">
        <f t="shared" si="1"/>
        <v>0.14096094053779762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476211</v>
      </c>
      <c r="D62" s="157">
        <v>242311</v>
      </c>
      <c r="E62" s="157">
        <f t="shared" ref="E62:E90" si="2">+D62-C62</f>
        <v>-233900</v>
      </c>
      <c r="F62" s="161">
        <f t="shared" ref="F62:F90" si="3">IF(C62=0,0,E62/C62)</f>
        <v>-0.49116883062340011</v>
      </c>
    </row>
    <row r="63" spans="1:6" ht="15" customHeight="1" x14ac:dyDescent="0.2">
      <c r="A63" s="147">
        <v>2</v>
      </c>
      <c r="B63" s="160" t="s">
        <v>198</v>
      </c>
      <c r="C63" s="157">
        <v>316360</v>
      </c>
      <c r="D63" s="157">
        <v>387447</v>
      </c>
      <c r="E63" s="157">
        <f t="shared" si="2"/>
        <v>71087</v>
      </c>
      <c r="F63" s="161">
        <f t="shared" si="3"/>
        <v>0.22470287014793275</v>
      </c>
    </row>
    <row r="64" spans="1:6" ht="15" customHeight="1" x14ac:dyDescent="0.2">
      <c r="A64" s="147">
        <v>3</v>
      </c>
      <c r="B64" s="160" t="s">
        <v>199</v>
      </c>
      <c r="C64" s="157">
        <v>4022869</v>
      </c>
      <c r="D64" s="157">
        <v>4647564</v>
      </c>
      <c r="E64" s="157">
        <f t="shared" si="2"/>
        <v>624695</v>
      </c>
      <c r="F64" s="161">
        <f t="shared" si="3"/>
        <v>0.15528594145123792</v>
      </c>
    </row>
    <row r="65" spans="1:6" ht="15" customHeight="1" x14ac:dyDescent="0.2">
      <c r="A65" s="147">
        <v>4</v>
      </c>
      <c r="B65" s="160" t="s">
        <v>200</v>
      </c>
      <c r="C65" s="157">
        <v>1118194</v>
      </c>
      <c r="D65" s="157">
        <v>1133251</v>
      </c>
      <c r="E65" s="157">
        <f t="shared" si="2"/>
        <v>15057</v>
      </c>
      <c r="F65" s="161">
        <f t="shared" si="3"/>
        <v>1.3465463059182933E-2</v>
      </c>
    </row>
    <row r="66" spans="1:6" ht="15" customHeight="1" x14ac:dyDescent="0.2">
      <c r="A66" s="147">
        <v>5</v>
      </c>
      <c r="B66" s="160" t="s">
        <v>201</v>
      </c>
      <c r="C66" s="157">
        <v>694263</v>
      </c>
      <c r="D66" s="157">
        <v>952372</v>
      </c>
      <c r="E66" s="157">
        <f t="shared" si="2"/>
        <v>258109</v>
      </c>
      <c r="F66" s="161">
        <f t="shared" si="3"/>
        <v>0.37177409713609971</v>
      </c>
    </row>
    <row r="67" spans="1:6" ht="15" customHeight="1" x14ac:dyDescent="0.2">
      <c r="A67" s="147">
        <v>6</v>
      </c>
      <c r="B67" s="160" t="s">
        <v>202</v>
      </c>
      <c r="C67" s="157">
        <v>9416617</v>
      </c>
      <c r="D67" s="157">
        <v>9469624</v>
      </c>
      <c r="E67" s="157">
        <f t="shared" si="2"/>
        <v>53007</v>
      </c>
      <c r="F67" s="161">
        <f t="shared" si="3"/>
        <v>5.6290916366249152E-3</v>
      </c>
    </row>
    <row r="68" spans="1:6" ht="15" customHeight="1" x14ac:dyDescent="0.2">
      <c r="A68" s="147">
        <v>7</v>
      </c>
      <c r="B68" s="160" t="s">
        <v>203</v>
      </c>
      <c r="C68" s="157">
        <v>2608197</v>
      </c>
      <c r="D68" s="157">
        <v>2804859</v>
      </c>
      <c r="E68" s="157">
        <f t="shared" si="2"/>
        <v>196662</v>
      </c>
      <c r="F68" s="161">
        <f t="shared" si="3"/>
        <v>7.5401512999209802E-2</v>
      </c>
    </row>
    <row r="69" spans="1:6" ht="15" customHeight="1" x14ac:dyDescent="0.2">
      <c r="A69" s="147">
        <v>8</v>
      </c>
      <c r="B69" s="160" t="s">
        <v>204</v>
      </c>
      <c r="C69" s="157">
        <v>424824</v>
      </c>
      <c r="D69" s="157">
        <v>360976</v>
      </c>
      <c r="E69" s="157">
        <f t="shared" si="2"/>
        <v>-63848</v>
      </c>
      <c r="F69" s="161">
        <f t="shared" si="3"/>
        <v>-0.15029282714724215</v>
      </c>
    </row>
    <row r="70" spans="1:6" ht="15" customHeight="1" x14ac:dyDescent="0.2">
      <c r="A70" s="147">
        <v>9</v>
      </c>
      <c r="B70" s="160" t="s">
        <v>205</v>
      </c>
      <c r="C70" s="157">
        <v>286403</v>
      </c>
      <c r="D70" s="157">
        <v>275713</v>
      </c>
      <c r="E70" s="157">
        <f t="shared" si="2"/>
        <v>-10690</v>
      </c>
      <c r="F70" s="161">
        <f t="shared" si="3"/>
        <v>-3.7325028019957893E-2</v>
      </c>
    </row>
    <row r="71" spans="1:6" ht="15" customHeight="1" x14ac:dyDescent="0.2">
      <c r="A71" s="147">
        <v>10</v>
      </c>
      <c r="B71" s="160" t="s">
        <v>206</v>
      </c>
      <c r="C71" s="157">
        <v>732166</v>
      </c>
      <c r="D71" s="157">
        <v>698563</v>
      </c>
      <c r="E71" s="157">
        <f t="shared" si="2"/>
        <v>-33603</v>
      </c>
      <c r="F71" s="161">
        <f t="shared" si="3"/>
        <v>-4.5895329747625536E-2</v>
      </c>
    </row>
    <row r="72" spans="1:6" ht="15" customHeight="1" x14ac:dyDescent="0.2">
      <c r="A72" s="147">
        <v>11</v>
      </c>
      <c r="B72" s="160" t="s">
        <v>207</v>
      </c>
      <c r="C72" s="157">
        <v>72358</v>
      </c>
      <c r="D72" s="157">
        <v>191144</v>
      </c>
      <c r="E72" s="157">
        <f t="shared" si="2"/>
        <v>118786</v>
      </c>
      <c r="F72" s="161">
        <f t="shared" si="3"/>
        <v>1.641642942038199</v>
      </c>
    </row>
    <row r="73" spans="1:6" ht="15" customHeight="1" x14ac:dyDescent="0.2">
      <c r="A73" s="147">
        <v>12</v>
      </c>
      <c r="B73" s="160" t="s">
        <v>208</v>
      </c>
      <c r="C73" s="157">
        <v>2215746</v>
      </c>
      <c r="D73" s="157">
        <v>2439168</v>
      </c>
      <c r="E73" s="157">
        <f t="shared" si="2"/>
        <v>223422</v>
      </c>
      <c r="F73" s="161">
        <f t="shared" si="3"/>
        <v>0.10083375982626168</v>
      </c>
    </row>
    <row r="74" spans="1:6" ht="15" customHeight="1" x14ac:dyDescent="0.2">
      <c r="A74" s="147">
        <v>13</v>
      </c>
      <c r="B74" s="160" t="s">
        <v>209</v>
      </c>
      <c r="C74" s="157">
        <v>88135</v>
      </c>
      <c r="D74" s="157">
        <v>167874</v>
      </c>
      <c r="E74" s="157">
        <f t="shared" si="2"/>
        <v>79739</v>
      </c>
      <c r="F74" s="161">
        <f t="shared" si="3"/>
        <v>0.9047370511147671</v>
      </c>
    </row>
    <row r="75" spans="1:6" ht="15" customHeight="1" x14ac:dyDescent="0.2">
      <c r="A75" s="147">
        <v>14</v>
      </c>
      <c r="B75" s="160" t="s">
        <v>210</v>
      </c>
      <c r="C75" s="157">
        <v>159825</v>
      </c>
      <c r="D75" s="157">
        <v>199274</v>
      </c>
      <c r="E75" s="157">
        <f t="shared" si="2"/>
        <v>39449</v>
      </c>
      <c r="F75" s="161">
        <f t="shared" si="3"/>
        <v>0.24682621617394024</v>
      </c>
    </row>
    <row r="76" spans="1:6" ht="15" customHeight="1" x14ac:dyDescent="0.2">
      <c r="A76" s="147">
        <v>15</v>
      </c>
      <c r="B76" s="160" t="s">
        <v>211</v>
      </c>
      <c r="C76" s="157">
        <v>940831</v>
      </c>
      <c r="D76" s="157">
        <v>1271598</v>
      </c>
      <c r="E76" s="157">
        <f t="shared" si="2"/>
        <v>330767</v>
      </c>
      <c r="F76" s="161">
        <f t="shared" si="3"/>
        <v>0.35156898529066327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0</v>
      </c>
      <c r="D80" s="157">
        <v>0</v>
      </c>
      <c r="E80" s="157">
        <f t="shared" si="2"/>
        <v>0</v>
      </c>
      <c r="F80" s="161">
        <f t="shared" si="3"/>
        <v>0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0</v>
      </c>
      <c r="D82" s="157">
        <v>0</v>
      </c>
      <c r="E82" s="157">
        <f t="shared" si="2"/>
        <v>0</v>
      </c>
      <c r="F82" s="161">
        <f t="shared" si="3"/>
        <v>0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0</v>
      </c>
      <c r="D84" s="157">
        <v>0</v>
      </c>
      <c r="E84" s="157">
        <f t="shared" si="2"/>
        <v>0</v>
      </c>
      <c r="F84" s="161">
        <f t="shared" si="3"/>
        <v>0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23572999</v>
      </c>
      <c r="D90" s="158">
        <f>SUM(D62:D89)</f>
        <v>25241738</v>
      </c>
      <c r="E90" s="158">
        <f t="shared" si="2"/>
        <v>1668739</v>
      </c>
      <c r="F90" s="159">
        <f t="shared" si="3"/>
        <v>7.0790271530576154E-2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55682350</v>
      </c>
      <c r="D93" s="157">
        <v>56041607</v>
      </c>
      <c r="E93" s="157">
        <f>+D93-C93</f>
        <v>359257</v>
      </c>
      <c r="F93" s="161">
        <f>IF(C93=0,0,E93/C93)</f>
        <v>6.4519008267431245E-3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288197545</v>
      </c>
      <c r="D95" s="158">
        <f>+D93+D90+D59+D50+D47+D44+D41+D35+D30+D24+D18</f>
        <v>302746868</v>
      </c>
      <c r="E95" s="158">
        <f>+D95-C95</f>
        <v>14549323</v>
      </c>
      <c r="F95" s="159">
        <f>IF(C95=0,0,E95/C95)</f>
        <v>5.0483854746229712E-2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30305199</v>
      </c>
      <c r="D103" s="157">
        <v>29599148</v>
      </c>
      <c r="E103" s="157">
        <f t="shared" ref="E103:E121" si="4">D103-C103</f>
        <v>-706051</v>
      </c>
      <c r="F103" s="161">
        <f t="shared" ref="F103:F121" si="5">IF(C103=0,0,E103/C103)</f>
        <v>-2.3298015630915343E-2</v>
      </c>
    </row>
    <row r="104" spans="1:6" ht="15" customHeight="1" x14ac:dyDescent="0.2">
      <c r="A104" s="147">
        <v>2</v>
      </c>
      <c r="B104" s="169" t="s">
        <v>234</v>
      </c>
      <c r="C104" s="157">
        <v>2467164</v>
      </c>
      <c r="D104" s="157">
        <v>2699190</v>
      </c>
      <c r="E104" s="157">
        <f t="shared" si="4"/>
        <v>232026</v>
      </c>
      <c r="F104" s="161">
        <f t="shared" si="5"/>
        <v>9.4045632961570452E-2</v>
      </c>
    </row>
    <row r="105" spans="1:6" ht="15" customHeight="1" x14ac:dyDescent="0.2">
      <c r="A105" s="147">
        <v>3</v>
      </c>
      <c r="B105" s="169" t="s">
        <v>235</v>
      </c>
      <c r="C105" s="157">
        <v>1531264</v>
      </c>
      <c r="D105" s="157">
        <v>1522470</v>
      </c>
      <c r="E105" s="157">
        <f t="shared" si="4"/>
        <v>-8794</v>
      </c>
      <c r="F105" s="161">
        <f t="shared" si="5"/>
        <v>-5.7429679010281703E-3</v>
      </c>
    </row>
    <row r="106" spans="1:6" ht="15" customHeight="1" x14ac:dyDescent="0.2">
      <c r="A106" s="147">
        <v>4</v>
      </c>
      <c r="B106" s="169" t="s">
        <v>236</v>
      </c>
      <c r="C106" s="157">
        <v>3445050</v>
      </c>
      <c r="D106" s="157">
        <v>3455470</v>
      </c>
      <c r="E106" s="157">
        <f t="shared" si="4"/>
        <v>10420</v>
      </c>
      <c r="F106" s="161">
        <f t="shared" si="5"/>
        <v>3.0246295409355451E-3</v>
      </c>
    </row>
    <row r="107" spans="1:6" ht="15" customHeight="1" x14ac:dyDescent="0.2">
      <c r="A107" s="147">
        <v>5</v>
      </c>
      <c r="B107" s="169" t="s">
        <v>237</v>
      </c>
      <c r="C107" s="157">
        <v>13041485</v>
      </c>
      <c r="D107" s="157">
        <v>14713881</v>
      </c>
      <c r="E107" s="157">
        <f t="shared" si="4"/>
        <v>1672396</v>
      </c>
      <c r="F107" s="161">
        <f t="shared" si="5"/>
        <v>0.12823662335999314</v>
      </c>
    </row>
    <row r="108" spans="1:6" ht="15" customHeight="1" x14ac:dyDescent="0.2">
      <c r="A108" s="147">
        <v>6</v>
      </c>
      <c r="B108" s="169" t="s">
        <v>238</v>
      </c>
      <c r="C108" s="157">
        <v>489934</v>
      </c>
      <c r="D108" s="157">
        <v>384016</v>
      </c>
      <c r="E108" s="157">
        <f t="shared" si="4"/>
        <v>-105918</v>
      </c>
      <c r="F108" s="161">
        <f t="shared" si="5"/>
        <v>-0.21618830291427008</v>
      </c>
    </row>
    <row r="109" spans="1:6" ht="15" customHeight="1" x14ac:dyDescent="0.2">
      <c r="A109" s="147">
        <v>7</v>
      </c>
      <c r="B109" s="169" t="s">
        <v>239</v>
      </c>
      <c r="C109" s="157">
        <v>2709450</v>
      </c>
      <c r="D109" s="157">
        <v>3190878</v>
      </c>
      <c r="E109" s="157">
        <f t="shared" si="4"/>
        <v>481428</v>
      </c>
      <c r="F109" s="161">
        <f t="shared" si="5"/>
        <v>0.17768476997176549</v>
      </c>
    </row>
    <row r="110" spans="1:6" ht="15" customHeight="1" x14ac:dyDescent="0.2">
      <c r="A110" s="147">
        <v>8</v>
      </c>
      <c r="B110" s="169" t="s">
        <v>240</v>
      </c>
      <c r="C110" s="157">
        <v>1614203</v>
      </c>
      <c r="D110" s="157">
        <v>1837440</v>
      </c>
      <c r="E110" s="157">
        <f t="shared" si="4"/>
        <v>223237</v>
      </c>
      <c r="F110" s="161">
        <f t="shared" si="5"/>
        <v>0.13829549319385481</v>
      </c>
    </row>
    <row r="111" spans="1:6" ht="15" customHeight="1" x14ac:dyDescent="0.2">
      <c r="A111" s="147">
        <v>9</v>
      </c>
      <c r="B111" s="169" t="s">
        <v>241</v>
      </c>
      <c r="C111" s="157">
        <v>1162100</v>
      </c>
      <c r="D111" s="157">
        <v>954779</v>
      </c>
      <c r="E111" s="157">
        <f t="shared" si="4"/>
        <v>-207321</v>
      </c>
      <c r="F111" s="161">
        <f t="shared" si="5"/>
        <v>-0.17840203080629893</v>
      </c>
    </row>
    <row r="112" spans="1:6" ht="15" customHeight="1" x14ac:dyDescent="0.2">
      <c r="A112" s="147">
        <v>10</v>
      </c>
      <c r="B112" s="169" t="s">
        <v>242</v>
      </c>
      <c r="C112" s="157">
        <v>3062190</v>
      </c>
      <c r="D112" s="157">
        <v>3277130</v>
      </c>
      <c r="E112" s="157">
        <f t="shared" si="4"/>
        <v>214940</v>
      </c>
      <c r="F112" s="161">
        <f t="shared" si="5"/>
        <v>7.0191594904300519E-2</v>
      </c>
    </row>
    <row r="113" spans="1:6" ht="15" customHeight="1" x14ac:dyDescent="0.2">
      <c r="A113" s="147">
        <v>11</v>
      </c>
      <c r="B113" s="169" t="s">
        <v>243</v>
      </c>
      <c r="C113" s="157">
        <v>2882823</v>
      </c>
      <c r="D113" s="157">
        <v>3281437</v>
      </c>
      <c r="E113" s="157">
        <f t="shared" si="4"/>
        <v>398614</v>
      </c>
      <c r="F113" s="161">
        <f t="shared" si="5"/>
        <v>0.13827210342084825</v>
      </c>
    </row>
    <row r="114" spans="1:6" ht="15" customHeight="1" x14ac:dyDescent="0.2">
      <c r="A114" s="147">
        <v>12</v>
      </c>
      <c r="B114" s="169" t="s">
        <v>244</v>
      </c>
      <c r="C114" s="157">
        <v>41906</v>
      </c>
      <c r="D114" s="157">
        <v>3386</v>
      </c>
      <c r="E114" s="157">
        <f t="shared" si="4"/>
        <v>-38520</v>
      </c>
      <c r="F114" s="161">
        <f t="shared" si="5"/>
        <v>-0.9192001145420704</v>
      </c>
    </row>
    <row r="115" spans="1:6" ht="15" customHeight="1" x14ac:dyDescent="0.2">
      <c r="A115" s="147">
        <v>13</v>
      </c>
      <c r="B115" s="169" t="s">
        <v>245</v>
      </c>
      <c r="C115" s="157">
        <v>5995758</v>
      </c>
      <c r="D115" s="157">
        <v>5906711</v>
      </c>
      <c r="E115" s="157">
        <f t="shared" si="4"/>
        <v>-89047</v>
      </c>
      <c r="F115" s="161">
        <f t="shared" si="5"/>
        <v>-1.4851666795090796E-2</v>
      </c>
    </row>
    <row r="116" spans="1:6" ht="15" customHeight="1" x14ac:dyDescent="0.2">
      <c r="A116" s="147">
        <v>14</v>
      </c>
      <c r="B116" s="169" t="s">
        <v>246</v>
      </c>
      <c r="C116" s="157">
        <v>2986255</v>
      </c>
      <c r="D116" s="157">
        <v>2996801</v>
      </c>
      <c r="E116" s="157">
        <f t="shared" si="4"/>
        <v>10546</v>
      </c>
      <c r="F116" s="161">
        <f t="shared" si="5"/>
        <v>3.5315135512539956E-3</v>
      </c>
    </row>
    <row r="117" spans="1:6" ht="15" customHeight="1" x14ac:dyDescent="0.2">
      <c r="A117" s="147">
        <v>15</v>
      </c>
      <c r="B117" s="169" t="s">
        <v>203</v>
      </c>
      <c r="C117" s="157">
        <v>537036</v>
      </c>
      <c r="D117" s="157">
        <v>543967</v>
      </c>
      <c r="E117" s="157">
        <f t="shared" si="4"/>
        <v>6931</v>
      </c>
      <c r="F117" s="161">
        <f t="shared" si="5"/>
        <v>1.290602492197916E-2</v>
      </c>
    </row>
    <row r="118" spans="1:6" ht="15" customHeight="1" x14ac:dyDescent="0.2">
      <c r="A118" s="147">
        <v>16</v>
      </c>
      <c r="B118" s="169" t="s">
        <v>247</v>
      </c>
      <c r="C118" s="157">
        <v>570693</v>
      </c>
      <c r="D118" s="157">
        <v>761564</v>
      </c>
      <c r="E118" s="157">
        <f t="shared" si="4"/>
        <v>190871</v>
      </c>
      <c r="F118" s="161">
        <f t="shared" si="5"/>
        <v>0.33445477691157943</v>
      </c>
    </row>
    <row r="119" spans="1:6" ht="15" customHeight="1" x14ac:dyDescent="0.2">
      <c r="A119" s="147">
        <v>17</v>
      </c>
      <c r="B119" s="169" t="s">
        <v>248</v>
      </c>
      <c r="C119" s="157">
        <v>13659684</v>
      </c>
      <c r="D119" s="157">
        <v>17375149</v>
      </c>
      <c r="E119" s="157">
        <f t="shared" si="4"/>
        <v>3715465</v>
      </c>
      <c r="F119" s="161">
        <f t="shared" si="5"/>
        <v>0.27200226593821641</v>
      </c>
    </row>
    <row r="120" spans="1:6" ht="15" customHeight="1" x14ac:dyDescent="0.2">
      <c r="A120" s="147">
        <v>18</v>
      </c>
      <c r="B120" s="169" t="s">
        <v>249</v>
      </c>
      <c r="C120" s="157">
        <v>5469582</v>
      </c>
      <c r="D120" s="157">
        <v>5413172</v>
      </c>
      <c r="E120" s="157">
        <f t="shared" si="4"/>
        <v>-56410</v>
      </c>
      <c r="F120" s="161">
        <f t="shared" si="5"/>
        <v>-1.0313402377000656E-2</v>
      </c>
    </row>
    <row r="121" spans="1:6" ht="15.75" customHeight="1" x14ac:dyDescent="0.25">
      <c r="A121" s="147"/>
      <c r="B121" s="165" t="s">
        <v>250</v>
      </c>
      <c r="C121" s="158">
        <f>SUM(C103:C120)</f>
        <v>91971776</v>
      </c>
      <c r="D121" s="158">
        <f>SUM(D103:D120)</f>
        <v>97916589</v>
      </c>
      <c r="E121" s="158">
        <f t="shared" si="4"/>
        <v>5944813</v>
      </c>
      <c r="F121" s="159">
        <f t="shared" si="5"/>
        <v>6.4637362227298947E-2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5889332</v>
      </c>
      <c r="D124" s="157">
        <v>5977507</v>
      </c>
      <c r="E124" s="157">
        <f t="shared" ref="E124:E130" si="6">D124-C124</f>
        <v>88175</v>
      </c>
      <c r="F124" s="161">
        <f t="shared" ref="F124:F130" si="7">IF(C124=0,0,E124/C124)</f>
        <v>1.4971986636175376E-2</v>
      </c>
    </row>
    <row r="125" spans="1:6" ht="15" customHeight="1" x14ac:dyDescent="0.2">
      <c r="A125" s="147">
        <v>2</v>
      </c>
      <c r="B125" s="169" t="s">
        <v>253</v>
      </c>
      <c r="C125" s="157">
        <v>10511345</v>
      </c>
      <c r="D125" s="157">
        <v>11226003</v>
      </c>
      <c r="E125" s="157">
        <f t="shared" si="6"/>
        <v>714658</v>
      </c>
      <c r="F125" s="161">
        <f t="shared" si="7"/>
        <v>6.7989205948430012E-2</v>
      </c>
    </row>
    <row r="126" spans="1:6" ht="15" customHeight="1" x14ac:dyDescent="0.2">
      <c r="A126" s="147">
        <v>3</v>
      </c>
      <c r="B126" s="169" t="s">
        <v>254</v>
      </c>
      <c r="C126" s="157">
        <v>1215712</v>
      </c>
      <c r="D126" s="157">
        <v>1317491</v>
      </c>
      <c r="E126" s="157">
        <f t="shared" si="6"/>
        <v>101779</v>
      </c>
      <c r="F126" s="161">
        <f t="shared" si="7"/>
        <v>8.3719663867758157E-2</v>
      </c>
    </row>
    <row r="127" spans="1:6" ht="15" customHeight="1" x14ac:dyDescent="0.2">
      <c r="A127" s="147">
        <v>4</v>
      </c>
      <c r="B127" s="169" t="s">
        <v>255</v>
      </c>
      <c r="C127" s="157">
        <v>2071466</v>
      </c>
      <c r="D127" s="157">
        <v>1950218</v>
      </c>
      <c r="E127" s="157">
        <f t="shared" si="6"/>
        <v>-121248</v>
      </c>
      <c r="F127" s="161">
        <f t="shared" si="7"/>
        <v>-5.8532459620384787E-2</v>
      </c>
    </row>
    <row r="128" spans="1:6" ht="15" customHeight="1" x14ac:dyDescent="0.2">
      <c r="A128" s="147">
        <v>5</v>
      </c>
      <c r="B128" s="169" t="s">
        <v>256</v>
      </c>
      <c r="C128" s="157">
        <v>1975788</v>
      </c>
      <c r="D128" s="157">
        <v>2145298</v>
      </c>
      <c r="E128" s="157">
        <f t="shared" si="6"/>
        <v>169510</v>
      </c>
      <c r="F128" s="161">
        <f t="shared" si="7"/>
        <v>8.5793617533864969E-2</v>
      </c>
    </row>
    <row r="129" spans="1:6" ht="15" customHeight="1" x14ac:dyDescent="0.2">
      <c r="A129" s="147">
        <v>6</v>
      </c>
      <c r="B129" s="169" t="s">
        <v>257</v>
      </c>
      <c r="C129" s="157">
        <v>1268406</v>
      </c>
      <c r="D129" s="157">
        <v>1334362</v>
      </c>
      <c r="E129" s="157">
        <f t="shared" si="6"/>
        <v>65956</v>
      </c>
      <c r="F129" s="161">
        <f t="shared" si="7"/>
        <v>5.1999123309098193E-2</v>
      </c>
    </row>
    <row r="130" spans="1:6" ht="15.75" customHeight="1" x14ac:dyDescent="0.25">
      <c r="A130" s="147"/>
      <c r="B130" s="165" t="s">
        <v>258</v>
      </c>
      <c r="C130" s="158">
        <f>SUM(C124:C129)</f>
        <v>22932049</v>
      </c>
      <c r="D130" s="158">
        <f>SUM(D124:D129)</f>
        <v>23950879</v>
      </c>
      <c r="E130" s="158">
        <f t="shared" si="6"/>
        <v>1018830</v>
      </c>
      <c r="F130" s="159">
        <f t="shared" si="7"/>
        <v>4.4428214853369626E-2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9844803</v>
      </c>
      <c r="D133" s="157">
        <v>10794699</v>
      </c>
      <c r="E133" s="157">
        <f t="shared" ref="E133:E167" si="8">D133-C133</f>
        <v>949896</v>
      </c>
      <c r="F133" s="161">
        <f t="shared" ref="F133:F167" si="9">IF(C133=0,0,E133/C133)</f>
        <v>9.6487050070986694E-2</v>
      </c>
    </row>
    <row r="134" spans="1:6" ht="15" customHeight="1" x14ac:dyDescent="0.2">
      <c r="A134" s="147">
        <v>2</v>
      </c>
      <c r="B134" s="169" t="s">
        <v>261</v>
      </c>
      <c r="C134" s="157">
        <v>2578504</v>
      </c>
      <c r="D134" s="157">
        <v>2630887</v>
      </c>
      <c r="E134" s="157">
        <f t="shared" si="8"/>
        <v>52383</v>
      </c>
      <c r="F134" s="161">
        <f t="shared" si="9"/>
        <v>2.0315268077924255E-2</v>
      </c>
    </row>
    <row r="135" spans="1:6" ht="15" customHeight="1" x14ac:dyDescent="0.2">
      <c r="A135" s="147">
        <v>3</v>
      </c>
      <c r="B135" s="169" t="s">
        <v>262</v>
      </c>
      <c r="C135" s="157">
        <v>740517</v>
      </c>
      <c r="D135" s="157">
        <v>885325</v>
      </c>
      <c r="E135" s="157">
        <f t="shared" si="8"/>
        <v>144808</v>
      </c>
      <c r="F135" s="161">
        <f t="shared" si="9"/>
        <v>0.19554986583697606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2394381</v>
      </c>
      <c r="D137" s="157">
        <v>2526484</v>
      </c>
      <c r="E137" s="157">
        <f t="shared" si="8"/>
        <v>132103</v>
      </c>
      <c r="F137" s="161">
        <f t="shared" si="9"/>
        <v>5.5172088318442218E-2</v>
      </c>
    </row>
    <row r="138" spans="1:6" ht="15" customHeight="1" x14ac:dyDescent="0.2">
      <c r="A138" s="147">
        <v>6</v>
      </c>
      <c r="B138" s="169" t="s">
        <v>265</v>
      </c>
      <c r="C138" s="157">
        <v>741004</v>
      </c>
      <c r="D138" s="157">
        <v>815843</v>
      </c>
      <c r="E138" s="157">
        <f t="shared" si="8"/>
        <v>74839</v>
      </c>
      <c r="F138" s="161">
        <f t="shared" si="9"/>
        <v>0.10099675575300539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0</v>
      </c>
      <c r="D140" s="157">
        <v>0</v>
      </c>
      <c r="E140" s="157">
        <f t="shared" si="8"/>
        <v>0</v>
      </c>
      <c r="F140" s="161">
        <f t="shared" si="9"/>
        <v>0</v>
      </c>
    </row>
    <row r="141" spans="1:6" ht="15" customHeight="1" x14ac:dyDescent="0.2">
      <c r="A141" s="147">
        <v>9</v>
      </c>
      <c r="B141" s="169" t="s">
        <v>268</v>
      </c>
      <c r="C141" s="157">
        <v>627557</v>
      </c>
      <c r="D141" s="157">
        <v>780966</v>
      </c>
      <c r="E141" s="157">
        <f t="shared" si="8"/>
        <v>153409</v>
      </c>
      <c r="F141" s="161">
        <f t="shared" si="9"/>
        <v>0.24445428861442067</v>
      </c>
    </row>
    <row r="142" spans="1:6" ht="15" customHeight="1" x14ac:dyDescent="0.2">
      <c r="A142" s="147">
        <v>10</v>
      </c>
      <c r="B142" s="169" t="s">
        <v>269</v>
      </c>
      <c r="C142" s="157">
        <v>4725432</v>
      </c>
      <c r="D142" s="157">
        <v>4733125</v>
      </c>
      <c r="E142" s="157">
        <f t="shared" si="8"/>
        <v>7693</v>
      </c>
      <c r="F142" s="161">
        <f t="shared" si="9"/>
        <v>1.6279993024976341E-3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652867</v>
      </c>
      <c r="D144" s="157">
        <v>736756</v>
      </c>
      <c r="E144" s="157">
        <f t="shared" si="8"/>
        <v>83889</v>
      </c>
      <c r="F144" s="161">
        <f t="shared" si="9"/>
        <v>0.12849324594442665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437159</v>
      </c>
      <c r="D146" s="157">
        <v>431214</v>
      </c>
      <c r="E146" s="157">
        <f t="shared" si="8"/>
        <v>-5945</v>
      </c>
      <c r="F146" s="161">
        <f t="shared" si="9"/>
        <v>-1.3599171011005148E-2</v>
      </c>
    </row>
    <row r="147" spans="1:6" ht="15" customHeight="1" x14ac:dyDescent="0.2">
      <c r="A147" s="147">
        <v>15</v>
      </c>
      <c r="B147" s="169" t="s">
        <v>274</v>
      </c>
      <c r="C147" s="157">
        <v>912289</v>
      </c>
      <c r="D147" s="157">
        <v>1055527</v>
      </c>
      <c r="E147" s="157">
        <f t="shared" si="8"/>
        <v>143238</v>
      </c>
      <c r="F147" s="161">
        <f t="shared" si="9"/>
        <v>0.1570094564332136</v>
      </c>
    </row>
    <row r="148" spans="1:6" ht="15" customHeight="1" x14ac:dyDescent="0.2">
      <c r="A148" s="147">
        <v>16</v>
      </c>
      <c r="B148" s="169" t="s">
        <v>275</v>
      </c>
      <c r="C148" s="157">
        <v>834130</v>
      </c>
      <c r="D148" s="157">
        <v>1045524</v>
      </c>
      <c r="E148" s="157">
        <f t="shared" si="8"/>
        <v>211394</v>
      </c>
      <c r="F148" s="161">
        <f t="shared" si="9"/>
        <v>0.2534305204224761</v>
      </c>
    </row>
    <row r="149" spans="1:6" ht="15" customHeight="1" x14ac:dyDescent="0.2">
      <c r="A149" s="147">
        <v>17</v>
      </c>
      <c r="B149" s="169" t="s">
        <v>276</v>
      </c>
      <c r="C149" s="157">
        <v>1041901</v>
      </c>
      <c r="D149" s="157">
        <v>1173752</v>
      </c>
      <c r="E149" s="157">
        <f t="shared" si="8"/>
        <v>131851</v>
      </c>
      <c r="F149" s="161">
        <f t="shared" si="9"/>
        <v>0.12654849165131812</v>
      </c>
    </row>
    <row r="150" spans="1:6" ht="15" customHeight="1" x14ac:dyDescent="0.2">
      <c r="A150" s="147">
        <v>18</v>
      </c>
      <c r="B150" s="169" t="s">
        <v>277</v>
      </c>
      <c r="C150" s="157">
        <v>3158306</v>
      </c>
      <c r="D150" s="157">
        <v>3382020</v>
      </c>
      <c r="E150" s="157">
        <f t="shared" si="8"/>
        <v>223714</v>
      </c>
      <c r="F150" s="161">
        <f t="shared" si="9"/>
        <v>7.0833541778409059E-2</v>
      </c>
    </row>
    <row r="151" spans="1:6" ht="15" customHeight="1" x14ac:dyDescent="0.2">
      <c r="A151" s="147">
        <v>19</v>
      </c>
      <c r="B151" s="169" t="s">
        <v>278</v>
      </c>
      <c r="C151" s="157">
        <v>419970</v>
      </c>
      <c r="D151" s="157">
        <v>347145</v>
      </c>
      <c r="E151" s="157">
        <f t="shared" si="8"/>
        <v>-72825</v>
      </c>
      <c r="F151" s="161">
        <f t="shared" si="9"/>
        <v>-0.1734052432316594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1688335</v>
      </c>
      <c r="D154" s="157">
        <v>1594472</v>
      </c>
      <c r="E154" s="157">
        <f t="shared" si="8"/>
        <v>-93863</v>
      </c>
      <c r="F154" s="161">
        <f t="shared" si="9"/>
        <v>-5.559500928429488E-2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8467824</v>
      </c>
      <c r="D156" s="157">
        <v>8957635</v>
      </c>
      <c r="E156" s="157">
        <f t="shared" si="8"/>
        <v>489811</v>
      </c>
      <c r="F156" s="161">
        <f t="shared" si="9"/>
        <v>5.7843786077745596E-2</v>
      </c>
    </row>
    <row r="157" spans="1:6" ht="15" customHeight="1" x14ac:dyDescent="0.2">
      <c r="A157" s="147">
        <v>25</v>
      </c>
      <c r="B157" s="169" t="s">
        <v>284</v>
      </c>
      <c r="C157" s="157">
        <v>730862</v>
      </c>
      <c r="D157" s="157">
        <v>730019</v>
      </c>
      <c r="E157" s="157">
        <f t="shared" si="8"/>
        <v>-843</v>
      </c>
      <c r="F157" s="161">
        <f t="shared" si="9"/>
        <v>-1.1534325221450835E-3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261202</v>
      </c>
      <c r="D160" s="157">
        <v>304325</v>
      </c>
      <c r="E160" s="157">
        <f t="shared" si="8"/>
        <v>43123</v>
      </c>
      <c r="F160" s="161">
        <f t="shared" si="9"/>
        <v>0.16509444797513037</v>
      </c>
    </row>
    <row r="161" spans="1:6" ht="15" customHeight="1" x14ac:dyDescent="0.2">
      <c r="A161" s="147">
        <v>29</v>
      </c>
      <c r="B161" s="169" t="s">
        <v>288</v>
      </c>
      <c r="C161" s="157">
        <v>797293</v>
      </c>
      <c r="D161" s="157">
        <v>896623</v>
      </c>
      <c r="E161" s="157">
        <f t="shared" si="8"/>
        <v>99330</v>
      </c>
      <c r="F161" s="161">
        <f t="shared" si="9"/>
        <v>0.12458406131748304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782635</v>
      </c>
      <c r="D163" s="157">
        <v>766608</v>
      </c>
      <c r="E163" s="157">
        <f t="shared" si="8"/>
        <v>-16027</v>
      </c>
      <c r="F163" s="161">
        <f t="shared" si="9"/>
        <v>-2.0478256147501709E-2</v>
      </c>
    </row>
    <row r="164" spans="1:6" ht="15" customHeight="1" x14ac:dyDescent="0.2">
      <c r="A164" s="147">
        <v>32</v>
      </c>
      <c r="B164" s="169" t="s">
        <v>291</v>
      </c>
      <c r="C164" s="157">
        <v>1896910</v>
      </c>
      <c r="D164" s="157">
        <v>2236753</v>
      </c>
      <c r="E164" s="157">
        <f t="shared" si="8"/>
        <v>339843</v>
      </c>
      <c r="F164" s="161">
        <f t="shared" si="9"/>
        <v>0.1791561012383297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3590381</v>
      </c>
      <c r="D166" s="157">
        <v>4042518</v>
      </c>
      <c r="E166" s="157">
        <f t="shared" si="8"/>
        <v>452137</v>
      </c>
      <c r="F166" s="161">
        <f t="shared" si="9"/>
        <v>0.12593008931364108</v>
      </c>
    </row>
    <row r="167" spans="1:6" ht="15.75" customHeight="1" x14ac:dyDescent="0.25">
      <c r="A167" s="147"/>
      <c r="B167" s="165" t="s">
        <v>294</v>
      </c>
      <c r="C167" s="158">
        <f>SUM(C133:C166)</f>
        <v>47324262</v>
      </c>
      <c r="D167" s="158">
        <f>SUM(D133:D166)</f>
        <v>50868220</v>
      </c>
      <c r="E167" s="158">
        <f t="shared" si="8"/>
        <v>3543958</v>
      </c>
      <c r="F167" s="159">
        <f t="shared" si="9"/>
        <v>7.4886703991284637E-2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0</v>
      </c>
      <c r="D170" s="157">
        <v>0</v>
      </c>
      <c r="E170" s="157">
        <f t="shared" ref="E170:E183" si="10">D170-C170</f>
        <v>0</v>
      </c>
      <c r="F170" s="161">
        <f t="shared" ref="F170:F183" si="11">IF(C170=0,0,E170/C170)</f>
        <v>0</v>
      </c>
    </row>
    <row r="171" spans="1:6" ht="15" customHeight="1" x14ac:dyDescent="0.2">
      <c r="A171" s="147">
        <v>2</v>
      </c>
      <c r="B171" s="169" t="s">
        <v>297</v>
      </c>
      <c r="C171" s="157">
        <v>5656447</v>
      </c>
      <c r="D171" s="157">
        <v>6790040</v>
      </c>
      <c r="E171" s="157">
        <f t="shared" si="10"/>
        <v>1133593</v>
      </c>
      <c r="F171" s="161">
        <f t="shared" si="11"/>
        <v>0.20040725211426891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14358623</v>
      </c>
      <c r="D174" s="157">
        <v>15217024</v>
      </c>
      <c r="E174" s="157">
        <f t="shared" si="10"/>
        <v>858401</v>
      </c>
      <c r="F174" s="161">
        <f t="shared" si="11"/>
        <v>5.9782961081992332E-2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28783992</v>
      </c>
      <c r="D177" s="157">
        <v>28504536</v>
      </c>
      <c r="E177" s="157">
        <f t="shared" si="10"/>
        <v>-279456</v>
      </c>
      <c r="F177" s="161">
        <f t="shared" si="11"/>
        <v>-9.7087297689632483E-3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2531082</v>
      </c>
      <c r="D179" s="157">
        <v>2760135</v>
      </c>
      <c r="E179" s="157">
        <f t="shared" si="10"/>
        <v>229053</v>
      </c>
      <c r="F179" s="161">
        <f t="shared" si="11"/>
        <v>9.0496080332442802E-2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172805</v>
      </c>
      <c r="D182" s="157">
        <v>268937</v>
      </c>
      <c r="E182" s="157">
        <f t="shared" si="10"/>
        <v>96132</v>
      </c>
      <c r="F182" s="161">
        <f t="shared" si="11"/>
        <v>0.55630334770405954</v>
      </c>
    </row>
    <row r="183" spans="1:6" ht="15.75" customHeight="1" x14ac:dyDescent="0.25">
      <c r="A183" s="147"/>
      <c r="B183" s="165" t="s">
        <v>309</v>
      </c>
      <c r="C183" s="158">
        <f>SUM(C170:C182)</f>
        <v>51502949</v>
      </c>
      <c r="D183" s="158">
        <f>SUM(D170:D182)</f>
        <v>53540672</v>
      </c>
      <c r="E183" s="158">
        <f t="shared" si="10"/>
        <v>2037723</v>
      </c>
      <c r="F183" s="159">
        <f t="shared" si="11"/>
        <v>3.956517130698671E-2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74466509</v>
      </c>
      <c r="D186" s="157">
        <v>76470508</v>
      </c>
      <c r="E186" s="157">
        <f>D186-C186</f>
        <v>2003999</v>
      </c>
      <c r="F186" s="161">
        <f>IF(C186=0,0,E186/C186)</f>
        <v>2.6911413290503519E-2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288197545</v>
      </c>
      <c r="D188" s="158">
        <f>+D186+D183+D167+D130+D121</f>
        <v>302746868</v>
      </c>
      <c r="E188" s="158">
        <f>D188-C188</f>
        <v>14549323</v>
      </c>
      <c r="F188" s="159">
        <f>IF(C188=0,0,E188/C188)</f>
        <v>5.0483854746229712E-2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FILING&amp;RCT CHILDREN`S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Normal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252957977</v>
      </c>
      <c r="D11" s="183">
        <v>293034805</v>
      </c>
      <c r="E11" s="76">
        <v>305164135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16353492</v>
      </c>
      <c r="D12" s="185">
        <v>18806567</v>
      </c>
      <c r="E12" s="185">
        <v>20317252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269311469</v>
      </c>
      <c r="D13" s="76">
        <f>+D11+D12</f>
        <v>311841372</v>
      </c>
      <c r="E13" s="76">
        <f>+E11+E12</f>
        <v>325481387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280099480</v>
      </c>
      <c r="D14" s="185">
        <v>288197545</v>
      </c>
      <c r="E14" s="185">
        <v>302746868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-10788011</v>
      </c>
      <c r="D15" s="76">
        <f>+D13-D14</f>
        <v>23643827</v>
      </c>
      <c r="E15" s="76">
        <f>+E13-E14</f>
        <v>22734519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9192566</v>
      </c>
      <c r="D16" s="185">
        <v>4501314</v>
      </c>
      <c r="E16" s="185">
        <v>7722695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-1595445</v>
      </c>
      <c r="D17" s="76">
        <f>D15+D16</f>
        <v>28145141</v>
      </c>
      <c r="E17" s="76">
        <f>E15+E16</f>
        <v>30457214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-3.8735564459595709E-2</v>
      </c>
      <c r="D20" s="189">
        <f>IF(+D27=0,0,+D24/+D27)</f>
        <v>7.4741184311749823E-2</v>
      </c>
      <c r="E20" s="189">
        <f>IF(+E27=0,0,+E24/+E27)</f>
        <v>6.8230013460639422E-2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3.3006940096936117E-2</v>
      </c>
      <c r="D21" s="189">
        <f>IF(D27=0,0,+D26/D27)</f>
        <v>1.422923367351063E-2</v>
      </c>
      <c r="E21" s="189">
        <f>IF(E27=0,0,+E26/E27)</f>
        <v>2.3177072002377209E-2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-5.7286243626595932E-3</v>
      </c>
      <c r="D22" s="189">
        <f>IF(D27=0,0,+D28/D27)</f>
        <v>8.8970417985260453E-2</v>
      </c>
      <c r="E22" s="189">
        <f>IF(E27=0,0,+E28/E27)</f>
        <v>9.1407085463016624E-2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-10788011</v>
      </c>
      <c r="D24" s="76">
        <f>+D15</f>
        <v>23643827</v>
      </c>
      <c r="E24" s="76">
        <f>+E15</f>
        <v>22734519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269311469</v>
      </c>
      <c r="D25" s="76">
        <f>+D13</f>
        <v>311841372</v>
      </c>
      <c r="E25" s="76">
        <f>+E13</f>
        <v>325481387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9192566</v>
      </c>
      <c r="D26" s="76">
        <f>+D16</f>
        <v>4501314</v>
      </c>
      <c r="E26" s="76">
        <f>+E16</f>
        <v>7722695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278504035</v>
      </c>
      <c r="D27" s="76">
        <f>+D25+D26</f>
        <v>316342686</v>
      </c>
      <c r="E27" s="76">
        <f>+E25+E26</f>
        <v>333204082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-1595445</v>
      </c>
      <c r="D28" s="76">
        <f>+D17</f>
        <v>28145141</v>
      </c>
      <c r="E28" s="76">
        <f>+E17</f>
        <v>30457214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74193342</v>
      </c>
      <c r="D31" s="76">
        <v>75698045</v>
      </c>
      <c r="E31" s="76">
        <v>86365161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200601965</v>
      </c>
      <c r="D32" s="76">
        <v>198249845</v>
      </c>
      <c r="E32" s="76">
        <v>212905253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-18530164</v>
      </c>
      <c r="D33" s="76">
        <f>+D32-C32</f>
        <v>-2352120</v>
      </c>
      <c r="E33" s="76">
        <f>+E32-D32</f>
        <v>14655408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0.91539999999999999</v>
      </c>
      <c r="D34" s="193">
        <f>IF(C32=0,0,+D33/C32)</f>
        <v>-1.172530887222366E-2</v>
      </c>
      <c r="E34" s="193">
        <f>IF(D32=0,0,+E33/D32)</f>
        <v>7.3923931693364003E-2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0.44558692798435517</v>
      </c>
      <c r="D38" s="195">
        <f>IF((D40+D41)=0,0,+D39/(D40+D41))</f>
        <v>0.40454737782080485</v>
      </c>
      <c r="E38" s="195">
        <f>IF((E40+E41)=0,0,+E39/(E40+E41))</f>
        <v>0.3934356707245043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280099480</v>
      </c>
      <c r="D39" s="76">
        <v>288197545</v>
      </c>
      <c r="E39" s="196">
        <v>302746868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596675246</v>
      </c>
      <c r="D40" s="76">
        <v>668252697</v>
      </c>
      <c r="E40" s="196">
        <v>726117965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31932692</v>
      </c>
      <c r="D41" s="76">
        <v>44142342</v>
      </c>
      <c r="E41" s="196">
        <v>43377255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1.2869945856986076</v>
      </c>
      <c r="D43" s="197">
        <f>IF(D38=0,0,IF((D46-D47)=0,0,((+D44-D45)/(D46-D47)/D38)))</f>
        <v>1.4654376157999651</v>
      </c>
      <c r="E43" s="197">
        <f>IF(E38=0,0,IF((E46-E47)=0,0,((+E44-E45)/(E46-E47)/E38)))</f>
        <v>1.459640944531174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155642304</v>
      </c>
      <c r="D44" s="76">
        <v>178437548</v>
      </c>
      <c r="E44" s="196">
        <v>189322073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1457465</v>
      </c>
      <c r="D45" s="76">
        <v>490242</v>
      </c>
      <c r="E45" s="196">
        <v>626444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272351705</v>
      </c>
      <c r="D46" s="76">
        <v>303509876</v>
      </c>
      <c r="E46" s="196">
        <v>332295098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3487795</v>
      </c>
      <c r="D47" s="76">
        <v>3348580</v>
      </c>
      <c r="E47" s="76">
        <v>3714383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8.7918415197366659</v>
      </c>
      <c r="D49" s="198">
        <f>IF(D38=0,0,IF(D51=0,0,(D50/D51)/D38))</f>
        <v>3.6092913750140143</v>
      </c>
      <c r="E49" s="198">
        <f>IF(E38=0,0,IF(E51=0,0,(E50/E51)/E38))</f>
        <v>5.2645493170825777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2778551</v>
      </c>
      <c r="D50" s="199">
        <v>3103302</v>
      </c>
      <c r="E50" s="199">
        <v>3402047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709261</v>
      </c>
      <c r="D51" s="199">
        <v>2125361</v>
      </c>
      <c r="E51" s="199">
        <v>1642500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0.56769388709446766</v>
      </c>
      <c r="D53" s="198">
        <f>IF(D38=0,0,IF(D55=0,0,(D54/D55)/D38))</f>
        <v>0.60009478297090357</v>
      </c>
      <c r="E53" s="198">
        <f>IF(E38=0,0,IF(E55=0,0,(E54/E55)/E38))</f>
        <v>0.66297893527631102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81121874</v>
      </c>
      <c r="D54" s="199">
        <v>86871730</v>
      </c>
      <c r="E54" s="199">
        <v>100785416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320694355</v>
      </c>
      <c r="D55" s="199">
        <v>357840283</v>
      </c>
      <c r="E55" s="199">
        <v>386388534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2104091.3282663003</v>
      </c>
      <c r="D57" s="88">
        <f>+D60*D38</f>
        <v>1110995.922740564</v>
      </c>
      <c r="E57" s="88">
        <f>+E60*E38</f>
        <v>1456932.8125669241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1302183</v>
      </c>
      <c r="D58" s="199">
        <v>1893788</v>
      </c>
      <c r="E58" s="199">
        <v>2097657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3419884</v>
      </c>
      <c r="D59" s="199">
        <v>852481</v>
      </c>
      <c r="E59" s="199">
        <v>1605446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4722067</v>
      </c>
      <c r="D60" s="76">
        <v>2746269</v>
      </c>
      <c r="E60" s="201">
        <v>3703103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7.5119430006307056E-3</v>
      </c>
      <c r="D62" s="202">
        <f>IF(D63=0,0,+D57/D63)</f>
        <v>3.8549805229623449E-3</v>
      </c>
      <c r="E62" s="202">
        <f>IF(E63=0,0,+E57/E63)</f>
        <v>4.8123794713110764E-3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280099480</v>
      </c>
      <c r="D63" s="199">
        <v>288197545</v>
      </c>
      <c r="E63" s="199">
        <v>302746868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0.5256494319502133</v>
      </c>
      <c r="D67" s="203">
        <f>IF(D69=0,0,D68/D69)</f>
        <v>0.58543420247991118</v>
      </c>
      <c r="E67" s="203">
        <f>IF(E69=0,0,E68/E69)</f>
        <v>0.63843294470340495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50491652</v>
      </c>
      <c r="D68" s="204">
        <v>49405996</v>
      </c>
      <c r="E68" s="204">
        <v>46921153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96055753</v>
      </c>
      <c r="D69" s="204">
        <v>84392056</v>
      </c>
      <c r="E69" s="204">
        <v>73494254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5.2962976854982333</v>
      </c>
      <c r="D71" s="203">
        <f>IF((D77/365)=0,0,+D74/(D77/365))</f>
        <v>11.233968138160296</v>
      </c>
      <c r="E71" s="203">
        <f>IF((E77/365)=0,0,+E74/(E77/365))</f>
        <v>5.3547728915138419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3850387</v>
      </c>
      <c r="D72" s="183">
        <v>8339532</v>
      </c>
      <c r="E72" s="183">
        <v>4161628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3850387</v>
      </c>
      <c r="D74" s="204">
        <f>+D72+D73</f>
        <v>8339532</v>
      </c>
      <c r="E74" s="204">
        <f>+E72+E73</f>
        <v>4161628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280099480</v>
      </c>
      <c r="D75" s="204">
        <f>+D14</f>
        <v>288197545</v>
      </c>
      <c r="E75" s="204">
        <f>+E14</f>
        <v>302746868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14745956</v>
      </c>
      <c r="D76" s="204">
        <v>17239933</v>
      </c>
      <c r="E76" s="204">
        <v>19075786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265353524</v>
      </c>
      <c r="D77" s="204">
        <f>+D75-D76</f>
        <v>270957612</v>
      </c>
      <c r="E77" s="204">
        <f>+E75-E76</f>
        <v>283671082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4.5462992258196309</v>
      </c>
      <c r="D79" s="203">
        <f>IF((D84/365)=0,0,+D83/(D84/365))</f>
        <v>23.814362904775084</v>
      </c>
      <c r="E79" s="203">
        <f>IF((E84/365)=0,0,+E83/(E84/365))</f>
        <v>34.55128870238962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30704847</v>
      </c>
      <c r="D80" s="212">
        <v>31383650</v>
      </c>
      <c r="E80" s="212">
        <v>32051457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27554100</v>
      </c>
      <c r="D82" s="212">
        <v>12264644</v>
      </c>
      <c r="E82" s="212">
        <v>3164295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3150747</v>
      </c>
      <c r="D83" s="212">
        <f>+D80+D81-D82</f>
        <v>19119006</v>
      </c>
      <c r="E83" s="212">
        <f>+E80+E81-E82</f>
        <v>28887162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252957977</v>
      </c>
      <c r="D84" s="204">
        <f>+D11</f>
        <v>293034805</v>
      </c>
      <c r="E84" s="204">
        <f>+E11</f>
        <v>305164135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132.12694264049043</v>
      </c>
      <c r="D86" s="203">
        <f>IF((D90/365)=0,0,+D87/(D90/365))</f>
        <v>113.68235870044501</v>
      </c>
      <c r="E86" s="203">
        <f>IF((E90/365)=0,0,+E87/(E90/365))</f>
        <v>94.565165123176001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96055753</v>
      </c>
      <c r="D87" s="76">
        <f>+D69</f>
        <v>84392056</v>
      </c>
      <c r="E87" s="76">
        <f>+E69</f>
        <v>73494254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280099480</v>
      </c>
      <c r="D88" s="76">
        <f t="shared" si="0"/>
        <v>288197545</v>
      </c>
      <c r="E88" s="76">
        <f t="shared" si="0"/>
        <v>302746868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14745956</v>
      </c>
      <c r="D89" s="201">
        <f t="shared" si="0"/>
        <v>17239933</v>
      </c>
      <c r="E89" s="201">
        <f t="shared" si="0"/>
        <v>19075786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265353524</v>
      </c>
      <c r="D90" s="76">
        <f>+D88-D89</f>
        <v>270957612</v>
      </c>
      <c r="E90" s="76">
        <f>+E88-E89</f>
        <v>283671082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50.984154445218245</v>
      </c>
      <c r="D94" s="214">
        <f>IF(D96=0,0,(D95/D96)*100)</f>
        <v>52.154607845448183</v>
      </c>
      <c r="E94" s="214">
        <f>IF(E96=0,0,(E95/E96)*100)</f>
        <v>55.261107925016681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200601965</v>
      </c>
      <c r="D95" s="76">
        <f>+D32</f>
        <v>198249845</v>
      </c>
      <c r="E95" s="76">
        <f>+E32</f>
        <v>212905253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393459433</v>
      </c>
      <c r="D96" s="76">
        <v>380119520</v>
      </c>
      <c r="E96" s="76">
        <v>385271416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8.4549264170307872</v>
      </c>
      <c r="D98" s="214">
        <f>IF(D104=0,0,(D101/D104)*100)</f>
        <v>33.240265624041918</v>
      </c>
      <c r="E98" s="214">
        <f>IF(E104=0,0,(E101/E104)*100)</f>
        <v>41.910373887443427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-1595445</v>
      </c>
      <c r="D99" s="76">
        <f>+D28</f>
        <v>28145141</v>
      </c>
      <c r="E99" s="76">
        <f>+E28</f>
        <v>30457214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14745956</v>
      </c>
      <c r="D100" s="201">
        <f>+D76</f>
        <v>17239933</v>
      </c>
      <c r="E100" s="201">
        <f>+E76</f>
        <v>19075786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13150511</v>
      </c>
      <c r="D101" s="76">
        <f>+D99+D100</f>
        <v>45385074</v>
      </c>
      <c r="E101" s="76">
        <f>+E99+E100</f>
        <v>49533000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96055753</v>
      </c>
      <c r="D102" s="204">
        <f>+D69</f>
        <v>84392056</v>
      </c>
      <c r="E102" s="204">
        <f>+E69</f>
        <v>73494254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59480917</v>
      </c>
      <c r="D103" s="216">
        <v>52144380</v>
      </c>
      <c r="E103" s="216">
        <v>44693668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155536670</v>
      </c>
      <c r="D104" s="204">
        <f>+D102+D103</f>
        <v>136536436</v>
      </c>
      <c r="E104" s="204">
        <f>+E102+E103</f>
        <v>118187922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22.869985345671463</v>
      </c>
      <c r="D106" s="214">
        <f>IF(D109=0,0,(D107/D109)*100)</f>
        <v>20.824913194383775</v>
      </c>
      <c r="E106" s="214">
        <f>IF(E109=0,0,(E107/E109)*100)</f>
        <v>17.350099071261248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59480917</v>
      </c>
      <c r="D107" s="204">
        <f>+D103</f>
        <v>52144380</v>
      </c>
      <c r="E107" s="204">
        <f>+E103</f>
        <v>44693668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200601965</v>
      </c>
      <c r="D108" s="204">
        <f>+D32</f>
        <v>198249845</v>
      </c>
      <c r="E108" s="204">
        <f>+E32</f>
        <v>212905253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260082882</v>
      </c>
      <c r="D109" s="204">
        <f>+D107+D108</f>
        <v>250394225</v>
      </c>
      <c r="E109" s="204">
        <f>+E107+E108</f>
        <v>257598921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1.7523866733763616</v>
      </c>
      <c r="D111" s="214">
        <f>IF((+D113+D115)=0,0,((+D112+D113+D114)/(+D113+D115)))</f>
        <v>5.1316666677675169</v>
      </c>
      <c r="E111" s="214">
        <f>IF((+E113+E115)=0,0,((+E112+E113+E114)/(+E113+E115)))</f>
        <v>6.0655713626479786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-1595445</v>
      </c>
      <c r="D112" s="76">
        <f>+D17</f>
        <v>28145141</v>
      </c>
      <c r="E112" s="76">
        <f>+E17</f>
        <v>30457214</v>
      </c>
    </row>
    <row r="113" spans="1:8" ht="24" customHeight="1" x14ac:dyDescent="0.2">
      <c r="A113" s="85">
        <v>17</v>
      </c>
      <c r="B113" s="75" t="s">
        <v>88</v>
      </c>
      <c r="C113" s="218">
        <v>1231379</v>
      </c>
      <c r="D113" s="76">
        <v>1230401</v>
      </c>
      <c r="E113" s="76">
        <v>1137843</v>
      </c>
    </row>
    <row r="114" spans="1:8" ht="24" customHeight="1" x14ac:dyDescent="0.2">
      <c r="A114" s="85">
        <v>18</v>
      </c>
      <c r="B114" s="75" t="s">
        <v>374</v>
      </c>
      <c r="C114" s="218">
        <v>14745956</v>
      </c>
      <c r="D114" s="76">
        <v>17239933</v>
      </c>
      <c r="E114" s="76">
        <v>19075786</v>
      </c>
    </row>
    <row r="115" spans="1:8" ht="24" customHeight="1" x14ac:dyDescent="0.2">
      <c r="A115" s="85">
        <v>19</v>
      </c>
      <c r="B115" s="75" t="s">
        <v>104</v>
      </c>
      <c r="C115" s="218">
        <v>6975651</v>
      </c>
      <c r="D115" s="76">
        <v>7853485</v>
      </c>
      <c r="E115" s="76">
        <v>7216002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8.0233384664921008</v>
      </c>
      <c r="D119" s="214">
        <f>IF(+D121=0,0,(+D120)/(+D121))</f>
        <v>7.7805334858319926</v>
      </c>
      <c r="E119" s="214">
        <f>IF(+E121=0,0,(+E120)/(+E121))</f>
        <v>7.9406907269771221</v>
      </c>
    </row>
    <row r="120" spans="1:8" ht="24" customHeight="1" x14ac:dyDescent="0.2">
      <c r="A120" s="85">
        <v>21</v>
      </c>
      <c r="B120" s="75" t="s">
        <v>378</v>
      </c>
      <c r="C120" s="218">
        <v>118311796</v>
      </c>
      <c r="D120" s="218">
        <v>134135876</v>
      </c>
      <c r="E120" s="218">
        <v>151474917</v>
      </c>
    </row>
    <row r="121" spans="1:8" ht="24" customHeight="1" x14ac:dyDescent="0.2">
      <c r="A121" s="85">
        <v>22</v>
      </c>
      <c r="B121" s="75" t="s">
        <v>374</v>
      </c>
      <c r="C121" s="218">
        <v>14745956</v>
      </c>
      <c r="D121" s="218">
        <v>17239933</v>
      </c>
      <c r="E121" s="218">
        <v>19075786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42524</v>
      </c>
      <c r="D124" s="218">
        <v>45010</v>
      </c>
      <c r="E124" s="218">
        <v>44704</v>
      </c>
    </row>
    <row r="125" spans="1:8" ht="24" customHeight="1" x14ac:dyDescent="0.2">
      <c r="A125" s="85">
        <v>2</v>
      </c>
      <c r="B125" s="75" t="s">
        <v>381</v>
      </c>
      <c r="C125" s="218">
        <v>5803</v>
      </c>
      <c r="D125" s="218">
        <v>6047</v>
      </c>
      <c r="E125" s="218">
        <v>6416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7.3279338273306909</v>
      </c>
      <c r="D126" s="219">
        <f>IF(D125=0,0,D124/D125)</f>
        <v>7.443360343972218</v>
      </c>
      <c r="E126" s="219">
        <f>IF(E125=0,0,E124/E125)</f>
        <v>6.9675810473815458</v>
      </c>
    </row>
    <row r="127" spans="1:8" ht="24" customHeight="1" x14ac:dyDescent="0.2">
      <c r="A127" s="85">
        <v>4</v>
      </c>
      <c r="B127" s="75" t="s">
        <v>383</v>
      </c>
      <c r="C127" s="218">
        <v>182</v>
      </c>
      <c r="D127" s="218">
        <v>182</v>
      </c>
      <c r="E127" s="218">
        <v>182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187</v>
      </c>
      <c r="E128" s="218">
        <v>187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187</v>
      </c>
      <c r="D129" s="218">
        <v>187</v>
      </c>
      <c r="E129" s="218">
        <v>187</v>
      </c>
    </row>
    <row r="130" spans="1:7" ht="24" customHeight="1" x14ac:dyDescent="0.2">
      <c r="A130" s="85">
        <v>7</v>
      </c>
      <c r="B130" s="75" t="s">
        <v>386</v>
      </c>
      <c r="C130" s="193">
        <v>0.6401</v>
      </c>
      <c r="D130" s="193">
        <v>0.67749999999999999</v>
      </c>
      <c r="E130" s="193">
        <v>0.67290000000000005</v>
      </c>
    </row>
    <row r="131" spans="1:7" ht="24" customHeight="1" x14ac:dyDescent="0.2">
      <c r="A131" s="85">
        <v>8</v>
      </c>
      <c r="B131" s="75" t="s">
        <v>387</v>
      </c>
      <c r="C131" s="193">
        <v>0.623</v>
      </c>
      <c r="D131" s="193">
        <v>0.65939999999999999</v>
      </c>
      <c r="E131" s="193">
        <v>0.65490000000000004</v>
      </c>
    </row>
    <row r="132" spans="1:7" ht="24" customHeight="1" x14ac:dyDescent="0.2">
      <c r="A132" s="85">
        <v>9</v>
      </c>
      <c r="B132" s="75" t="s">
        <v>388</v>
      </c>
      <c r="C132" s="219">
        <v>1454.4</v>
      </c>
      <c r="D132" s="219">
        <v>1447.7</v>
      </c>
      <c r="E132" s="219">
        <v>1513.6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0.45060342590448271</v>
      </c>
      <c r="D135" s="227">
        <f>IF(D149=0,0,D143/D149)</f>
        <v>0.44917334018630978</v>
      </c>
      <c r="E135" s="227">
        <f>IF(E149=0,0,E143/E149)</f>
        <v>0.45251698875126989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1.1886884947125828E-3</v>
      </c>
      <c r="D136" s="227">
        <f>IF(D149=0,0,D144/D149)</f>
        <v>3.1804750052508955E-3</v>
      </c>
      <c r="E136" s="227">
        <f>IF(E149=0,0,E144/E149)</f>
        <v>2.2620291456361364E-3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0.53746884448429089</v>
      </c>
      <c r="D137" s="227">
        <f>IF(D149=0,0,D145/D149)</f>
        <v>0.53548647780466796</v>
      </c>
      <c r="E137" s="227">
        <f>IF(E149=0,0,E145/E149)</f>
        <v>0.53212914791331456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5.8453824310318384E-3</v>
      </c>
      <c r="D139" s="227">
        <f>IF(D149=0,0,D147/D149)</f>
        <v>5.0109487249850931E-3</v>
      </c>
      <c r="E139" s="227">
        <f>IF(E149=0,0,E147/E149)</f>
        <v>5.1153988456958226E-3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4.8936586854819849E-3</v>
      </c>
      <c r="D140" s="227">
        <f>IF(D149=0,0,D148/D149)</f>
        <v>7.1487582787862656E-3</v>
      </c>
      <c r="E140" s="227">
        <f>IF(E149=0,0,E148/E149)</f>
        <v>7.9764353440835191E-3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268863910</v>
      </c>
      <c r="D143" s="229">
        <f>+D46-D147</f>
        <v>300161296</v>
      </c>
      <c r="E143" s="229">
        <f>+E46-E147</f>
        <v>328580715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709261</v>
      </c>
      <c r="D144" s="229">
        <f>+D51</f>
        <v>2125361</v>
      </c>
      <c r="E144" s="229">
        <f>+E51</f>
        <v>1642500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320694355</v>
      </c>
      <c r="D145" s="229">
        <f>+D55</f>
        <v>357840283</v>
      </c>
      <c r="E145" s="229">
        <f>+E55</f>
        <v>386388534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3487795</v>
      </c>
      <c r="D147" s="229">
        <f>+D47</f>
        <v>3348580</v>
      </c>
      <c r="E147" s="229">
        <f>+E47</f>
        <v>3714383</v>
      </c>
    </row>
    <row r="148" spans="1:7" ht="20.100000000000001" customHeight="1" x14ac:dyDescent="0.2">
      <c r="A148" s="226">
        <v>13</v>
      </c>
      <c r="B148" s="224" t="s">
        <v>402</v>
      </c>
      <c r="C148" s="230">
        <v>2919925</v>
      </c>
      <c r="D148" s="229">
        <v>4777177</v>
      </c>
      <c r="E148" s="229">
        <v>5791833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596675246</v>
      </c>
      <c r="D149" s="229">
        <f>SUM(D143:D148)</f>
        <v>668252697</v>
      </c>
      <c r="E149" s="229">
        <f>SUM(E143:E148)</f>
        <v>726117965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0.6404404482015329</v>
      </c>
      <c r="D152" s="227">
        <f>IF(D166=0,0,D160/D166)</f>
        <v>0.65889065675275282</v>
      </c>
      <c r="E152" s="227">
        <f>IF(E166=0,0,E160/E166)</f>
        <v>0.63864124279987244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1.1541319233020163E-2</v>
      </c>
      <c r="D153" s="227">
        <f>IF(D166=0,0,D161/D166)</f>
        <v>1.1490686421980064E-2</v>
      </c>
      <c r="E153" s="227">
        <f>IF(E166=0,0,E161/E166)</f>
        <v>1.1514244053547089E-2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0.33695744458706656</v>
      </c>
      <c r="D154" s="227">
        <f>IF(D166=0,0,D162/D166)</f>
        <v>0.32166247705344764</v>
      </c>
      <c r="E154" s="227">
        <f>IF(E166=0,0,E162/E166)</f>
        <v>0.34110871391908154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6.0538996174458312E-3</v>
      </c>
      <c r="D156" s="227">
        <f>IF(D166=0,0,D164/D166)</f>
        <v>1.8152332879250391E-3</v>
      </c>
      <c r="E156" s="227">
        <f>IF(E166=0,0,E164/E166)</f>
        <v>2.1202026608921781E-3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5.0068883609346278E-3</v>
      </c>
      <c r="D157" s="227">
        <f>IF(D166=0,0,D165/D166)</f>
        <v>6.1409464838944319E-3</v>
      </c>
      <c r="E157" s="227">
        <f>IF(E166=0,0,E165/E166)</f>
        <v>6.6155965666068088E-3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154184839</v>
      </c>
      <c r="D160" s="229">
        <f>+D44-D164</f>
        <v>177947306</v>
      </c>
      <c r="E160" s="229">
        <f>+E44-E164</f>
        <v>188695629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2778551</v>
      </c>
      <c r="D161" s="229">
        <f>+D50</f>
        <v>3103302</v>
      </c>
      <c r="E161" s="229">
        <f>+E50</f>
        <v>3402047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81121874</v>
      </c>
      <c r="D162" s="229">
        <f>+D54</f>
        <v>86871730</v>
      </c>
      <c r="E162" s="229">
        <f>+E54</f>
        <v>100785416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1457465</v>
      </c>
      <c r="D164" s="229">
        <f>+D45</f>
        <v>490242</v>
      </c>
      <c r="E164" s="229">
        <f>+E45</f>
        <v>626444</v>
      </c>
    </row>
    <row r="165" spans="1:6" ht="20.100000000000001" customHeight="1" x14ac:dyDescent="0.2">
      <c r="A165" s="226">
        <v>13</v>
      </c>
      <c r="B165" s="224" t="s">
        <v>417</v>
      </c>
      <c r="C165" s="230">
        <v>1205399</v>
      </c>
      <c r="D165" s="229">
        <v>1658492</v>
      </c>
      <c r="E165" s="229">
        <v>1954672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240748128</v>
      </c>
      <c r="D166" s="229">
        <f>SUM(D160:D165)</f>
        <v>270071072</v>
      </c>
      <c r="E166" s="229">
        <f>SUM(E160:E165)</f>
        <v>295464208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2598</v>
      </c>
      <c r="D169" s="218">
        <v>2549</v>
      </c>
      <c r="E169" s="218">
        <v>2754</v>
      </c>
    </row>
    <row r="170" spans="1:6" ht="20.100000000000001" customHeight="1" x14ac:dyDescent="0.2">
      <c r="A170" s="226">
        <v>2</v>
      </c>
      <c r="B170" s="224" t="s">
        <v>420</v>
      </c>
      <c r="C170" s="218">
        <v>9</v>
      </c>
      <c r="D170" s="218">
        <v>20</v>
      </c>
      <c r="E170" s="218">
        <v>11</v>
      </c>
    </row>
    <row r="171" spans="1:6" ht="20.100000000000001" customHeight="1" x14ac:dyDescent="0.2">
      <c r="A171" s="226">
        <v>3</v>
      </c>
      <c r="B171" s="224" t="s">
        <v>421</v>
      </c>
      <c r="C171" s="218">
        <v>3153</v>
      </c>
      <c r="D171" s="218">
        <v>3430</v>
      </c>
      <c r="E171" s="218">
        <v>3596</v>
      </c>
    </row>
    <row r="172" spans="1:6" ht="20.100000000000001" customHeight="1" x14ac:dyDescent="0.2">
      <c r="A172" s="226">
        <v>4</v>
      </c>
      <c r="B172" s="224" t="s">
        <v>422</v>
      </c>
      <c r="C172" s="218">
        <v>3153</v>
      </c>
      <c r="D172" s="218">
        <v>3430</v>
      </c>
      <c r="E172" s="218">
        <v>3596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43</v>
      </c>
      <c r="D174" s="218">
        <v>48</v>
      </c>
      <c r="E174" s="218">
        <v>55</v>
      </c>
    </row>
    <row r="175" spans="1:6" ht="20.100000000000001" customHeight="1" x14ac:dyDescent="0.2">
      <c r="A175" s="226">
        <v>7</v>
      </c>
      <c r="B175" s="224" t="s">
        <v>425</v>
      </c>
      <c r="C175" s="218">
        <v>34</v>
      </c>
      <c r="D175" s="218">
        <v>20</v>
      </c>
      <c r="E175" s="218">
        <v>33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5803</v>
      </c>
      <c r="D176" s="218">
        <f>+D169+D170+D171+D174</f>
        <v>6047</v>
      </c>
      <c r="E176" s="218">
        <f>+E169+E170+E171+E174</f>
        <v>6416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1.8827</v>
      </c>
      <c r="D179" s="231">
        <v>1.8512999999999999</v>
      </c>
      <c r="E179" s="231">
        <v>1.79741</v>
      </c>
    </row>
    <row r="180" spans="1:6" ht="20.100000000000001" customHeight="1" x14ac:dyDescent="0.2">
      <c r="A180" s="226">
        <v>2</v>
      </c>
      <c r="B180" s="224" t="s">
        <v>420</v>
      </c>
      <c r="C180" s="231">
        <v>1.038</v>
      </c>
      <c r="D180" s="231">
        <v>1.4275</v>
      </c>
      <c r="E180" s="231">
        <v>2.0044</v>
      </c>
    </row>
    <row r="181" spans="1:6" ht="20.100000000000001" customHeight="1" x14ac:dyDescent="0.2">
      <c r="A181" s="226">
        <v>3</v>
      </c>
      <c r="B181" s="224" t="s">
        <v>421</v>
      </c>
      <c r="C181" s="231">
        <v>1.7053</v>
      </c>
      <c r="D181" s="231">
        <v>1.6950000000000001</v>
      </c>
      <c r="E181" s="231">
        <v>1.67357</v>
      </c>
    </row>
    <row r="182" spans="1:6" ht="20.100000000000001" customHeight="1" x14ac:dyDescent="0.2">
      <c r="A182" s="226">
        <v>4</v>
      </c>
      <c r="B182" s="224" t="s">
        <v>422</v>
      </c>
      <c r="C182" s="231">
        <v>1.7053</v>
      </c>
      <c r="D182" s="231">
        <v>1.6950000000000001</v>
      </c>
      <c r="E182" s="231">
        <v>1.67357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1.1034999999999999</v>
      </c>
      <c r="D184" s="231">
        <v>1.6104000000000001</v>
      </c>
      <c r="E184" s="231">
        <v>1.6052</v>
      </c>
    </row>
    <row r="185" spans="1:6" ht="20.100000000000001" customHeight="1" x14ac:dyDescent="0.2">
      <c r="A185" s="226">
        <v>7</v>
      </c>
      <c r="B185" s="224" t="s">
        <v>425</v>
      </c>
      <c r="C185" s="231">
        <v>1.0401</v>
      </c>
      <c r="D185" s="231">
        <v>1.4956</v>
      </c>
      <c r="E185" s="231">
        <v>1.4678</v>
      </c>
    </row>
    <row r="186" spans="1:6" ht="20.100000000000001" customHeight="1" x14ac:dyDescent="0.2">
      <c r="A186" s="226">
        <v>8</v>
      </c>
      <c r="B186" s="224" t="s">
        <v>429</v>
      </c>
      <c r="C186" s="231">
        <v>1.7792269999999999</v>
      </c>
      <c r="D186" s="231">
        <v>1.7593289999999999</v>
      </c>
      <c r="E186" s="231">
        <v>1.7267079999999999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2972</v>
      </c>
      <c r="D189" s="218">
        <v>3092</v>
      </c>
      <c r="E189" s="218">
        <v>3511</v>
      </c>
    </row>
    <row r="190" spans="1:6" ht="20.100000000000001" customHeight="1" x14ac:dyDescent="0.2">
      <c r="A190" s="226">
        <v>2</v>
      </c>
      <c r="B190" s="224" t="s">
        <v>433</v>
      </c>
      <c r="C190" s="218">
        <v>51438</v>
      </c>
      <c r="D190" s="218">
        <v>53740</v>
      </c>
      <c r="E190" s="218">
        <v>56462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54410</v>
      </c>
      <c r="D191" s="218">
        <f>+D190+D189</f>
        <v>56832</v>
      </c>
      <c r="E191" s="218">
        <f>+E190+E189</f>
        <v>59973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FILING&amp;RCT CHILDREN`S MEDICAL CENTER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0</v>
      </c>
      <c r="D40" s="258">
        <v>0</v>
      </c>
      <c r="E40" s="258">
        <f t="shared" ref="E40:E50" si="4">D40-C40</f>
        <v>0</v>
      </c>
      <c r="F40" s="259">
        <f t="shared" ref="F40:F50" si="5">IF(C40=0,0,E40/C40)</f>
        <v>0</v>
      </c>
    </row>
    <row r="41" spans="1:6" ht="20.25" customHeight="1" x14ac:dyDescent="0.3">
      <c r="A41" s="256">
        <v>2</v>
      </c>
      <c r="B41" s="257" t="s">
        <v>442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3</v>
      </c>
      <c r="B42" s="257" t="s">
        <v>443</v>
      </c>
      <c r="C42" s="258">
        <v>0</v>
      </c>
      <c r="D42" s="258">
        <v>0</v>
      </c>
      <c r="E42" s="258">
        <f t="shared" si="4"/>
        <v>0</v>
      </c>
      <c r="F42" s="259">
        <f t="shared" si="5"/>
        <v>0</v>
      </c>
    </row>
    <row r="43" spans="1:6" ht="20.25" customHeight="1" x14ac:dyDescent="0.3">
      <c r="A43" s="256">
        <v>4</v>
      </c>
      <c r="B43" s="257" t="s">
        <v>444</v>
      </c>
      <c r="C43" s="258">
        <v>0</v>
      </c>
      <c r="D43" s="258">
        <v>0</v>
      </c>
      <c r="E43" s="258">
        <f t="shared" si="4"/>
        <v>0</v>
      </c>
      <c r="F43" s="259">
        <f t="shared" si="5"/>
        <v>0</v>
      </c>
    </row>
    <row r="44" spans="1:6" ht="20.25" customHeight="1" x14ac:dyDescent="0.3">
      <c r="A44" s="256">
        <v>5</v>
      </c>
      <c r="B44" s="257" t="s">
        <v>381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6</v>
      </c>
      <c r="B45" s="257" t="s">
        <v>380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7</v>
      </c>
      <c r="B46" s="257" t="s">
        <v>445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ht="20.25" customHeight="1" x14ac:dyDescent="0.3">
      <c r="A47" s="256">
        <v>8</v>
      </c>
      <c r="B47" s="257" t="s">
        <v>446</v>
      </c>
      <c r="C47" s="260">
        <v>0</v>
      </c>
      <c r="D47" s="260">
        <v>0</v>
      </c>
      <c r="E47" s="260">
        <f t="shared" si="4"/>
        <v>0</v>
      </c>
      <c r="F47" s="259">
        <f t="shared" si="5"/>
        <v>0</v>
      </c>
    </row>
    <row r="48" spans="1:6" ht="20.25" customHeight="1" x14ac:dyDescent="0.3">
      <c r="A48" s="256">
        <v>9</v>
      </c>
      <c r="B48" s="257" t="s">
        <v>447</v>
      </c>
      <c r="C48" s="260">
        <v>0</v>
      </c>
      <c r="D48" s="260">
        <v>0</v>
      </c>
      <c r="E48" s="260">
        <f t="shared" si="4"/>
        <v>0</v>
      </c>
      <c r="F48" s="259">
        <f t="shared" si="5"/>
        <v>0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0</v>
      </c>
      <c r="D49" s="263">
        <f>+D40+D42</f>
        <v>0</v>
      </c>
      <c r="E49" s="263">
        <f t="shared" si="4"/>
        <v>0</v>
      </c>
      <c r="F49" s="264">
        <f t="shared" si="5"/>
        <v>0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0</v>
      </c>
      <c r="D50" s="263">
        <f>+D41+D43</f>
        <v>0</v>
      </c>
      <c r="E50" s="263">
        <f t="shared" si="4"/>
        <v>0</v>
      </c>
      <c r="F50" s="264">
        <f t="shared" si="5"/>
        <v>0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0</v>
      </c>
      <c r="E66" s="258">
        <f t="shared" ref="E66:E76" si="8">D66-C66</f>
        <v>0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0</v>
      </c>
      <c r="E67" s="258">
        <f t="shared" si="8"/>
        <v>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0</v>
      </c>
      <c r="E68" s="258">
        <f t="shared" si="8"/>
        <v>0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0</v>
      </c>
      <c r="E69" s="258">
        <f t="shared" si="8"/>
        <v>0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0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0</v>
      </c>
      <c r="E72" s="260">
        <f t="shared" si="8"/>
        <v>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0</v>
      </c>
      <c r="E75" s="263">
        <f t="shared" si="8"/>
        <v>0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0</v>
      </c>
      <c r="E76" s="263">
        <f t="shared" si="8"/>
        <v>0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0</v>
      </c>
      <c r="D118" s="258">
        <v>0</v>
      </c>
      <c r="E118" s="258">
        <f t="shared" ref="E118:E128" si="16">D118-C118</f>
        <v>0</v>
      </c>
      <c r="F118" s="259">
        <f t="shared" ref="F118:F128" si="17">IF(C118=0,0,E118/C118)</f>
        <v>0</v>
      </c>
    </row>
    <row r="119" spans="1:6" ht="20.25" customHeight="1" x14ac:dyDescent="0.3">
      <c r="A119" s="256">
        <v>2</v>
      </c>
      <c r="B119" s="257" t="s">
        <v>442</v>
      </c>
      <c r="C119" s="258">
        <v>0</v>
      </c>
      <c r="D119" s="258">
        <v>0</v>
      </c>
      <c r="E119" s="258">
        <f t="shared" si="16"/>
        <v>0</v>
      </c>
      <c r="F119" s="259">
        <f t="shared" si="17"/>
        <v>0</v>
      </c>
    </row>
    <row r="120" spans="1:6" ht="20.25" customHeight="1" x14ac:dyDescent="0.3">
      <c r="A120" s="256">
        <v>3</v>
      </c>
      <c r="B120" s="257" t="s">
        <v>443</v>
      </c>
      <c r="C120" s="258">
        <v>0</v>
      </c>
      <c r="D120" s="258">
        <v>0</v>
      </c>
      <c r="E120" s="258">
        <f t="shared" si="16"/>
        <v>0</v>
      </c>
      <c r="F120" s="259">
        <f t="shared" si="17"/>
        <v>0</v>
      </c>
    </row>
    <row r="121" spans="1:6" ht="20.25" customHeight="1" x14ac:dyDescent="0.3">
      <c r="A121" s="256">
        <v>4</v>
      </c>
      <c r="B121" s="257" t="s">
        <v>444</v>
      </c>
      <c r="C121" s="258">
        <v>0</v>
      </c>
      <c r="D121" s="258">
        <v>0</v>
      </c>
      <c r="E121" s="258">
        <f t="shared" si="16"/>
        <v>0</v>
      </c>
      <c r="F121" s="259">
        <f t="shared" si="17"/>
        <v>0</v>
      </c>
    </row>
    <row r="122" spans="1:6" ht="20.25" customHeight="1" x14ac:dyDescent="0.3">
      <c r="A122" s="256">
        <v>5</v>
      </c>
      <c r="B122" s="257" t="s">
        <v>381</v>
      </c>
      <c r="C122" s="260">
        <v>0</v>
      </c>
      <c r="D122" s="260">
        <v>0</v>
      </c>
      <c r="E122" s="260">
        <f t="shared" si="16"/>
        <v>0</v>
      </c>
      <c r="F122" s="259">
        <f t="shared" si="17"/>
        <v>0</v>
      </c>
    </row>
    <row r="123" spans="1:6" ht="20.25" customHeight="1" x14ac:dyDescent="0.3">
      <c r="A123" s="256">
        <v>6</v>
      </c>
      <c r="B123" s="257" t="s">
        <v>380</v>
      </c>
      <c r="C123" s="260">
        <v>0</v>
      </c>
      <c r="D123" s="260">
        <v>0</v>
      </c>
      <c r="E123" s="260">
        <f t="shared" si="16"/>
        <v>0</v>
      </c>
      <c r="F123" s="259">
        <f t="shared" si="17"/>
        <v>0</v>
      </c>
    </row>
    <row r="124" spans="1:6" ht="20.25" customHeight="1" x14ac:dyDescent="0.3">
      <c r="A124" s="256">
        <v>7</v>
      </c>
      <c r="B124" s="257" t="s">
        <v>445</v>
      </c>
      <c r="C124" s="260">
        <v>0</v>
      </c>
      <c r="D124" s="260">
        <v>0</v>
      </c>
      <c r="E124" s="260">
        <f t="shared" si="16"/>
        <v>0</v>
      </c>
      <c r="F124" s="259">
        <f t="shared" si="17"/>
        <v>0</v>
      </c>
    </row>
    <row r="125" spans="1:6" ht="20.25" customHeight="1" x14ac:dyDescent="0.3">
      <c r="A125" s="256">
        <v>8</v>
      </c>
      <c r="B125" s="257" t="s">
        <v>446</v>
      </c>
      <c r="C125" s="260">
        <v>0</v>
      </c>
      <c r="D125" s="260">
        <v>0</v>
      </c>
      <c r="E125" s="260">
        <f t="shared" si="16"/>
        <v>0</v>
      </c>
      <c r="F125" s="259">
        <f t="shared" si="17"/>
        <v>0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0</v>
      </c>
      <c r="E126" s="260">
        <f t="shared" si="16"/>
        <v>0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0</v>
      </c>
      <c r="D127" s="263">
        <f>+D118+D120</f>
        <v>0</v>
      </c>
      <c r="E127" s="263">
        <f t="shared" si="16"/>
        <v>0</v>
      </c>
      <c r="F127" s="264">
        <f t="shared" si="17"/>
        <v>0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0</v>
      </c>
      <c r="D128" s="263">
        <f>+D119+D121</f>
        <v>0</v>
      </c>
      <c r="E128" s="263">
        <f t="shared" si="16"/>
        <v>0</v>
      </c>
      <c r="F128" s="264">
        <f t="shared" si="17"/>
        <v>0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0</v>
      </c>
      <c r="D198" s="263">
        <f t="shared" si="28"/>
        <v>0</v>
      </c>
      <c r="E198" s="263">
        <f t="shared" ref="E198:E208" si="29">D198-C198</f>
        <v>0</v>
      </c>
      <c r="F198" s="273">
        <f t="shared" ref="F198:F208" si="30">IF(C198=0,0,E198/C198)</f>
        <v>0</v>
      </c>
    </row>
    <row r="199" spans="1:9" ht="20.25" customHeight="1" x14ac:dyDescent="0.3">
      <c r="A199" s="271"/>
      <c r="B199" s="272" t="s">
        <v>466</v>
      </c>
      <c r="C199" s="263">
        <f t="shared" si="28"/>
        <v>0</v>
      </c>
      <c r="D199" s="263">
        <f t="shared" si="28"/>
        <v>0</v>
      </c>
      <c r="E199" s="263">
        <f t="shared" si="29"/>
        <v>0</v>
      </c>
      <c r="F199" s="273">
        <f t="shared" si="30"/>
        <v>0</v>
      </c>
    </row>
    <row r="200" spans="1:9" ht="20.25" customHeight="1" x14ac:dyDescent="0.3">
      <c r="A200" s="271"/>
      <c r="B200" s="272" t="s">
        <v>467</v>
      </c>
      <c r="C200" s="263">
        <f t="shared" si="28"/>
        <v>0</v>
      </c>
      <c r="D200" s="263">
        <f t="shared" si="28"/>
        <v>0</v>
      </c>
      <c r="E200" s="263">
        <f t="shared" si="29"/>
        <v>0</v>
      </c>
      <c r="F200" s="273">
        <f t="shared" si="30"/>
        <v>0</v>
      </c>
    </row>
    <row r="201" spans="1:9" ht="20.25" customHeight="1" x14ac:dyDescent="0.3">
      <c r="A201" s="271"/>
      <c r="B201" s="272" t="s">
        <v>468</v>
      </c>
      <c r="C201" s="263">
        <f t="shared" si="28"/>
        <v>0</v>
      </c>
      <c r="D201" s="263">
        <f t="shared" si="28"/>
        <v>0</v>
      </c>
      <c r="E201" s="263">
        <f t="shared" si="29"/>
        <v>0</v>
      </c>
      <c r="F201" s="273">
        <f t="shared" si="30"/>
        <v>0</v>
      </c>
    </row>
    <row r="202" spans="1:9" ht="20.25" customHeight="1" x14ac:dyDescent="0.3">
      <c r="A202" s="271"/>
      <c r="B202" s="272" t="s">
        <v>138</v>
      </c>
      <c r="C202" s="274">
        <f t="shared" si="28"/>
        <v>0</v>
      </c>
      <c r="D202" s="274">
        <f t="shared" si="28"/>
        <v>0</v>
      </c>
      <c r="E202" s="274">
        <f t="shared" si="29"/>
        <v>0</v>
      </c>
      <c r="F202" s="273">
        <f t="shared" si="30"/>
        <v>0</v>
      </c>
    </row>
    <row r="203" spans="1:9" ht="20.25" customHeight="1" x14ac:dyDescent="0.3">
      <c r="A203" s="271"/>
      <c r="B203" s="272" t="s">
        <v>140</v>
      </c>
      <c r="C203" s="274">
        <f t="shared" si="28"/>
        <v>0</v>
      </c>
      <c r="D203" s="274">
        <f t="shared" si="28"/>
        <v>0</v>
      </c>
      <c r="E203" s="274">
        <f t="shared" si="29"/>
        <v>0</v>
      </c>
      <c r="F203" s="273">
        <f t="shared" si="30"/>
        <v>0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0</v>
      </c>
      <c r="D204" s="274">
        <f t="shared" si="28"/>
        <v>0</v>
      </c>
      <c r="E204" s="274">
        <f t="shared" si="29"/>
        <v>0</v>
      </c>
      <c r="F204" s="273">
        <f t="shared" si="30"/>
        <v>0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0</v>
      </c>
      <c r="D205" s="274">
        <f t="shared" si="28"/>
        <v>0</v>
      </c>
      <c r="E205" s="274">
        <f t="shared" si="29"/>
        <v>0</v>
      </c>
      <c r="F205" s="273">
        <f t="shared" si="30"/>
        <v>0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0</v>
      </c>
      <c r="D206" s="274">
        <f t="shared" si="28"/>
        <v>0</v>
      </c>
      <c r="E206" s="274">
        <f t="shared" si="29"/>
        <v>0</v>
      </c>
      <c r="F206" s="273">
        <f t="shared" si="30"/>
        <v>0</v>
      </c>
    </row>
    <row r="207" spans="1:9" ht="20.25" customHeight="1" x14ac:dyDescent="0.3">
      <c r="A207" s="271"/>
      <c r="B207" s="262" t="s">
        <v>471</v>
      </c>
      <c r="C207" s="263">
        <f>+C198+C200</f>
        <v>0</v>
      </c>
      <c r="D207" s="263">
        <f>+D198+D200</f>
        <v>0</v>
      </c>
      <c r="E207" s="263">
        <f t="shared" si="29"/>
        <v>0</v>
      </c>
      <c r="F207" s="273">
        <f t="shared" si="30"/>
        <v>0</v>
      </c>
    </row>
    <row r="208" spans="1:9" ht="20.25" customHeight="1" x14ac:dyDescent="0.3">
      <c r="A208" s="271"/>
      <c r="B208" s="262" t="s">
        <v>472</v>
      </c>
      <c r="C208" s="263">
        <f>+C199+C201</f>
        <v>0</v>
      </c>
      <c r="D208" s="263">
        <f>+D199+D201</f>
        <v>0</v>
      </c>
      <c r="E208" s="263">
        <f t="shared" si="29"/>
        <v>0</v>
      </c>
      <c r="F208" s="273">
        <f t="shared" si="30"/>
        <v>0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FILING&amp;RCT CHILDREN`S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FILING&amp;RCT CHILDREN`S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11576841</v>
      </c>
      <c r="D13" s="22">
        <v>6899401</v>
      </c>
      <c r="E13" s="22">
        <f t="shared" ref="E13:E22" si="0">D13-C13</f>
        <v>-4677440</v>
      </c>
      <c r="F13" s="306">
        <f t="shared" ref="F13:F22" si="1">IF(C13=0,0,E13/C13)</f>
        <v>-0.4040342266081049</v>
      </c>
    </row>
    <row r="14" spans="1:8" ht="24" customHeight="1" x14ac:dyDescent="0.2">
      <c r="A14" s="304">
        <v>2</v>
      </c>
      <c r="B14" s="305" t="s">
        <v>17</v>
      </c>
      <c r="C14" s="22">
        <v>2402355</v>
      </c>
      <c r="D14" s="22">
        <v>67013057</v>
      </c>
      <c r="E14" s="22">
        <f t="shared" si="0"/>
        <v>64610702</v>
      </c>
      <c r="F14" s="306">
        <f t="shared" si="1"/>
        <v>26.894735374247354</v>
      </c>
    </row>
    <row r="15" spans="1:8" ht="35.1" customHeight="1" x14ac:dyDescent="0.2">
      <c r="A15" s="304">
        <v>3</v>
      </c>
      <c r="B15" s="305" t="s">
        <v>18</v>
      </c>
      <c r="C15" s="22">
        <v>38599255</v>
      </c>
      <c r="D15" s="22">
        <v>40588898</v>
      </c>
      <c r="E15" s="22">
        <f t="shared" si="0"/>
        <v>1989643</v>
      </c>
      <c r="F15" s="306">
        <f t="shared" si="1"/>
        <v>5.15461503078233E-2</v>
      </c>
    </row>
    <row r="16" spans="1:8" ht="35.1" customHeight="1" x14ac:dyDescent="0.2">
      <c r="A16" s="304">
        <v>4</v>
      </c>
      <c r="B16" s="305" t="s">
        <v>19</v>
      </c>
      <c r="C16" s="22">
        <v>435186</v>
      </c>
      <c r="D16" s="22">
        <v>0</v>
      </c>
      <c r="E16" s="22">
        <f t="shared" si="0"/>
        <v>-435186</v>
      </c>
      <c r="F16" s="306">
        <f t="shared" si="1"/>
        <v>-1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1443429</v>
      </c>
      <c r="D19" s="22">
        <v>2407715</v>
      </c>
      <c r="E19" s="22">
        <f t="shared" si="0"/>
        <v>964286</v>
      </c>
      <c r="F19" s="306">
        <f t="shared" si="1"/>
        <v>0.66805225612066821</v>
      </c>
    </row>
    <row r="20" spans="1:11" ht="24" customHeight="1" x14ac:dyDescent="0.2">
      <c r="A20" s="304">
        <v>8</v>
      </c>
      <c r="B20" s="305" t="s">
        <v>23</v>
      </c>
      <c r="C20" s="22">
        <v>876320</v>
      </c>
      <c r="D20" s="22">
        <v>762498</v>
      </c>
      <c r="E20" s="22">
        <f t="shared" si="0"/>
        <v>-113822</v>
      </c>
      <c r="F20" s="306">
        <f t="shared" si="1"/>
        <v>-0.12988634288844259</v>
      </c>
    </row>
    <row r="21" spans="1:11" ht="24" customHeight="1" x14ac:dyDescent="0.2">
      <c r="A21" s="304">
        <v>9</v>
      </c>
      <c r="B21" s="305" t="s">
        <v>24</v>
      </c>
      <c r="C21" s="22">
        <v>10767590</v>
      </c>
      <c r="D21" s="22">
        <v>12623941</v>
      </c>
      <c r="E21" s="22">
        <f t="shared" si="0"/>
        <v>1856351</v>
      </c>
      <c r="F21" s="306">
        <f t="shared" si="1"/>
        <v>0.17240171663296985</v>
      </c>
    </row>
    <row r="22" spans="1:11" ht="24" customHeight="1" x14ac:dyDescent="0.25">
      <c r="A22" s="307"/>
      <c r="B22" s="308" t="s">
        <v>25</v>
      </c>
      <c r="C22" s="309">
        <f>SUM(C13:C21)</f>
        <v>66100976</v>
      </c>
      <c r="D22" s="309">
        <f>SUM(D13:D21)</f>
        <v>130295510</v>
      </c>
      <c r="E22" s="309">
        <f t="shared" si="0"/>
        <v>64194534</v>
      </c>
      <c r="F22" s="310">
        <f t="shared" si="1"/>
        <v>0.97115864068330848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75285353</v>
      </c>
      <c r="D25" s="22">
        <v>80740462</v>
      </c>
      <c r="E25" s="22">
        <f>D25-C25</f>
        <v>5455109</v>
      </c>
      <c r="F25" s="306">
        <f>IF(C25=0,0,E25/C25)</f>
        <v>7.2459101041871976E-2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75285353</v>
      </c>
      <c r="D29" s="309">
        <f>SUM(D25:D28)</f>
        <v>80740462</v>
      </c>
      <c r="E29" s="309">
        <f>D29-C29</f>
        <v>5455109</v>
      </c>
      <c r="F29" s="310">
        <f>IF(C29=0,0,E29/C29)</f>
        <v>7.2459101041871976E-2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109844911</v>
      </c>
      <c r="D32" s="22">
        <v>54523736</v>
      </c>
      <c r="E32" s="22">
        <f>D32-C32</f>
        <v>-55321175</v>
      </c>
      <c r="F32" s="306">
        <f>IF(C32=0,0,E32/C32)</f>
        <v>-0.50362984043930814</v>
      </c>
    </row>
    <row r="33" spans="1:8" ht="24" customHeight="1" x14ac:dyDescent="0.2">
      <c r="A33" s="304">
        <v>7</v>
      </c>
      <c r="B33" s="305" t="s">
        <v>35</v>
      </c>
      <c r="C33" s="22">
        <v>36218266</v>
      </c>
      <c r="D33" s="22">
        <v>31773079</v>
      </c>
      <c r="E33" s="22">
        <f>D33-C33</f>
        <v>-4445187</v>
      </c>
      <c r="F33" s="306">
        <f>IF(C33=0,0,E33/C33)</f>
        <v>-0.12273329153858442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260460768</v>
      </c>
      <c r="D36" s="22">
        <v>283770759</v>
      </c>
      <c r="E36" s="22">
        <f>D36-C36</f>
        <v>23309991</v>
      </c>
      <c r="F36" s="306">
        <f>IF(C36=0,0,E36/C36)</f>
        <v>8.949520950502611E-2</v>
      </c>
    </row>
    <row r="37" spans="1:8" ht="24" customHeight="1" x14ac:dyDescent="0.2">
      <c r="A37" s="304">
        <v>2</v>
      </c>
      <c r="B37" s="305" t="s">
        <v>39</v>
      </c>
      <c r="C37" s="22">
        <v>139382925</v>
      </c>
      <c r="D37" s="22">
        <v>157053660</v>
      </c>
      <c r="E37" s="22">
        <f>D37-C37</f>
        <v>17670735</v>
      </c>
      <c r="F37" s="22">
        <f>IF(C37=0,0,E37/C37)</f>
        <v>0.12677833385976081</v>
      </c>
    </row>
    <row r="38" spans="1:8" ht="24" customHeight="1" x14ac:dyDescent="0.25">
      <c r="A38" s="307"/>
      <c r="B38" s="308" t="s">
        <v>40</v>
      </c>
      <c r="C38" s="309">
        <f>C36-C37</f>
        <v>121077843</v>
      </c>
      <c r="D38" s="309">
        <f>D36-D37</f>
        <v>126717099</v>
      </c>
      <c r="E38" s="309">
        <f>D38-C38</f>
        <v>5639256</v>
      </c>
      <c r="F38" s="310">
        <f>IF(C38=0,0,E38/C38)</f>
        <v>4.6575458071217872E-2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13845701</v>
      </c>
      <c r="D40" s="22">
        <v>2160582</v>
      </c>
      <c r="E40" s="22">
        <f>D40-C40</f>
        <v>-11685119</v>
      </c>
      <c r="F40" s="306">
        <f>IF(C40=0,0,E40/C40)</f>
        <v>-0.84395286305836015</v>
      </c>
    </row>
    <row r="41" spans="1:8" ht="24" customHeight="1" x14ac:dyDescent="0.25">
      <c r="A41" s="307"/>
      <c r="B41" s="308" t="s">
        <v>42</v>
      </c>
      <c r="C41" s="309">
        <f>+C38+C40</f>
        <v>134923544</v>
      </c>
      <c r="D41" s="309">
        <f>+D38+D40</f>
        <v>128877681</v>
      </c>
      <c r="E41" s="309">
        <f>D41-C41</f>
        <v>-6045863</v>
      </c>
      <c r="F41" s="310">
        <f>IF(C41=0,0,E41/C41)</f>
        <v>-4.4809547842887966E-2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422373050</v>
      </c>
      <c r="D43" s="309">
        <f>D22+D29+D31+D32+D33+D41</f>
        <v>426210468</v>
      </c>
      <c r="E43" s="309">
        <f>D43-C43</f>
        <v>3837418</v>
      </c>
      <c r="F43" s="310">
        <f>IF(C43=0,0,E43/C43)</f>
        <v>9.0853760674361201E-3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40741309</v>
      </c>
      <c r="D49" s="22">
        <v>41740431</v>
      </c>
      <c r="E49" s="22">
        <f t="shared" ref="E49:E56" si="2">D49-C49</f>
        <v>999122</v>
      </c>
      <c r="F49" s="306">
        <f t="shared" ref="F49:F56" si="3">IF(C49=0,0,E49/C49)</f>
        <v>2.4523561577267927E-2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22370710</v>
      </c>
      <c r="D50" s="22">
        <v>17935354</v>
      </c>
      <c r="E50" s="22">
        <f t="shared" si="2"/>
        <v>-4435356</v>
      </c>
      <c r="F50" s="306">
        <f t="shared" si="3"/>
        <v>-0.19826621506425143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20369039</v>
      </c>
      <c r="D51" s="22">
        <v>4501119</v>
      </c>
      <c r="E51" s="22">
        <f t="shared" si="2"/>
        <v>-15867920</v>
      </c>
      <c r="F51" s="306">
        <f t="shared" si="3"/>
        <v>-0.77902153361285231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1415000</v>
      </c>
      <c r="D53" s="22">
        <v>1500000</v>
      </c>
      <c r="E53" s="22">
        <f t="shared" si="2"/>
        <v>85000</v>
      </c>
      <c r="F53" s="306">
        <f t="shared" si="3"/>
        <v>6.0070671378091869E-2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5918464</v>
      </c>
      <c r="D54" s="22">
        <v>6048195</v>
      </c>
      <c r="E54" s="22">
        <f t="shared" si="2"/>
        <v>129731</v>
      </c>
      <c r="F54" s="306">
        <f t="shared" si="3"/>
        <v>2.1919707545741598E-2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58357</v>
      </c>
      <c r="D55" s="22">
        <v>125432</v>
      </c>
      <c r="E55" s="22">
        <f t="shared" si="2"/>
        <v>67075</v>
      </c>
      <c r="F55" s="306">
        <f t="shared" si="3"/>
        <v>1.1493908185821753</v>
      </c>
    </row>
    <row r="56" spans="1:6" ht="24" customHeight="1" x14ac:dyDescent="0.25">
      <c r="A56" s="307"/>
      <c r="B56" s="308" t="s">
        <v>54</v>
      </c>
      <c r="C56" s="309">
        <f>SUM(C49:C55)</f>
        <v>90872879</v>
      </c>
      <c r="D56" s="309">
        <f>SUM(D49:D55)</f>
        <v>71850531</v>
      </c>
      <c r="E56" s="309">
        <f t="shared" si="2"/>
        <v>-19022348</v>
      </c>
      <c r="F56" s="310">
        <f t="shared" si="3"/>
        <v>-0.20932921031367346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35269625</v>
      </c>
      <c r="D59" s="22">
        <v>33769625</v>
      </c>
      <c r="E59" s="22">
        <f>D59-C59</f>
        <v>-1500000</v>
      </c>
      <c r="F59" s="306">
        <f>IF(C59=0,0,E59/C59)</f>
        <v>-4.252951371045198E-2</v>
      </c>
    </row>
    <row r="60" spans="1:6" ht="24" customHeight="1" x14ac:dyDescent="0.2">
      <c r="A60" s="304">
        <v>2</v>
      </c>
      <c r="B60" s="305" t="s">
        <v>57</v>
      </c>
      <c r="C60" s="22">
        <v>16920593</v>
      </c>
      <c r="D60" s="22">
        <v>10955057</v>
      </c>
      <c r="E60" s="22">
        <f>D60-C60</f>
        <v>-5965536</v>
      </c>
      <c r="F60" s="306">
        <f>IF(C60=0,0,E60/C60)</f>
        <v>-0.35256069335158646</v>
      </c>
    </row>
    <row r="61" spans="1:6" ht="24" customHeight="1" x14ac:dyDescent="0.25">
      <c r="A61" s="307"/>
      <c r="B61" s="308" t="s">
        <v>58</v>
      </c>
      <c r="C61" s="309">
        <f>SUM(C59:C60)</f>
        <v>52190218</v>
      </c>
      <c r="D61" s="309">
        <f>SUM(D59:D60)</f>
        <v>44724682</v>
      </c>
      <c r="E61" s="309">
        <f>D61-C61</f>
        <v>-7465536</v>
      </c>
      <c r="F61" s="310">
        <f>IF(C61=0,0,E61/C61)</f>
        <v>-0.14304473685087885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19397464</v>
      </c>
      <c r="D63" s="22">
        <v>24478050</v>
      </c>
      <c r="E63" s="22">
        <f>D63-C63</f>
        <v>5080586</v>
      </c>
      <c r="F63" s="306">
        <f>IF(C63=0,0,E63/C63)</f>
        <v>0.26192011491811507</v>
      </c>
    </row>
    <row r="64" spans="1:6" ht="24" customHeight="1" x14ac:dyDescent="0.2">
      <c r="A64" s="304">
        <v>4</v>
      </c>
      <c r="B64" s="305" t="s">
        <v>60</v>
      </c>
      <c r="C64" s="22">
        <v>36301435</v>
      </c>
      <c r="D64" s="22">
        <v>41707124</v>
      </c>
      <c r="E64" s="22">
        <f>D64-C64</f>
        <v>5405689</v>
      </c>
      <c r="F64" s="306">
        <f>IF(C64=0,0,E64/C64)</f>
        <v>0.14891116563298393</v>
      </c>
    </row>
    <row r="65" spans="1:6" ht="24" customHeight="1" x14ac:dyDescent="0.25">
      <c r="A65" s="307"/>
      <c r="B65" s="308" t="s">
        <v>61</v>
      </c>
      <c r="C65" s="309">
        <f>SUM(C61:C64)</f>
        <v>107889117</v>
      </c>
      <c r="D65" s="309">
        <f>SUM(D61:D64)</f>
        <v>110909856</v>
      </c>
      <c r="E65" s="309">
        <f>D65-C65</f>
        <v>3020739</v>
      </c>
      <c r="F65" s="310">
        <f>IF(C65=0,0,E65/C65)</f>
        <v>2.7998551512846286E-2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100983261</v>
      </c>
      <c r="D70" s="22">
        <v>116834494</v>
      </c>
      <c r="E70" s="22">
        <f>D70-C70</f>
        <v>15851233</v>
      </c>
      <c r="F70" s="306">
        <f>IF(C70=0,0,E70/C70)</f>
        <v>0.15696891586814571</v>
      </c>
    </row>
    <row r="71" spans="1:6" ht="24" customHeight="1" x14ac:dyDescent="0.2">
      <c r="A71" s="304">
        <v>2</v>
      </c>
      <c r="B71" s="305" t="s">
        <v>65</v>
      </c>
      <c r="C71" s="22">
        <v>29505870</v>
      </c>
      <c r="D71" s="22">
        <v>27155214</v>
      </c>
      <c r="E71" s="22">
        <f>D71-C71</f>
        <v>-2350656</v>
      </c>
      <c r="F71" s="306">
        <f>IF(C71=0,0,E71/C71)</f>
        <v>-7.9667401774629928E-2</v>
      </c>
    </row>
    <row r="72" spans="1:6" ht="24" customHeight="1" x14ac:dyDescent="0.2">
      <c r="A72" s="304">
        <v>3</v>
      </c>
      <c r="B72" s="305" t="s">
        <v>66</v>
      </c>
      <c r="C72" s="22">
        <v>93121923</v>
      </c>
      <c r="D72" s="22">
        <v>99460373</v>
      </c>
      <c r="E72" s="22">
        <f>D72-C72</f>
        <v>6338450</v>
      </c>
      <c r="F72" s="306">
        <f>IF(C72=0,0,E72/C72)</f>
        <v>6.8066141632405944E-2</v>
      </c>
    </row>
    <row r="73" spans="1:6" ht="24" customHeight="1" x14ac:dyDescent="0.25">
      <c r="A73" s="304"/>
      <c r="B73" s="308" t="s">
        <v>67</v>
      </c>
      <c r="C73" s="309">
        <f>SUM(C70:C72)</f>
        <v>223611054</v>
      </c>
      <c r="D73" s="309">
        <f>SUM(D70:D72)</f>
        <v>243450081</v>
      </c>
      <c r="E73" s="309">
        <f>D73-C73</f>
        <v>19839027</v>
      </c>
      <c r="F73" s="310">
        <f>IF(C73=0,0,E73/C73)</f>
        <v>8.8721137193870564E-2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422373050</v>
      </c>
      <c r="D75" s="309">
        <f>D56+D65+D67+D73</f>
        <v>426210468</v>
      </c>
      <c r="E75" s="309">
        <f>D75-C75</f>
        <v>3837418</v>
      </c>
      <c r="F75" s="310">
        <f>IF(C75=0,0,E75/C75)</f>
        <v>9.0853760674361201E-3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1" fitToHeight="2" orientation="portrait" horizontalDpi="1200" verticalDpi="1200" r:id="rId1"/>
  <headerFooter>
    <oddHeader>&amp;LOFFICE OF HEALTH CARE ACCESS&amp;CTWELVE MONTHS ACTUAL FILING&amp;RCCMC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779425997</v>
      </c>
      <c r="D11" s="76">
        <v>838419941</v>
      </c>
      <c r="E11" s="76">
        <f t="shared" ref="E11:E20" si="0">D11-C11</f>
        <v>58993944</v>
      </c>
      <c r="F11" s="77">
        <f t="shared" ref="F11:F20" si="1">IF(C11=0,0,E11/C11)</f>
        <v>7.5688961142003075E-2</v>
      </c>
    </row>
    <row r="12" spans="1:7" ht="23.1" customHeight="1" x14ac:dyDescent="0.2">
      <c r="A12" s="74">
        <v>2</v>
      </c>
      <c r="B12" s="75" t="s">
        <v>72</v>
      </c>
      <c r="C12" s="76">
        <v>429248437</v>
      </c>
      <c r="D12" s="76">
        <v>469724740</v>
      </c>
      <c r="E12" s="76">
        <f t="shared" si="0"/>
        <v>40476303</v>
      </c>
      <c r="F12" s="77">
        <f t="shared" si="1"/>
        <v>9.4295749293549558E-2</v>
      </c>
    </row>
    <row r="13" spans="1:7" ht="23.1" customHeight="1" x14ac:dyDescent="0.2">
      <c r="A13" s="74">
        <v>3</v>
      </c>
      <c r="B13" s="75" t="s">
        <v>73</v>
      </c>
      <c r="C13" s="76">
        <v>2258042</v>
      </c>
      <c r="D13" s="76">
        <v>2645359</v>
      </c>
      <c r="E13" s="76">
        <f t="shared" si="0"/>
        <v>387317</v>
      </c>
      <c r="F13" s="77">
        <f t="shared" si="1"/>
        <v>0.17152781037730919</v>
      </c>
    </row>
    <row r="14" spans="1:7" ht="23.1" customHeight="1" x14ac:dyDescent="0.2">
      <c r="A14" s="74">
        <v>4</v>
      </c>
      <c r="B14" s="75" t="s">
        <v>74</v>
      </c>
      <c r="C14" s="76">
        <v>4149047</v>
      </c>
      <c r="D14" s="76">
        <v>4638930</v>
      </c>
      <c r="E14" s="76">
        <f t="shared" si="0"/>
        <v>489883</v>
      </c>
      <c r="F14" s="77">
        <f t="shared" si="1"/>
        <v>0.11807121008752131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343770471</v>
      </c>
      <c r="D15" s="79">
        <f>D11-D12-D13-D14</f>
        <v>361410912</v>
      </c>
      <c r="E15" s="79">
        <f t="shared" si="0"/>
        <v>17640441</v>
      </c>
      <c r="F15" s="80">
        <f t="shared" si="1"/>
        <v>5.1314590658951623E-2</v>
      </c>
    </row>
    <row r="16" spans="1:7" ht="23.1" customHeight="1" x14ac:dyDescent="0.2">
      <c r="A16" s="74">
        <v>5</v>
      </c>
      <c r="B16" s="75" t="s">
        <v>76</v>
      </c>
      <c r="C16" s="76">
        <v>2520081</v>
      </c>
      <c r="D16" s="76">
        <v>3189687</v>
      </c>
      <c r="E16" s="76">
        <f t="shared" si="0"/>
        <v>669606</v>
      </c>
      <c r="F16" s="77">
        <f t="shared" si="1"/>
        <v>0.26570812604832938</v>
      </c>
      <c r="G16" s="65"/>
    </row>
    <row r="17" spans="1:7" ht="31.5" customHeight="1" x14ac:dyDescent="0.25">
      <c r="A17" s="71"/>
      <c r="B17" s="81" t="s">
        <v>77</v>
      </c>
      <c r="C17" s="79">
        <f>C15-C16</f>
        <v>341250390</v>
      </c>
      <c r="D17" s="79">
        <f>D15-D16</f>
        <v>358221225</v>
      </c>
      <c r="E17" s="79">
        <f t="shared" si="0"/>
        <v>16970835</v>
      </c>
      <c r="F17" s="80">
        <f t="shared" si="1"/>
        <v>4.973132777958144E-2</v>
      </c>
    </row>
    <row r="18" spans="1:7" ht="23.1" customHeight="1" x14ac:dyDescent="0.2">
      <c r="A18" s="74">
        <v>6</v>
      </c>
      <c r="B18" s="75" t="s">
        <v>78</v>
      </c>
      <c r="C18" s="76">
        <v>23356749</v>
      </c>
      <c r="D18" s="76">
        <v>23594255</v>
      </c>
      <c r="E18" s="76">
        <f t="shared" si="0"/>
        <v>237506</v>
      </c>
      <c r="F18" s="77">
        <f t="shared" si="1"/>
        <v>1.0168624066645576E-2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15762598</v>
      </c>
      <c r="D19" s="76">
        <v>16554480</v>
      </c>
      <c r="E19" s="76">
        <f t="shared" si="0"/>
        <v>791882</v>
      </c>
      <c r="F19" s="77">
        <f t="shared" si="1"/>
        <v>5.0238038171118743E-2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380369737</v>
      </c>
      <c r="D20" s="79">
        <f>SUM(D17:D19)</f>
        <v>398369960</v>
      </c>
      <c r="E20" s="79">
        <f t="shared" si="0"/>
        <v>18000223</v>
      </c>
      <c r="F20" s="80">
        <f t="shared" si="1"/>
        <v>4.7322963025315551E-2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179096342</v>
      </c>
      <c r="D23" s="76">
        <v>191350422</v>
      </c>
      <c r="E23" s="76">
        <f t="shared" ref="E23:E32" si="2">D23-C23</f>
        <v>12254080</v>
      </c>
      <c r="F23" s="77">
        <f t="shared" ref="F23:F32" si="3">IF(C23=0,0,E23/C23)</f>
        <v>6.8421721310198511E-2</v>
      </c>
    </row>
    <row r="24" spans="1:7" ht="23.1" customHeight="1" x14ac:dyDescent="0.2">
      <c r="A24" s="74">
        <v>2</v>
      </c>
      <c r="B24" s="75" t="s">
        <v>83</v>
      </c>
      <c r="C24" s="76">
        <v>43864547</v>
      </c>
      <c r="D24" s="76">
        <v>41131154</v>
      </c>
      <c r="E24" s="76">
        <f t="shared" si="2"/>
        <v>-2733393</v>
      </c>
      <c r="F24" s="77">
        <f t="shared" si="3"/>
        <v>-6.2314401651064583E-2</v>
      </c>
    </row>
    <row r="25" spans="1:7" ht="23.1" customHeight="1" x14ac:dyDescent="0.2">
      <c r="A25" s="74">
        <v>3</v>
      </c>
      <c r="B25" s="75" t="s">
        <v>84</v>
      </c>
      <c r="C25" s="76">
        <v>15921467</v>
      </c>
      <c r="D25" s="76">
        <v>16203137</v>
      </c>
      <c r="E25" s="76">
        <f t="shared" si="2"/>
        <v>281670</v>
      </c>
      <c r="F25" s="77">
        <f t="shared" si="3"/>
        <v>1.7691208982187383E-2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25223058</v>
      </c>
      <c r="D26" s="76">
        <v>30816009</v>
      </c>
      <c r="E26" s="76">
        <f t="shared" si="2"/>
        <v>5592951</v>
      </c>
      <c r="F26" s="77">
        <f t="shared" si="3"/>
        <v>0.22173960825844352</v>
      </c>
    </row>
    <row r="27" spans="1:7" ht="23.1" customHeight="1" x14ac:dyDescent="0.2">
      <c r="A27" s="74">
        <v>5</v>
      </c>
      <c r="B27" s="75" t="s">
        <v>86</v>
      </c>
      <c r="C27" s="76">
        <v>18390575</v>
      </c>
      <c r="D27" s="76">
        <v>21647720</v>
      </c>
      <c r="E27" s="76">
        <f t="shared" si="2"/>
        <v>3257145</v>
      </c>
      <c r="F27" s="77">
        <f t="shared" si="3"/>
        <v>0.17710947047604547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1234420</v>
      </c>
      <c r="D29" s="76">
        <v>1141132</v>
      </c>
      <c r="E29" s="76">
        <f t="shared" si="2"/>
        <v>-93288</v>
      </c>
      <c r="F29" s="77">
        <f t="shared" si="3"/>
        <v>-7.5572333565561159E-2</v>
      </c>
    </row>
    <row r="30" spans="1:7" ht="23.1" customHeight="1" x14ac:dyDescent="0.2">
      <c r="A30" s="74">
        <v>8</v>
      </c>
      <c r="B30" s="75" t="s">
        <v>89</v>
      </c>
      <c r="C30" s="76">
        <v>5916252</v>
      </c>
      <c r="D30" s="76">
        <v>4072779</v>
      </c>
      <c r="E30" s="76">
        <f t="shared" si="2"/>
        <v>-1843473</v>
      </c>
      <c r="F30" s="77">
        <f t="shared" si="3"/>
        <v>-0.31159473937215654</v>
      </c>
    </row>
    <row r="31" spans="1:7" ht="23.1" customHeight="1" x14ac:dyDescent="0.2">
      <c r="A31" s="74">
        <v>9</v>
      </c>
      <c r="B31" s="75" t="s">
        <v>90</v>
      </c>
      <c r="C31" s="76">
        <v>89679505</v>
      </c>
      <c r="D31" s="76">
        <v>91280480</v>
      </c>
      <c r="E31" s="76">
        <f t="shared" si="2"/>
        <v>1600975</v>
      </c>
      <c r="F31" s="77">
        <f t="shared" si="3"/>
        <v>1.785218372915863E-2</v>
      </c>
    </row>
    <row r="32" spans="1:7" ht="23.1" customHeight="1" x14ac:dyDescent="0.25">
      <c r="A32" s="71"/>
      <c r="B32" s="78" t="s">
        <v>91</v>
      </c>
      <c r="C32" s="79">
        <f>SUM(C23:C31)</f>
        <v>379326166</v>
      </c>
      <c r="D32" s="79">
        <f>SUM(D23:D31)</f>
        <v>397642833</v>
      </c>
      <c r="E32" s="79">
        <f t="shared" si="2"/>
        <v>18316667</v>
      </c>
      <c r="F32" s="80">
        <f t="shared" si="3"/>
        <v>4.828738073397236E-2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1043571</v>
      </c>
      <c r="D34" s="79">
        <f>+D20-D32</f>
        <v>727127</v>
      </c>
      <c r="E34" s="79">
        <f>D34-C34</f>
        <v>-316444</v>
      </c>
      <c r="F34" s="80">
        <f>IF(C34=0,0,E34/C34)</f>
        <v>-0.3032318835996784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9627781</v>
      </c>
      <c r="D37" s="76">
        <v>7296994</v>
      </c>
      <c r="E37" s="76">
        <f>D37-C37</f>
        <v>-2330787</v>
      </c>
      <c r="F37" s="77">
        <f>IF(C37=0,0,E37/C37)</f>
        <v>-0.24208974009691331</v>
      </c>
    </row>
    <row r="38" spans="1:6" ht="23.1" customHeight="1" x14ac:dyDescent="0.2">
      <c r="A38" s="85">
        <v>2</v>
      </c>
      <c r="B38" s="75" t="s">
        <v>95</v>
      </c>
      <c r="C38" s="76">
        <v>1868238</v>
      </c>
      <c r="D38" s="76">
        <v>5229623</v>
      </c>
      <c r="E38" s="76">
        <f>D38-C38</f>
        <v>3361385</v>
      </c>
      <c r="F38" s="77">
        <f>IF(C38=0,0,E38/C38)</f>
        <v>1.7992274003633371</v>
      </c>
    </row>
    <row r="39" spans="1:6" ht="23.1" customHeight="1" x14ac:dyDescent="0.2">
      <c r="A39" s="85">
        <v>3</v>
      </c>
      <c r="B39" s="75" t="s">
        <v>96</v>
      </c>
      <c r="C39" s="76">
        <v>-1119641</v>
      </c>
      <c r="D39" s="76">
        <v>0</v>
      </c>
      <c r="E39" s="76">
        <f>D39-C39</f>
        <v>1119641</v>
      </c>
      <c r="F39" s="77">
        <f>IF(C39=0,0,E39/C39)</f>
        <v>-1</v>
      </c>
    </row>
    <row r="40" spans="1:6" ht="23.1" customHeight="1" x14ac:dyDescent="0.25">
      <c r="A40" s="83"/>
      <c r="B40" s="78" t="s">
        <v>97</v>
      </c>
      <c r="C40" s="79">
        <f>SUM(C37:C39)</f>
        <v>10376378</v>
      </c>
      <c r="D40" s="79">
        <f>SUM(D37:D39)</f>
        <v>12526617</v>
      </c>
      <c r="E40" s="79">
        <f>D40-C40</f>
        <v>2150239</v>
      </c>
      <c r="F40" s="80">
        <f>IF(C40=0,0,E40/C40)</f>
        <v>0.20722442840844849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11419949</v>
      </c>
      <c r="D42" s="79">
        <f>D34+D40</f>
        <v>13253744</v>
      </c>
      <c r="E42" s="79">
        <f>D42-C42</f>
        <v>1833795</v>
      </c>
      <c r="F42" s="80">
        <f>IF(C42=0,0,E42/C42)</f>
        <v>0.16057821273982922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11419949</v>
      </c>
      <c r="D49" s="79">
        <f>D42+D47</f>
        <v>13253744</v>
      </c>
      <c r="E49" s="79">
        <f>D49-C49</f>
        <v>1833795</v>
      </c>
      <c r="F49" s="80">
        <f>IF(C49=0,0,E49/C49)</f>
        <v>0.16057821273982922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61" orientation="portrait" horizontalDpi="1200" verticalDpi="1200" r:id="rId1"/>
  <headerFooter>
    <oddHeader>&amp;L&amp;8OFFICE OF HEALTH CARE ACCESS&amp;C&amp;8TWELVE MONTHS ACTUAL FILING&amp;R&amp;8CCMC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265</vt:i4>
      </vt:variant>
    </vt:vector>
  </HeadingPairs>
  <TitlesOfParts>
    <vt:vector size="284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Report550!Print_Area</vt:lpstr>
      <vt:lpstr>Report600!Print_Area</vt:lpstr>
      <vt:lpstr>Report650!Print_Area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dcterms:created xsi:type="dcterms:W3CDTF">2017-09-14T16:32:54Z</dcterms:created>
  <dcterms:modified xsi:type="dcterms:W3CDTF">2018-01-12T14:42:23Z</dcterms:modified>
</cp:coreProperties>
</file>