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14025" windowHeight="787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C96" i="22"/>
  <c r="E92" i="22"/>
  <c r="D92" i="22"/>
  <c r="C92" i="22"/>
  <c r="C93" i="22" s="1"/>
  <c r="E91" i="22"/>
  <c r="E93" i="22"/>
  <c r="D91" i="22"/>
  <c r="D93" i="22" s="1"/>
  <c r="C91" i="22"/>
  <c r="E87" i="22"/>
  <c r="D87" i="22"/>
  <c r="C87" i="22"/>
  <c r="E86" i="22"/>
  <c r="E88" i="22" s="1"/>
  <c r="D86" i="22"/>
  <c r="D88" i="22" s="1"/>
  <c r="C86" i="22"/>
  <c r="C88" i="22" s="1"/>
  <c r="E83" i="22"/>
  <c r="D83" i="22"/>
  <c r="C83" i="22"/>
  <c r="E76" i="22"/>
  <c r="D76" i="22"/>
  <c r="D102" i="22" s="1"/>
  <c r="C76" i="22"/>
  <c r="E75" i="22"/>
  <c r="D75" i="22"/>
  <c r="C75" i="22"/>
  <c r="C101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3" i="22"/>
  <c r="E21" i="22"/>
  <c r="D21" i="22"/>
  <c r="C21" i="22"/>
  <c r="E12" i="22"/>
  <c r="E34" i="22" s="1"/>
  <c r="D12" i="22"/>
  <c r="D22" i="22" s="1"/>
  <c r="C12" i="22"/>
  <c r="C23" i="22" s="1"/>
  <c r="D21" i="21"/>
  <c r="C21" i="21"/>
  <c r="D19" i="21"/>
  <c r="C19" i="21"/>
  <c r="E17" i="21"/>
  <c r="F17" i="21" s="1"/>
  <c r="E15" i="21"/>
  <c r="F15" i="21" s="1"/>
  <c r="D45" i="20"/>
  <c r="C45" i="20"/>
  <c r="D44" i="20"/>
  <c r="C44" i="20"/>
  <c r="D43" i="20"/>
  <c r="D46" i="20" s="1"/>
  <c r="C43" i="20"/>
  <c r="D36" i="20"/>
  <c r="D40" i="20" s="1"/>
  <c r="C36" i="20"/>
  <c r="E35" i="20"/>
  <c r="F35" i="20" s="1"/>
  <c r="E34" i="20"/>
  <c r="F34" i="20" s="1"/>
  <c r="E33" i="20"/>
  <c r="F33" i="20" s="1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E24" i="20"/>
  <c r="F24" i="20"/>
  <c r="E23" i="20"/>
  <c r="F23" i="20" s="1"/>
  <c r="E22" i="20"/>
  <c r="F22" i="20" s="1"/>
  <c r="D19" i="20"/>
  <c r="D20" i="20"/>
  <c r="C19" i="20"/>
  <c r="E18" i="20"/>
  <c r="F18" i="20" s="1"/>
  <c r="D16" i="20"/>
  <c r="C16" i="20"/>
  <c r="E15" i="20"/>
  <c r="F15" i="20" s="1"/>
  <c r="E13" i="20"/>
  <c r="F13" i="20" s="1"/>
  <c r="E12" i="20"/>
  <c r="F12" i="20" s="1"/>
  <c r="C115" i="19"/>
  <c r="C105" i="19"/>
  <c r="C137" i="19"/>
  <c r="C139" i="19" s="1"/>
  <c r="C143" i="19" s="1"/>
  <c r="C96" i="19"/>
  <c r="C95" i="19"/>
  <c r="C89" i="19"/>
  <c r="C88" i="19"/>
  <c r="C83" i="19"/>
  <c r="C78" i="19"/>
  <c r="C77" i="19"/>
  <c r="C63" i="19"/>
  <c r="C59" i="19"/>
  <c r="C60" i="19" s="1"/>
  <c r="C48" i="19"/>
  <c r="C64" i="19" s="1"/>
  <c r="C65" i="19" s="1"/>
  <c r="C114" i="19" s="1"/>
  <c r="C116" i="19" s="1"/>
  <c r="C119" i="19" s="1"/>
  <c r="C123" i="19" s="1"/>
  <c r="C36" i="19"/>
  <c r="C32" i="19"/>
  <c r="C33" i="19" s="1"/>
  <c r="C21" i="19"/>
  <c r="E328" i="18"/>
  <c r="E325" i="18"/>
  <c r="D324" i="18"/>
  <c r="E324" i="18"/>
  <c r="C324" i="18"/>
  <c r="C326" i="18"/>
  <c r="C330" i="18" s="1"/>
  <c r="E318" i="18"/>
  <c r="E315" i="18"/>
  <c r="D314" i="18"/>
  <c r="D316" i="18" s="1"/>
  <c r="D320" i="18" s="1"/>
  <c r="C314" i="18"/>
  <c r="C316" i="18" s="1"/>
  <c r="E308" i="18"/>
  <c r="E305" i="18"/>
  <c r="D301" i="18"/>
  <c r="C301" i="18"/>
  <c r="C303" i="18" s="1"/>
  <c r="C306" i="18" s="1"/>
  <c r="C310" i="18" s="1"/>
  <c r="D293" i="18"/>
  <c r="C293" i="18"/>
  <c r="E293" i="18"/>
  <c r="D292" i="18"/>
  <c r="E292" i="18"/>
  <c r="C292" i="18"/>
  <c r="D291" i="18"/>
  <c r="E291" i="18" s="1"/>
  <c r="C291" i="18"/>
  <c r="D290" i="18"/>
  <c r="E290" i="18"/>
  <c r="C290" i="18"/>
  <c r="D288" i="18"/>
  <c r="E288" i="18" s="1"/>
  <c r="C288" i="18"/>
  <c r="D287" i="18"/>
  <c r="C287" i="18"/>
  <c r="D282" i="18"/>
  <c r="C282" i="18"/>
  <c r="D281" i="18"/>
  <c r="C281" i="18"/>
  <c r="D280" i="18"/>
  <c r="E280" i="18" s="1"/>
  <c r="C280" i="18"/>
  <c r="D279" i="18"/>
  <c r="C279" i="18"/>
  <c r="D278" i="18"/>
  <c r="C278" i="18"/>
  <c r="D277" i="18"/>
  <c r="C277" i="18"/>
  <c r="D276" i="18"/>
  <c r="E276" i="18" s="1"/>
  <c r="C276" i="18"/>
  <c r="E270" i="18"/>
  <c r="D265" i="18"/>
  <c r="D302" i="18" s="1"/>
  <c r="E302" i="18" s="1"/>
  <c r="C265" i="18"/>
  <c r="C302" i="18" s="1"/>
  <c r="E265" i="18"/>
  <c r="D262" i="18"/>
  <c r="E262" i="18" s="1"/>
  <c r="C262" i="18"/>
  <c r="D251" i="18"/>
  <c r="C251" i="18"/>
  <c r="D240" i="18"/>
  <c r="D233" i="18"/>
  <c r="E233" i="18" s="1"/>
  <c r="C233" i="18"/>
  <c r="D232" i="18"/>
  <c r="C232" i="18"/>
  <c r="D231" i="18"/>
  <c r="C231" i="18"/>
  <c r="D230" i="18"/>
  <c r="C230" i="18"/>
  <c r="E230" i="18"/>
  <c r="D228" i="18"/>
  <c r="C228" i="18"/>
  <c r="D227" i="18"/>
  <c r="C227" i="18"/>
  <c r="E227" i="18" s="1"/>
  <c r="D221" i="18"/>
  <c r="D245" i="18"/>
  <c r="C221" i="18"/>
  <c r="C245" i="18" s="1"/>
  <c r="C253" i="18" s="1"/>
  <c r="D220" i="18"/>
  <c r="E220" i="18" s="1"/>
  <c r="C220" i="18"/>
  <c r="C244" i="18" s="1"/>
  <c r="D219" i="18"/>
  <c r="C219" i="18"/>
  <c r="C243" i="18" s="1"/>
  <c r="D218" i="18"/>
  <c r="C218" i="18"/>
  <c r="C242" i="18" s="1"/>
  <c r="C217" i="18"/>
  <c r="D216" i="18"/>
  <c r="E216" i="18"/>
  <c r="C216" i="18"/>
  <c r="C240" i="18"/>
  <c r="D215" i="18"/>
  <c r="D239" i="18" s="1"/>
  <c r="C215" i="18"/>
  <c r="E209" i="18"/>
  <c r="E208" i="18"/>
  <c r="E207" i="18"/>
  <c r="E206" i="18"/>
  <c r="D205" i="18"/>
  <c r="D229" i="18" s="1"/>
  <c r="C205" i="18"/>
  <c r="C210" i="18" s="1"/>
  <c r="E204" i="18"/>
  <c r="E203" i="18"/>
  <c r="E197" i="18"/>
  <c r="E196" i="18"/>
  <c r="D195" i="18"/>
  <c r="D260" i="18" s="1"/>
  <c r="C195" i="18"/>
  <c r="C260" i="18" s="1"/>
  <c r="E194" i="18"/>
  <c r="E193" i="18"/>
  <c r="E192" i="18"/>
  <c r="E191" i="18"/>
  <c r="E190" i="18"/>
  <c r="D188" i="18"/>
  <c r="C188" i="18"/>
  <c r="C261" i="18" s="1"/>
  <c r="E186" i="18"/>
  <c r="E185" i="18"/>
  <c r="D179" i="18"/>
  <c r="C179" i="18"/>
  <c r="D178" i="18"/>
  <c r="C178" i="18"/>
  <c r="D177" i="18"/>
  <c r="E177" i="18" s="1"/>
  <c r="C177" i="18"/>
  <c r="D176" i="18"/>
  <c r="C176" i="18"/>
  <c r="D174" i="18"/>
  <c r="C174" i="18"/>
  <c r="D173" i="18"/>
  <c r="E173" i="18" s="1"/>
  <c r="C173" i="18"/>
  <c r="D167" i="18"/>
  <c r="C167" i="18"/>
  <c r="D166" i="18"/>
  <c r="C166" i="18"/>
  <c r="D165" i="18"/>
  <c r="C165" i="18"/>
  <c r="D164" i="18"/>
  <c r="C164" i="18"/>
  <c r="D162" i="18"/>
  <c r="E162" i="18" s="1"/>
  <c r="C162" i="18"/>
  <c r="D161" i="18"/>
  <c r="C161" i="18"/>
  <c r="E161" i="18"/>
  <c r="E155" i="18"/>
  <c r="E154" i="18"/>
  <c r="E153" i="18"/>
  <c r="E152" i="18"/>
  <c r="D151" i="18"/>
  <c r="C151" i="18"/>
  <c r="C156" i="18" s="1"/>
  <c r="C157" i="18" s="1"/>
  <c r="E150" i="18"/>
  <c r="E149" i="18"/>
  <c r="E143" i="18"/>
  <c r="E142" i="18"/>
  <c r="E141" i="18"/>
  <c r="E140" i="18"/>
  <c r="D139" i="18"/>
  <c r="D144" i="18" s="1"/>
  <c r="C139" i="18"/>
  <c r="E138" i="18"/>
  <c r="E137" i="18"/>
  <c r="D75" i="18"/>
  <c r="E75" i="18" s="1"/>
  <c r="C75" i="18"/>
  <c r="D74" i="18"/>
  <c r="C74" i="18"/>
  <c r="D73" i="18"/>
  <c r="C73" i="18"/>
  <c r="D72" i="18"/>
  <c r="C72" i="18"/>
  <c r="E72" i="18" s="1"/>
  <c r="D71" i="18"/>
  <c r="D70" i="18"/>
  <c r="C70" i="18"/>
  <c r="D69" i="18"/>
  <c r="C69" i="18"/>
  <c r="D65" i="18"/>
  <c r="E64" i="18"/>
  <c r="E63" i="18"/>
  <c r="E62" i="18"/>
  <c r="E61" i="18"/>
  <c r="D60" i="18"/>
  <c r="D289" i="18" s="1"/>
  <c r="C60" i="18"/>
  <c r="E59" i="18"/>
  <c r="E58" i="18"/>
  <c r="D54" i="18"/>
  <c r="D55" i="18" s="1"/>
  <c r="C54" i="18"/>
  <c r="C55" i="18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E41" i="18" s="1"/>
  <c r="D40" i="18"/>
  <c r="C40" i="18"/>
  <c r="E40" i="18"/>
  <c r="D39" i="18"/>
  <c r="E39" i="18"/>
  <c r="C39" i="18"/>
  <c r="D38" i="18"/>
  <c r="C38" i="18"/>
  <c r="D37" i="18"/>
  <c r="C37" i="18"/>
  <c r="E37" i="18" s="1"/>
  <c r="D36" i="18"/>
  <c r="C36" i="18"/>
  <c r="D32" i="18"/>
  <c r="D33" i="18" s="1"/>
  <c r="C32" i="18"/>
  <c r="E31" i="18"/>
  <c r="E30" i="18"/>
  <c r="E29" i="18"/>
  <c r="E28" i="18"/>
  <c r="E27" i="18"/>
  <c r="E26" i="18"/>
  <c r="E25" i="18"/>
  <c r="D21" i="18"/>
  <c r="C21" i="18"/>
  <c r="C22" i="18" s="1"/>
  <c r="E20" i="18"/>
  <c r="E19" i="18"/>
  <c r="E18" i="18"/>
  <c r="E17" i="18"/>
  <c r="E16" i="18"/>
  <c r="E15" i="18"/>
  <c r="E14" i="18"/>
  <c r="E335" i="17"/>
  <c r="F335" i="17"/>
  <c r="E334" i="17"/>
  <c r="F334" i="17"/>
  <c r="E333" i="17"/>
  <c r="F333" i="17"/>
  <c r="F332" i="17"/>
  <c r="E332" i="17"/>
  <c r="E331" i="17"/>
  <c r="F331" i="17"/>
  <c r="E330" i="17"/>
  <c r="F330" i="17"/>
  <c r="F329" i="17"/>
  <c r="E329" i="17"/>
  <c r="F316" i="17"/>
  <c r="E316" i="17"/>
  <c r="D311" i="17"/>
  <c r="C311" i="17"/>
  <c r="F308" i="17"/>
  <c r="E308" i="17"/>
  <c r="D307" i="17"/>
  <c r="C307" i="17"/>
  <c r="D299" i="17"/>
  <c r="E299" i="17" s="1"/>
  <c r="C299" i="17"/>
  <c r="F299" i="17" s="1"/>
  <c r="D298" i="17"/>
  <c r="E298" i="17" s="1"/>
  <c r="C298" i="17"/>
  <c r="F298" i="17" s="1"/>
  <c r="D297" i="17"/>
  <c r="E297" i="17" s="1"/>
  <c r="F297" i="17" s="1"/>
  <c r="C297" i="17"/>
  <c r="D296" i="17"/>
  <c r="C296" i="17"/>
  <c r="D295" i="17"/>
  <c r="E295" i="17" s="1"/>
  <c r="F295" i="17"/>
  <c r="C295" i="17"/>
  <c r="D294" i="17"/>
  <c r="C294" i="17"/>
  <c r="D250" i="17"/>
  <c r="C250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D239" i="17"/>
  <c r="C237" i="17"/>
  <c r="E234" i="17"/>
  <c r="F234" i="17" s="1"/>
  <c r="E233" i="17"/>
  <c r="F233" i="17" s="1"/>
  <c r="D230" i="17"/>
  <c r="C230" i="17"/>
  <c r="D229" i="17"/>
  <c r="C229" i="17"/>
  <c r="E228" i="17"/>
  <c r="F228" i="17" s="1"/>
  <c r="D226" i="17"/>
  <c r="D227" i="17" s="1"/>
  <c r="C226" i="17"/>
  <c r="E225" i="17"/>
  <c r="F225" i="17" s="1"/>
  <c r="E224" i="17"/>
  <c r="F224" i="17"/>
  <c r="D223" i="17"/>
  <c r="C223" i="17"/>
  <c r="E222" i="17"/>
  <c r="F222" i="17" s="1"/>
  <c r="E221" i="17"/>
  <c r="F221" i="17" s="1"/>
  <c r="D204" i="17"/>
  <c r="D285" i="17"/>
  <c r="C204" i="17"/>
  <c r="D203" i="17"/>
  <c r="D267" i="17" s="1"/>
  <c r="C203" i="17"/>
  <c r="D198" i="17"/>
  <c r="C198" i="17"/>
  <c r="D191" i="17"/>
  <c r="D264" i="17"/>
  <c r="C191" i="17"/>
  <c r="D189" i="17"/>
  <c r="D262" i="17" s="1"/>
  <c r="C189" i="17"/>
  <c r="D188" i="17"/>
  <c r="D261" i="17" s="1"/>
  <c r="C188" i="17"/>
  <c r="D180" i="17"/>
  <c r="C180" i="17"/>
  <c r="F180" i="17"/>
  <c r="D179" i="17"/>
  <c r="C179" i="17"/>
  <c r="F179" i="17" s="1"/>
  <c r="D171" i="17"/>
  <c r="D172" i="17"/>
  <c r="D173" i="17" s="1"/>
  <c r="C171" i="17"/>
  <c r="F171" i="17" s="1"/>
  <c r="D170" i="17"/>
  <c r="C170" i="17"/>
  <c r="F170" i="17" s="1"/>
  <c r="F169" i="17"/>
  <c r="E169" i="17"/>
  <c r="F168" i="17"/>
  <c r="E168" i="17"/>
  <c r="D165" i="17"/>
  <c r="C165" i="17"/>
  <c r="F165" i="17" s="1"/>
  <c r="D164" i="17"/>
  <c r="C164" i="17"/>
  <c r="F164" i="17" s="1"/>
  <c r="F163" i="17"/>
  <c r="E163" i="17"/>
  <c r="D158" i="17"/>
  <c r="D159" i="17"/>
  <c r="C158" i="17"/>
  <c r="F158" i="17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C145" i="17"/>
  <c r="D144" i="17"/>
  <c r="C144" i="17"/>
  <c r="D136" i="17"/>
  <c r="C136" i="17"/>
  <c r="D135" i="17"/>
  <c r="E135" i="17" s="1"/>
  <c r="F135" i="17"/>
  <c r="C135" i="17"/>
  <c r="E134" i="17"/>
  <c r="F134" i="17" s="1"/>
  <c r="E133" i="17"/>
  <c r="F133" i="17" s="1"/>
  <c r="D130" i="17"/>
  <c r="C130" i="17"/>
  <c r="D129" i="17"/>
  <c r="E129" i="17" s="1"/>
  <c r="F129" i="17" s="1"/>
  <c r="C129" i="17"/>
  <c r="E128" i="17"/>
  <c r="F128" i="17" s="1"/>
  <c r="D123" i="17"/>
  <c r="C123" i="17"/>
  <c r="C124" i="17"/>
  <c r="E122" i="17"/>
  <c r="F122" i="17"/>
  <c r="E121" i="17"/>
  <c r="F121" i="17" s="1"/>
  <c r="D120" i="17"/>
  <c r="E120" i="17" s="1"/>
  <c r="C120" i="17"/>
  <c r="E119" i="17"/>
  <c r="F119" i="17" s="1"/>
  <c r="E118" i="17"/>
  <c r="F118" i="17"/>
  <c r="D110" i="17"/>
  <c r="E110" i="17"/>
  <c r="C110" i="17"/>
  <c r="D109" i="17"/>
  <c r="C109" i="17"/>
  <c r="E109" i="17" s="1"/>
  <c r="D101" i="17"/>
  <c r="E101" i="17" s="1"/>
  <c r="F101" i="17" s="1"/>
  <c r="C101" i="17"/>
  <c r="C102" i="17" s="1"/>
  <c r="D100" i="17"/>
  <c r="C100" i="17"/>
  <c r="E99" i="17"/>
  <c r="F99" i="17" s="1"/>
  <c r="E98" i="17"/>
  <c r="F98" i="17" s="1"/>
  <c r="D95" i="17"/>
  <c r="C95" i="17"/>
  <c r="D94" i="17"/>
  <c r="E94" i="17"/>
  <c r="C94" i="17"/>
  <c r="E93" i="17"/>
  <c r="F93" i="17"/>
  <c r="D88" i="17"/>
  <c r="E88" i="17" s="1"/>
  <c r="C88" i="17"/>
  <c r="C89" i="17" s="1"/>
  <c r="E87" i="17"/>
  <c r="F87" i="17" s="1"/>
  <c r="E86" i="17"/>
  <c r="F86" i="17" s="1"/>
  <c r="D85" i="17"/>
  <c r="E85" i="17" s="1"/>
  <c r="F85" i="17" s="1"/>
  <c r="C85" i="17"/>
  <c r="E84" i="17"/>
  <c r="F84" i="17" s="1"/>
  <c r="E83" i="17"/>
  <c r="F83" i="17" s="1"/>
  <c r="D76" i="17"/>
  <c r="D77" i="17" s="1"/>
  <c r="C76" i="17"/>
  <c r="C77" i="17" s="1"/>
  <c r="E74" i="17"/>
  <c r="F74" i="17"/>
  <c r="E73" i="17"/>
  <c r="F73" i="17"/>
  <c r="D67" i="17"/>
  <c r="D68" i="17" s="1"/>
  <c r="C67" i="17"/>
  <c r="D66" i="17"/>
  <c r="C66" i="17"/>
  <c r="D59" i="17"/>
  <c r="D60" i="17" s="1"/>
  <c r="D61" i="17" s="1"/>
  <c r="C59" i="17"/>
  <c r="D58" i="17"/>
  <c r="C58" i="17"/>
  <c r="E57" i="17"/>
  <c r="F57" i="17" s="1"/>
  <c r="E56" i="17"/>
  <c r="F56" i="17" s="1"/>
  <c r="D53" i="17"/>
  <c r="C53" i="17"/>
  <c r="D52" i="17"/>
  <c r="C52" i="17"/>
  <c r="E51" i="17"/>
  <c r="F51" i="17" s="1"/>
  <c r="D47" i="17"/>
  <c r="D48" i="17"/>
  <c r="C47" i="17"/>
  <c r="E46" i="17"/>
  <c r="F46" i="17" s="1"/>
  <c r="E45" i="17"/>
  <c r="F45" i="17" s="1"/>
  <c r="D44" i="17"/>
  <c r="C44" i="17"/>
  <c r="E43" i="17"/>
  <c r="F43" i="17"/>
  <c r="E42" i="17"/>
  <c r="F42" i="17" s="1"/>
  <c r="D36" i="17"/>
  <c r="C36" i="17"/>
  <c r="D35" i="17"/>
  <c r="D37" i="17" s="1"/>
  <c r="C35" i="17"/>
  <c r="C31" i="17"/>
  <c r="D30" i="17"/>
  <c r="D31" i="17" s="1"/>
  <c r="D32" i="17" s="1"/>
  <c r="C30" i="17"/>
  <c r="D29" i="17"/>
  <c r="C29" i="17"/>
  <c r="E28" i="17"/>
  <c r="F28" i="17"/>
  <c r="E27" i="17"/>
  <c r="F27" i="17" s="1"/>
  <c r="D24" i="17"/>
  <c r="C24" i="17"/>
  <c r="D23" i="17"/>
  <c r="C23" i="17"/>
  <c r="E22" i="17"/>
  <c r="F22" i="17" s="1"/>
  <c r="D20" i="17"/>
  <c r="C20" i="17"/>
  <c r="E19" i="17"/>
  <c r="F19" i="17" s="1"/>
  <c r="E18" i="17"/>
  <c r="F18" i="17" s="1"/>
  <c r="D17" i="17"/>
  <c r="C17" i="17"/>
  <c r="E16" i="17"/>
  <c r="F16" i="17" s="1"/>
  <c r="E15" i="17"/>
  <c r="F15" i="17" s="1"/>
  <c r="D21" i="16"/>
  <c r="C21" i="16"/>
  <c r="E20" i="16"/>
  <c r="F20" i="16" s="1"/>
  <c r="D17" i="16"/>
  <c r="C17" i="16"/>
  <c r="E16" i="16"/>
  <c r="F16" i="16" s="1"/>
  <c r="D13" i="16"/>
  <c r="C13" i="16"/>
  <c r="E12" i="16"/>
  <c r="F12" i="16"/>
  <c r="D107" i="15"/>
  <c r="C107" i="15"/>
  <c r="E106" i="15"/>
  <c r="F106" i="15" s="1"/>
  <c r="E105" i="15"/>
  <c r="F105" i="15" s="1"/>
  <c r="E104" i="15"/>
  <c r="F104" i="15" s="1"/>
  <c r="D100" i="15"/>
  <c r="C100" i="15"/>
  <c r="E99" i="15"/>
  <c r="F99" i="15" s="1"/>
  <c r="E98" i="15"/>
  <c r="F98" i="15" s="1"/>
  <c r="E97" i="15"/>
  <c r="F97" i="15"/>
  <c r="E96" i="15"/>
  <c r="F96" i="15" s="1"/>
  <c r="E95" i="15"/>
  <c r="F95" i="15" s="1"/>
  <c r="D92" i="15"/>
  <c r="C92" i="15"/>
  <c r="E91" i="15"/>
  <c r="F91" i="15" s="1"/>
  <c r="E90" i="15"/>
  <c r="F90" i="15" s="1"/>
  <c r="F89" i="15"/>
  <c r="E89" i="15"/>
  <c r="F88" i="15"/>
  <c r="E88" i="15"/>
  <c r="F87" i="15"/>
  <c r="E87" i="15"/>
  <c r="E86" i="15"/>
  <c r="F86" i="15" s="1"/>
  <c r="F85" i="15"/>
  <c r="E85" i="15"/>
  <c r="F84" i="15"/>
  <c r="E84" i="15"/>
  <c r="E83" i="15"/>
  <c r="F83" i="15" s="1"/>
  <c r="F82" i="15"/>
  <c r="E82" i="15"/>
  <c r="F81" i="15"/>
  <c r="E81" i="15"/>
  <c r="F80" i="15"/>
  <c r="E80" i="15"/>
  <c r="F79" i="15"/>
  <c r="E79" i="15"/>
  <c r="D75" i="15"/>
  <c r="C75" i="15"/>
  <c r="E74" i="15"/>
  <c r="F74" i="15" s="1"/>
  <c r="E73" i="15"/>
  <c r="F73" i="15" s="1"/>
  <c r="D70" i="15"/>
  <c r="C70" i="15"/>
  <c r="E69" i="15"/>
  <c r="F69" i="15" s="1"/>
  <c r="E68" i="15"/>
  <c r="F68" i="15" s="1"/>
  <c r="D65" i="15"/>
  <c r="C65" i="15"/>
  <c r="E64" i="15"/>
  <c r="F64" i="15"/>
  <c r="E63" i="15"/>
  <c r="F63" i="15" s="1"/>
  <c r="D60" i="15"/>
  <c r="C60" i="15"/>
  <c r="E59" i="15"/>
  <c r="F59" i="15" s="1"/>
  <c r="E58" i="15"/>
  <c r="F58" i="15" s="1"/>
  <c r="D55" i="15"/>
  <c r="C55" i="15"/>
  <c r="E54" i="15"/>
  <c r="F54" i="15" s="1"/>
  <c r="E53" i="15"/>
  <c r="F53" i="15" s="1"/>
  <c r="D50" i="15"/>
  <c r="C50" i="15"/>
  <c r="E49" i="15"/>
  <c r="F49" i="15" s="1"/>
  <c r="E48" i="15"/>
  <c r="F48" i="15" s="1"/>
  <c r="D45" i="15"/>
  <c r="C45" i="15"/>
  <c r="E44" i="15"/>
  <c r="F44" i="15" s="1"/>
  <c r="E43" i="15"/>
  <c r="F43" i="15" s="1"/>
  <c r="D37" i="15"/>
  <c r="C37" i="15"/>
  <c r="F36" i="15"/>
  <c r="E36" i="15"/>
  <c r="F35" i="15"/>
  <c r="E35" i="15"/>
  <c r="E34" i="15"/>
  <c r="F34" i="15" s="1"/>
  <c r="E33" i="15"/>
  <c r="F33" i="15" s="1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E20" i="15"/>
  <c r="F20" i="15" s="1"/>
  <c r="E19" i="15"/>
  <c r="F19" i="15"/>
  <c r="D16" i="15"/>
  <c r="C16" i="15"/>
  <c r="F15" i="15"/>
  <c r="E15" i="15"/>
  <c r="E14" i="15"/>
  <c r="F14" i="15" s="1"/>
  <c r="E13" i="15"/>
  <c r="F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1" i="14" s="1"/>
  <c r="F33" i="14"/>
  <c r="E17" i="14"/>
  <c r="E31" i="14" s="1"/>
  <c r="D17" i="14"/>
  <c r="D31" i="14" s="1"/>
  <c r="D33" i="14"/>
  <c r="D36" i="14" s="1"/>
  <c r="D38" i="14" s="1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D80" i="13" s="1"/>
  <c r="D77" i="13" s="1"/>
  <c r="C78" i="13"/>
  <c r="C80" i="13" s="1"/>
  <c r="C77" i="13" s="1"/>
  <c r="E73" i="13"/>
  <c r="E75" i="13"/>
  <c r="D73" i="13"/>
  <c r="D75" i="13" s="1"/>
  <c r="C73" i="13"/>
  <c r="C75" i="13" s="1"/>
  <c r="E71" i="13"/>
  <c r="D71" i="13"/>
  <c r="C71" i="13"/>
  <c r="E66" i="13"/>
  <c r="D66" i="13"/>
  <c r="D65" i="13" s="1"/>
  <c r="C66" i="13"/>
  <c r="C65" i="13" s="1"/>
  <c r="E65" i="13"/>
  <c r="E60" i="13"/>
  <c r="D60" i="13"/>
  <c r="C60" i="13"/>
  <c r="E58" i="13"/>
  <c r="D58" i="13"/>
  <c r="C58" i="13"/>
  <c r="E55" i="13"/>
  <c r="D55" i="13"/>
  <c r="C55" i="13"/>
  <c r="C50" i="13" s="1"/>
  <c r="E54" i="13"/>
  <c r="D54" i="13"/>
  <c r="D50" i="13" s="1"/>
  <c r="C54" i="13"/>
  <c r="E46" i="13"/>
  <c r="E59" i="13" s="1"/>
  <c r="E61" i="13" s="1"/>
  <c r="E57" i="13" s="1"/>
  <c r="D46" i="13"/>
  <c r="D48" i="13" s="1"/>
  <c r="C46" i="13"/>
  <c r="C59" i="13" s="1"/>
  <c r="C61" i="13" s="1"/>
  <c r="C57" i="13" s="1"/>
  <c r="E45" i="13"/>
  <c r="D45" i="13"/>
  <c r="D42" i="13" s="1"/>
  <c r="C45" i="13"/>
  <c r="E38" i="13"/>
  <c r="D38" i="13"/>
  <c r="C38" i="13"/>
  <c r="E33" i="13"/>
  <c r="E34" i="13" s="1"/>
  <c r="D33" i="13"/>
  <c r="D34" i="13" s="1"/>
  <c r="E26" i="13"/>
  <c r="D26" i="13"/>
  <c r="C26" i="13"/>
  <c r="D15" i="13"/>
  <c r="D24" i="13" s="1"/>
  <c r="E13" i="13"/>
  <c r="E25" i="13"/>
  <c r="E27" i="13" s="1"/>
  <c r="D13" i="13"/>
  <c r="D25" i="13" s="1"/>
  <c r="C13" i="13"/>
  <c r="C25" i="13" s="1"/>
  <c r="C27" i="13" s="1"/>
  <c r="C21" i="13" s="1"/>
  <c r="D47" i="12"/>
  <c r="C47" i="12"/>
  <c r="F46" i="12"/>
  <c r="E46" i="12"/>
  <c r="E45" i="12"/>
  <c r="F45" i="12" s="1"/>
  <c r="D40" i="12"/>
  <c r="C40" i="12"/>
  <c r="E39" i="12"/>
  <c r="F39" i="12" s="1"/>
  <c r="F38" i="12"/>
  <c r="E38" i="12"/>
  <c r="E37" i="12"/>
  <c r="F37" i="12" s="1"/>
  <c r="D32" i="12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/>
  <c r="E23" i="12"/>
  <c r="F23" i="12" s="1"/>
  <c r="E19" i="12"/>
  <c r="F19" i="12" s="1"/>
  <c r="E18" i="12"/>
  <c r="F18" i="12" s="1"/>
  <c r="E16" i="12"/>
  <c r="F16" i="12" s="1"/>
  <c r="D15" i="12"/>
  <c r="D17" i="12" s="1"/>
  <c r="C15" i="12"/>
  <c r="E14" i="12"/>
  <c r="F14" i="12"/>
  <c r="E13" i="12"/>
  <c r="F13" i="12" s="1"/>
  <c r="E12" i="12"/>
  <c r="F12" i="12" s="1"/>
  <c r="E11" i="12"/>
  <c r="F11" i="12"/>
  <c r="D73" i="11"/>
  <c r="C73" i="1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C61" i="11"/>
  <c r="C65" i="11"/>
  <c r="E60" i="11"/>
  <c r="F60" i="11" s="1"/>
  <c r="E59" i="11"/>
  <c r="F59" i="11" s="1"/>
  <c r="D56" i="11"/>
  <c r="E56" i="11" s="1"/>
  <c r="C56" i="11"/>
  <c r="E55" i="11"/>
  <c r="F55" i="11" s="1"/>
  <c r="F54" i="11"/>
  <c r="E54" i="11"/>
  <c r="E53" i="11"/>
  <c r="F53" i="11" s="1"/>
  <c r="F52" i="11"/>
  <c r="E52" i="11"/>
  <c r="F51" i="11"/>
  <c r="E51" i="11"/>
  <c r="E50" i="11"/>
  <c r="F50" i="11" s="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E38" i="11"/>
  <c r="C38" i="11"/>
  <c r="E37" i="11"/>
  <c r="F37" i="11" s="1"/>
  <c r="E36" i="11"/>
  <c r="F36" i="11" s="1"/>
  <c r="E33" i="11"/>
  <c r="F33" i="11" s="1"/>
  <c r="F32" i="11"/>
  <c r="E32" i="11"/>
  <c r="F31" i="11"/>
  <c r="E31" i="11"/>
  <c r="D29" i="11"/>
  <c r="E29" i="11" s="1"/>
  <c r="F29" i="11" s="1"/>
  <c r="C29" i="11"/>
  <c r="E28" i="11"/>
  <c r="F28" i="11" s="1"/>
  <c r="F27" i="11"/>
  <c r="E27" i="11"/>
  <c r="E26" i="11"/>
  <c r="F26" i="11" s="1"/>
  <c r="F25" i="11"/>
  <c r="E25" i="11"/>
  <c r="D22" i="11"/>
  <c r="E22" i="11" s="1"/>
  <c r="F22" i="11" s="1"/>
  <c r="C22" i="11"/>
  <c r="F21" i="11"/>
  <c r="E21" i="1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E14" i="11"/>
  <c r="F14" i="11" s="1"/>
  <c r="F13" i="11"/>
  <c r="E13" i="11"/>
  <c r="D120" i="10"/>
  <c r="E120" i="10" s="1"/>
  <c r="C120" i="10"/>
  <c r="F120" i="10" s="1"/>
  <c r="D119" i="10"/>
  <c r="C119" i="10"/>
  <c r="E119" i="10" s="1"/>
  <c r="D118" i="10"/>
  <c r="E118" i="10" s="1"/>
  <c r="C118" i="10"/>
  <c r="F118" i="10" s="1"/>
  <c r="D117" i="10"/>
  <c r="C117" i="10"/>
  <c r="D116" i="10"/>
  <c r="C116" i="10"/>
  <c r="E116" i="10" s="1"/>
  <c r="D115" i="10"/>
  <c r="C115" i="10"/>
  <c r="E115" i="10" s="1"/>
  <c r="D114" i="10"/>
  <c r="C114" i="10"/>
  <c r="F114" i="10" s="1"/>
  <c r="D113" i="10"/>
  <c r="D122" i="10" s="1"/>
  <c r="C113" i="10"/>
  <c r="F113" i="10"/>
  <c r="D112" i="10"/>
  <c r="D121" i="10"/>
  <c r="C112" i="10"/>
  <c r="F112" i="10" s="1"/>
  <c r="D108" i="10"/>
  <c r="C108" i="10"/>
  <c r="F108" i="10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 s="1"/>
  <c r="C96" i="10"/>
  <c r="F96" i="10" s="1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F59" i="10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 s="1"/>
  <c r="C48" i="10"/>
  <c r="F48" i="10" s="1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F206" i="9" s="1"/>
  <c r="C206" i="9"/>
  <c r="D205" i="9"/>
  <c r="C205" i="9"/>
  <c r="D204" i="9"/>
  <c r="C204" i="9"/>
  <c r="D203" i="9"/>
  <c r="C203" i="9"/>
  <c r="D202" i="9"/>
  <c r="C202" i="9"/>
  <c r="E202" i="9" s="1"/>
  <c r="F202" i="9" s="1"/>
  <c r="D201" i="9"/>
  <c r="C201" i="9"/>
  <c r="E201" i="9" s="1"/>
  <c r="D200" i="9"/>
  <c r="C200" i="9"/>
  <c r="E200" i="9" s="1"/>
  <c r="D199" i="9"/>
  <c r="D208" i="9" s="1"/>
  <c r="C199" i="9"/>
  <c r="D198" i="9"/>
  <c r="D207" i="9" s="1"/>
  <c r="E207" i="9" s="1"/>
  <c r="F207" i="9" s="1"/>
  <c r="C198" i="9"/>
  <c r="D193" i="9"/>
  <c r="E193" i="9" s="1"/>
  <c r="C193" i="9"/>
  <c r="F193" i="9" s="1"/>
  <c r="F192" i="9"/>
  <c r="D192" i="9"/>
  <c r="E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C180" i="9"/>
  <c r="E180" i="9" s="1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D166" i="9"/>
  <c r="C166" i="9"/>
  <c r="E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 s="1"/>
  <c r="C141" i="9"/>
  <c r="D140" i="9"/>
  <c r="E140" i="9" s="1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C128" i="9"/>
  <c r="D127" i="9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D115" i="9"/>
  <c r="E115" i="9" s="1"/>
  <c r="F115" i="9" s="1"/>
  <c r="C115" i="9"/>
  <c r="D114" i="9"/>
  <c r="E114" i="9"/>
  <c r="F114" i="9" s="1"/>
  <c r="C114" i="9"/>
  <c r="F113" i="9"/>
  <c r="E113" i="9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F105" i="9"/>
  <c r="E105" i="9"/>
  <c r="D102" i="9"/>
  <c r="C102" i="9"/>
  <c r="D101" i="9"/>
  <c r="E101" i="9" s="1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C89" i="9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C75" i="9"/>
  <c r="F75" i="9" s="1"/>
  <c r="F74" i="9"/>
  <c r="E74" i="9"/>
  <c r="F73" i="9"/>
  <c r="E73" i="9"/>
  <c r="E72" i="9"/>
  <c r="F72" i="9" s="1"/>
  <c r="E71" i="9"/>
  <c r="F71" i="9" s="1"/>
  <c r="F70" i="9"/>
  <c r="E70" i="9"/>
  <c r="F69" i="9"/>
  <c r="E69" i="9"/>
  <c r="E68" i="9"/>
  <c r="F68" i="9" s="1"/>
  <c r="E67" i="9"/>
  <c r="F67" i="9" s="1"/>
  <c r="F66" i="9"/>
  <c r="E66" i="9"/>
  <c r="D63" i="9"/>
  <c r="E63" i="9" s="1"/>
  <c r="C63" i="9"/>
  <c r="F63" i="9" s="1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F48" i="9"/>
  <c r="E48" i="9"/>
  <c r="E47" i="9"/>
  <c r="F47" i="9" s="1"/>
  <c r="F46" i="9"/>
  <c r="E46" i="9"/>
  <c r="F45" i="9"/>
  <c r="E45" i="9"/>
  <c r="E44" i="9"/>
  <c r="F44" i="9" s="1"/>
  <c r="E43" i="9"/>
  <c r="F43" i="9" s="1"/>
  <c r="F42" i="9"/>
  <c r="E42" i="9"/>
  <c r="E41" i="9"/>
  <c r="F41" i="9" s="1"/>
  <c r="E40" i="9"/>
  <c r="F40" i="9" s="1"/>
  <c r="F37" i="9"/>
  <c r="D37" i="9"/>
  <c r="E37" i="9"/>
  <c r="C37" i="9"/>
  <c r="D36" i="9"/>
  <c r="E36" i="9" s="1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E23" i="9" s="1"/>
  <c r="F23" i="9"/>
  <c r="C23" i="9"/>
  <c r="E22" i="9"/>
  <c r="F22" i="9" s="1"/>
  <c r="E21" i="9"/>
  <c r="F21" i="9" s="1"/>
  <c r="E20" i="9"/>
  <c r="F20" i="9" s="1"/>
  <c r="F19" i="9"/>
  <c r="E19" i="9"/>
  <c r="E18" i="9"/>
  <c r="F18" i="9" s="1"/>
  <c r="E17" i="9"/>
  <c r="F17" i="9" s="1"/>
  <c r="E16" i="9"/>
  <c r="F16" i="9" s="1"/>
  <c r="F15" i="9"/>
  <c r="E15" i="9"/>
  <c r="E14" i="9"/>
  <c r="F14" i="9" s="1"/>
  <c r="E191" i="8"/>
  <c r="D191" i="8"/>
  <c r="C191" i="8"/>
  <c r="E176" i="8"/>
  <c r="D176" i="8"/>
  <c r="C176" i="8"/>
  <c r="E164" i="8"/>
  <c r="E160" i="8" s="1"/>
  <c r="D164" i="8"/>
  <c r="C164" i="8"/>
  <c r="C160" i="8" s="1"/>
  <c r="E162" i="8"/>
  <c r="D162" i="8"/>
  <c r="C162" i="8"/>
  <c r="E161" i="8"/>
  <c r="D161" i="8"/>
  <c r="C161" i="8"/>
  <c r="C166" i="8" s="1"/>
  <c r="D160" i="8"/>
  <c r="E147" i="8"/>
  <c r="E143" i="8" s="1"/>
  <c r="D147" i="8"/>
  <c r="D143" i="8" s="1"/>
  <c r="C147" i="8"/>
  <c r="E145" i="8"/>
  <c r="D145" i="8"/>
  <c r="C145" i="8"/>
  <c r="E144" i="8"/>
  <c r="D144" i="8"/>
  <c r="C144" i="8"/>
  <c r="C143" i="8"/>
  <c r="C149" i="8" s="1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C107" i="8"/>
  <c r="C109" i="8"/>
  <c r="C106" i="8" s="1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E84" i="8"/>
  <c r="D84" i="8"/>
  <c r="D79" i="8" s="1"/>
  <c r="C84" i="8"/>
  <c r="E83" i="8"/>
  <c r="D83" i="8"/>
  <c r="C83" i="8"/>
  <c r="E75" i="8"/>
  <c r="E88" i="8" s="1"/>
  <c r="E90" i="8" s="1"/>
  <c r="E86" i="8" s="1"/>
  <c r="D75" i="8"/>
  <c r="D88" i="8" s="1"/>
  <c r="D90" i="8"/>
  <c r="D86" i="8" s="1"/>
  <c r="C75" i="8"/>
  <c r="C88" i="8" s="1"/>
  <c r="C90" i="8" s="1"/>
  <c r="C86" i="8" s="1"/>
  <c r="E74" i="8"/>
  <c r="E71" i="8" s="1"/>
  <c r="D74" i="8"/>
  <c r="C74" i="8"/>
  <c r="E67" i="8"/>
  <c r="D67" i="8"/>
  <c r="C67" i="8"/>
  <c r="E38" i="8"/>
  <c r="E57" i="8" s="1"/>
  <c r="E62" i="8" s="1"/>
  <c r="D38" i="8"/>
  <c r="D53" i="8"/>
  <c r="C38" i="8"/>
  <c r="C57" i="8"/>
  <c r="C62" i="8" s="1"/>
  <c r="E33" i="8"/>
  <c r="E34" i="8" s="1"/>
  <c r="D33" i="8"/>
  <c r="D34" i="8" s="1"/>
  <c r="E26" i="8"/>
  <c r="D26" i="8"/>
  <c r="C26" i="8"/>
  <c r="E13" i="8"/>
  <c r="E25" i="8"/>
  <c r="D13" i="8"/>
  <c r="D25" i="8" s="1"/>
  <c r="D27" i="8" s="1"/>
  <c r="C13" i="8"/>
  <c r="C25" i="8" s="1"/>
  <c r="E186" i="7"/>
  <c r="F186" i="7" s="1"/>
  <c r="D183" i="7"/>
  <c r="C183" i="7"/>
  <c r="E182" i="7"/>
  <c r="F182" i="7" s="1"/>
  <c r="E181" i="7"/>
  <c r="F181" i="7" s="1"/>
  <c r="F180" i="7"/>
  <c r="E180" i="7"/>
  <c r="E179" i="7"/>
  <c r="F179" i="7" s="1"/>
  <c r="E178" i="7"/>
  <c r="F178" i="7" s="1"/>
  <c r="F177" i="7"/>
  <c r="E177" i="7"/>
  <c r="F176" i="7"/>
  <c r="E176" i="7"/>
  <c r="F175" i="7"/>
  <c r="E175" i="7"/>
  <c r="F174" i="7"/>
  <c r="E174" i="7"/>
  <c r="E173" i="7"/>
  <c r="F173" i="7" s="1"/>
  <c r="F172" i="7"/>
  <c r="E172" i="7"/>
  <c r="E171" i="7"/>
  <c r="F171" i="7" s="1"/>
  <c r="E170" i="7"/>
  <c r="F170" i="7" s="1"/>
  <c r="D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E158" i="7"/>
  <c r="F158" i="7" s="1"/>
  <c r="E157" i="7"/>
  <c r="F157" i="7" s="1"/>
  <c r="F156" i="7"/>
  <c r="E156" i="7"/>
  <c r="E155" i="7"/>
  <c r="F155" i="7" s="1"/>
  <c r="F154" i="7"/>
  <c r="E154" i="7"/>
  <c r="F153" i="7"/>
  <c r="E153" i="7"/>
  <c r="F152" i="7"/>
  <c r="E152" i="7"/>
  <c r="E151" i="7"/>
  <c r="F151" i="7" s="1"/>
  <c r="F150" i="7"/>
  <c r="E150" i="7"/>
  <c r="F149" i="7"/>
  <c r="E149" i="7"/>
  <c r="F148" i="7"/>
  <c r="E148" i="7"/>
  <c r="F147" i="7"/>
  <c r="E147" i="7"/>
  <c r="F146" i="7"/>
  <c r="E146" i="7"/>
  <c r="E145" i="7"/>
  <c r="F145" i="7" s="1"/>
  <c r="E144" i="7"/>
  <c r="F144" i="7" s="1"/>
  <c r="F143" i="7"/>
  <c r="E143" i="7"/>
  <c r="F142" i="7"/>
  <c r="E142" i="7"/>
  <c r="E141" i="7"/>
  <c r="F141" i="7" s="1"/>
  <c r="E140" i="7"/>
  <c r="F140" i="7" s="1"/>
  <c r="E139" i="7"/>
  <c r="F139" i="7" s="1"/>
  <c r="E138" i="7"/>
  <c r="F138" i="7" s="1"/>
  <c r="F137" i="7"/>
  <c r="E137" i="7"/>
  <c r="F136" i="7"/>
  <c r="E136" i="7"/>
  <c r="E135" i="7"/>
  <c r="F135" i="7" s="1"/>
  <c r="F134" i="7"/>
  <c r="E134" i="7"/>
  <c r="F133" i="7"/>
  <c r="E133" i="7"/>
  <c r="D130" i="7"/>
  <c r="C130" i="7"/>
  <c r="F129" i="7"/>
  <c r="E129" i="7"/>
  <c r="F128" i="7"/>
  <c r="E128" i="7"/>
  <c r="F127" i="7"/>
  <c r="E127" i="7"/>
  <c r="E126" i="7"/>
  <c r="F126" i="7" s="1"/>
  <c r="F125" i="7"/>
  <c r="E125" i="7"/>
  <c r="F124" i="7"/>
  <c r="E124" i="7"/>
  <c r="D121" i="7"/>
  <c r="C121" i="7"/>
  <c r="E120" i="7"/>
  <c r="F120" i="7" s="1"/>
  <c r="F119" i="7"/>
  <c r="E119" i="7"/>
  <c r="E118" i="7"/>
  <c r="F118" i="7" s="1"/>
  <c r="E117" i="7"/>
  <c r="F117" i="7" s="1"/>
  <c r="F116" i="7"/>
  <c r="E116" i="7"/>
  <c r="E115" i="7"/>
  <c r="F115" i="7" s="1"/>
  <c r="F114" i="7"/>
  <c r="E114" i="7"/>
  <c r="E113" i="7"/>
  <c r="F113" i="7" s="1"/>
  <c r="E112" i="7"/>
  <c r="F112" i="7" s="1"/>
  <c r="E111" i="7"/>
  <c r="F111" i="7" s="1"/>
  <c r="F110" i="7"/>
  <c r="E110" i="7"/>
  <c r="E109" i="7"/>
  <c r="F109" i="7" s="1"/>
  <c r="F108" i="7"/>
  <c r="E108" i="7"/>
  <c r="F107" i="7"/>
  <c r="E107" i="7"/>
  <c r="E106" i="7"/>
  <c r="F106" i="7" s="1"/>
  <c r="E105" i="7"/>
  <c r="F105" i="7" s="1"/>
  <c r="E104" i="7"/>
  <c r="F104" i="7" s="1"/>
  <c r="E103" i="7"/>
  <c r="F103" i="7" s="1"/>
  <c r="E93" i="7"/>
  <c r="F93" i="7" s="1"/>
  <c r="D90" i="7"/>
  <c r="E90" i="7" s="1"/>
  <c r="C90" i="7"/>
  <c r="C95" i="7" s="1"/>
  <c r="E89" i="7"/>
  <c r="F89" i="7" s="1"/>
  <c r="F88" i="7"/>
  <c r="E88" i="7"/>
  <c r="F87" i="7"/>
  <c r="E87" i="7"/>
  <c r="E86" i="7"/>
  <c r="F86" i="7" s="1"/>
  <c r="F85" i="7"/>
  <c r="E85" i="7"/>
  <c r="E84" i="7"/>
  <c r="F84" i="7" s="1"/>
  <c r="E83" i="7"/>
  <c r="F83" i="7" s="1"/>
  <c r="E82" i="7"/>
  <c r="F82" i="7" s="1"/>
  <c r="E81" i="7"/>
  <c r="F81" i="7" s="1"/>
  <c r="E80" i="7"/>
  <c r="F80" i="7" s="1"/>
  <c r="F79" i="7"/>
  <c r="E79" i="7"/>
  <c r="E78" i="7"/>
  <c r="F78" i="7" s="1"/>
  <c r="E77" i="7"/>
  <c r="F77" i="7" s="1"/>
  <c r="F76" i="7"/>
  <c r="E76" i="7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E59" i="7"/>
  <c r="C59" i="7"/>
  <c r="E58" i="7"/>
  <c r="F58" i="7" s="1"/>
  <c r="E57" i="7"/>
  <c r="F57" i="7" s="1"/>
  <c r="E56" i="7"/>
  <c r="F56" i="7" s="1"/>
  <c r="F55" i="7"/>
  <c r="E55" i="7"/>
  <c r="E54" i="7"/>
  <c r="F54" i="7" s="1"/>
  <c r="E53" i="7"/>
  <c r="F53" i="7" s="1"/>
  <c r="E50" i="7"/>
  <c r="F50" i="7" s="1"/>
  <c r="E47" i="7"/>
  <c r="F47" i="7" s="1"/>
  <c r="F44" i="7"/>
  <c r="E44" i="7"/>
  <c r="D41" i="7"/>
  <c r="C41" i="7"/>
  <c r="F40" i="7"/>
  <c r="E40" i="7"/>
  <c r="E39" i="7"/>
  <c r="F39" i="7" s="1"/>
  <c r="E38" i="7"/>
  <c r="F38" i="7" s="1"/>
  <c r="D35" i="7"/>
  <c r="E35" i="7" s="1"/>
  <c r="C35" i="7"/>
  <c r="E34" i="7"/>
  <c r="F34" i="7" s="1"/>
  <c r="E33" i="7"/>
  <c r="F33" i="7" s="1"/>
  <c r="D30" i="7"/>
  <c r="E30" i="7" s="1"/>
  <c r="C30" i="7"/>
  <c r="E29" i="7"/>
  <c r="F29" i="7" s="1"/>
  <c r="E28" i="7"/>
  <c r="F28" i="7" s="1"/>
  <c r="E27" i="7"/>
  <c r="F27" i="7" s="1"/>
  <c r="D24" i="7"/>
  <c r="C24" i="7"/>
  <c r="E23" i="7"/>
  <c r="F23" i="7" s="1"/>
  <c r="E22" i="7"/>
  <c r="F22" i="7" s="1"/>
  <c r="E21" i="7"/>
  <c r="F21" i="7" s="1"/>
  <c r="D18" i="7"/>
  <c r="C18" i="7"/>
  <c r="E17" i="7"/>
  <c r="F17" i="7" s="1"/>
  <c r="E16" i="7"/>
  <c r="F16" i="7" s="1"/>
  <c r="E15" i="7"/>
  <c r="F15" i="7" s="1"/>
  <c r="D179" i="6"/>
  <c r="E179" i="6" s="1"/>
  <c r="F179" i="6" s="1"/>
  <c r="C179" i="6"/>
  <c r="F178" i="6"/>
  <c r="E178" i="6"/>
  <c r="F177" i="6"/>
  <c r="E177" i="6"/>
  <c r="E176" i="6"/>
  <c r="F176" i="6" s="1"/>
  <c r="E175" i="6"/>
  <c r="F175" i="6" s="1"/>
  <c r="F174" i="6"/>
  <c r="E174" i="6"/>
  <c r="E173" i="6"/>
  <c r="F173" i="6" s="1"/>
  <c r="F172" i="6"/>
  <c r="E172" i="6"/>
  <c r="F171" i="6"/>
  <c r="E171" i="6"/>
  <c r="E170" i="6"/>
  <c r="F170" i="6" s="1"/>
  <c r="E169" i="6"/>
  <c r="F169" i="6" s="1"/>
  <c r="E168" i="6"/>
  <c r="F168" i="6" s="1"/>
  <c r="D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F155" i="6"/>
  <c r="E155" i="6"/>
  <c r="D153" i="6"/>
  <c r="C153" i="6"/>
  <c r="F152" i="6"/>
  <c r="E152" i="6"/>
  <c r="F151" i="6"/>
  <c r="E151" i="6"/>
  <c r="F150" i="6"/>
  <c r="E150" i="6"/>
  <c r="E149" i="6"/>
  <c r="F149" i="6" s="1"/>
  <c r="F148" i="6"/>
  <c r="E148" i="6"/>
  <c r="F147" i="6"/>
  <c r="E147" i="6"/>
  <c r="E146" i="6"/>
  <c r="F146" i="6" s="1"/>
  <c r="F145" i="6"/>
  <c r="E145" i="6"/>
  <c r="F144" i="6"/>
  <c r="E144" i="6"/>
  <c r="F143" i="6"/>
  <c r="E143" i="6"/>
  <c r="E142" i="6"/>
  <c r="F142" i="6" s="1"/>
  <c r="D137" i="6"/>
  <c r="E137" i="6"/>
  <c r="F137" i="6" s="1"/>
  <c r="C137" i="6"/>
  <c r="F136" i="6"/>
  <c r="E136" i="6"/>
  <c r="F135" i="6"/>
  <c r="E135" i="6"/>
  <c r="E134" i="6"/>
  <c r="F134" i="6" s="1"/>
  <c r="F133" i="6"/>
  <c r="E133" i="6"/>
  <c r="E132" i="6"/>
  <c r="F132" i="6" s="1"/>
  <c r="E131" i="6"/>
  <c r="F131" i="6" s="1"/>
  <c r="E130" i="6"/>
  <c r="F130" i="6" s="1"/>
  <c r="F129" i="6"/>
  <c r="E129" i="6"/>
  <c r="F128" i="6"/>
  <c r="E128" i="6"/>
  <c r="F127" i="6"/>
  <c r="E127" i="6"/>
  <c r="E126" i="6"/>
  <c r="F126" i="6" s="1"/>
  <c r="D124" i="6"/>
  <c r="E124" i="6" s="1"/>
  <c r="F124" i="6" s="1"/>
  <c r="C124" i="6"/>
  <c r="F123" i="6"/>
  <c r="E123" i="6"/>
  <c r="F122" i="6"/>
  <c r="E122" i="6"/>
  <c r="E121" i="6"/>
  <c r="F121" i="6" s="1"/>
  <c r="F120" i="6"/>
  <c r="E120" i="6"/>
  <c r="F119" i="6"/>
  <c r="E119" i="6"/>
  <c r="E118" i="6"/>
  <c r="F118" i="6" s="1"/>
  <c r="F117" i="6"/>
  <c r="E117" i="6"/>
  <c r="F116" i="6"/>
  <c r="E116" i="6"/>
  <c r="E115" i="6"/>
  <c r="F115" i="6" s="1"/>
  <c r="E114" i="6"/>
  <c r="F114" i="6" s="1"/>
  <c r="E113" i="6"/>
  <c r="F113" i="6" s="1"/>
  <c r="D111" i="6"/>
  <c r="C111" i="6"/>
  <c r="F110" i="6"/>
  <c r="E110" i="6"/>
  <c r="F109" i="6"/>
  <c r="E109" i="6"/>
  <c r="F108" i="6"/>
  <c r="E108" i="6"/>
  <c r="E107" i="6"/>
  <c r="F107" i="6" s="1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F100" i="6"/>
  <c r="E100" i="6"/>
  <c r="D94" i="6"/>
  <c r="C94" i="6"/>
  <c r="E94" i="6" s="1"/>
  <c r="F93" i="6"/>
  <c r="D93" i="6"/>
  <c r="C93" i="6"/>
  <c r="E93" i="6" s="1"/>
  <c r="D92" i="6"/>
  <c r="C92" i="6"/>
  <c r="D91" i="6"/>
  <c r="C91" i="6"/>
  <c r="D90" i="6"/>
  <c r="C90" i="6"/>
  <c r="D89" i="6"/>
  <c r="C89" i="6"/>
  <c r="D88" i="6"/>
  <c r="E88" i="6" s="1"/>
  <c r="C88" i="6"/>
  <c r="F88" i="6" s="1"/>
  <c r="F87" i="6"/>
  <c r="D87" i="6"/>
  <c r="E87" i="6" s="1"/>
  <c r="C87" i="6"/>
  <c r="D86" i="6"/>
  <c r="C86" i="6"/>
  <c r="D85" i="6"/>
  <c r="C85" i="6"/>
  <c r="D84" i="6"/>
  <c r="C84" i="6"/>
  <c r="D81" i="6"/>
  <c r="C81" i="6"/>
  <c r="F80" i="6"/>
  <c r="E80" i="6"/>
  <c r="F79" i="6"/>
  <c r="E79" i="6"/>
  <c r="E78" i="6"/>
  <c r="F78" i="6" s="1"/>
  <c r="E77" i="6"/>
  <c r="F77" i="6" s="1"/>
  <c r="E76" i="6"/>
  <c r="F76" i="6" s="1"/>
  <c r="E75" i="6"/>
  <c r="F75" i="6" s="1"/>
  <c r="E74" i="6"/>
  <c r="F74" i="6" s="1"/>
  <c r="F73" i="6"/>
  <c r="E73" i="6"/>
  <c r="E72" i="6"/>
  <c r="F72" i="6" s="1"/>
  <c r="E71" i="6"/>
  <c r="F71" i="6" s="1"/>
  <c r="F70" i="6"/>
  <c r="E70" i="6"/>
  <c r="D68" i="6"/>
  <c r="C68" i="6"/>
  <c r="F67" i="6"/>
  <c r="E67" i="6"/>
  <c r="F66" i="6"/>
  <c r="E66" i="6"/>
  <c r="E65" i="6"/>
  <c r="F65" i="6" s="1"/>
  <c r="E64" i="6"/>
  <c r="F64" i="6" s="1"/>
  <c r="E63" i="6"/>
  <c r="F63" i="6" s="1"/>
  <c r="E62" i="6"/>
  <c r="F62" i="6" s="1"/>
  <c r="F61" i="6"/>
  <c r="E61" i="6"/>
  <c r="F60" i="6"/>
  <c r="E60" i="6"/>
  <c r="E59" i="6"/>
  <c r="F59" i="6" s="1"/>
  <c r="F58" i="6"/>
  <c r="E58" i="6"/>
  <c r="E57" i="6"/>
  <c r="F57" i="6" s="1"/>
  <c r="D51" i="6"/>
  <c r="C51" i="6"/>
  <c r="E51" i="6" s="1"/>
  <c r="D50" i="6"/>
  <c r="E50" i="6" s="1"/>
  <c r="C50" i="6"/>
  <c r="F50" i="6" s="1"/>
  <c r="D49" i="6"/>
  <c r="E49" i="6" s="1"/>
  <c r="C49" i="6"/>
  <c r="D48" i="6"/>
  <c r="E48" i="6" s="1"/>
  <c r="F48" i="6" s="1"/>
  <c r="C48" i="6"/>
  <c r="D47" i="6"/>
  <c r="E47" i="6" s="1"/>
  <c r="C47" i="6"/>
  <c r="D46" i="6"/>
  <c r="E46" i="6" s="1"/>
  <c r="F46" i="6"/>
  <c r="C46" i="6"/>
  <c r="D45" i="6"/>
  <c r="E45" i="6" s="1"/>
  <c r="C45" i="6"/>
  <c r="D44" i="6"/>
  <c r="E44" i="6" s="1"/>
  <c r="C44" i="6"/>
  <c r="F44" i="6" s="1"/>
  <c r="D43" i="6"/>
  <c r="E43" i="6" s="1"/>
  <c r="C43" i="6"/>
  <c r="D42" i="6"/>
  <c r="E42" i="6" s="1"/>
  <c r="F42" i="6" s="1"/>
  <c r="C42" i="6"/>
  <c r="D41" i="6"/>
  <c r="C41" i="6"/>
  <c r="C52" i="6"/>
  <c r="D38" i="6"/>
  <c r="E38" i="6" s="1"/>
  <c r="C38" i="6"/>
  <c r="F37" i="6"/>
  <c r="E37" i="6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E25" i="6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E48" i="5" s="1"/>
  <c r="C48" i="5"/>
  <c r="F47" i="5"/>
  <c r="E47" i="5"/>
  <c r="F46" i="5"/>
  <c r="E46" i="5"/>
  <c r="D41" i="5"/>
  <c r="E41" i="5" s="1"/>
  <c r="C41" i="5"/>
  <c r="F41" i="5" s="1"/>
  <c r="E40" i="5"/>
  <c r="F40" i="5" s="1"/>
  <c r="F39" i="5"/>
  <c r="E39" i="5"/>
  <c r="F38" i="5"/>
  <c r="E38" i="5"/>
  <c r="D33" i="5"/>
  <c r="E33" i="5" s="1"/>
  <c r="F33" i="5"/>
  <c r="C33" i="5"/>
  <c r="E32" i="5"/>
  <c r="F32" i="5" s="1"/>
  <c r="E31" i="5"/>
  <c r="F31" i="5" s="1"/>
  <c r="F30" i="5"/>
  <c r="E30" i="5"/>
  <c r="F29" i="5"/>
  <c r="E29" i="5"/>
  <c r="E28" i="5"/>
  <c r="F28" i="5" s="1"/>
  <c r="E27" i="5"/>
  <c r="F27" i="5" s="1"/>
  <c r="E26" i="5"/>
  <c r="F26" i="5" s="1"/>
  <c r="F25" i="5"/>
  <c r="E25" i="5"/>
  <c r="F24" i="5"/>
  <c r="E24" i="5"/>
  <c r="E20" i="5"/>
  <c r="F20" i="5" s="1"/>
  <c r="F19" i="5"/>
  <c r="E19" i="5"/>
  <c r="F17" i="5"/>
  <c r="E17" i="5"/>
  <c r="D16" i="5"/>
  <c r="D18" i="5" s="1"/>
  <c r="C16" i="5"/>
  <c r="C18" i="5" s="1"/>
  <c r="E15" i="5"/>
  <c r="F15" i="5" s="1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D65" i="4"/>
  <c r="E65" i="4" s="1"/>
  <c r="F65" i="4" s="1"/>
  <c r="C61" i="4"/>
  <c r="C65" i="4" s="1"/>
  <c r="E60" i="4"/>
  <c r="F60" i="4" s="1"/>
  <c r="E59" i="4"/>
  <c r="F59" i="4" s="1"/>
  <c r="D56" i="4"/>
  <c r="C56" i="4"/>
  <c r="C75" i="4"/>
  <c r="E55" i="4"/>
  <c r="F55" i="4" s="1"/>
  <c r="F54" i="4"/>
  <c r="E54" i="4"/>
  <c r="E53" i="4"/>
  <c r="F53" i="4" s="1"/>
  <c r="F52" i="4"/>
  <c r="E52" i="4"/>
  <c r="F51" i="4"/>
  <c r="E51" i="4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D41" i="4"/>
  <c r="C38" i="4"/>
  <c r="C41" i="4" s="1"/>
  <c r="E37" i="4"/>
  <c r="F37" i="4" s="1"/>
  <c r="E36" i="4"/>
  <c r="F36" i="4" s="1"/>
  <c r="E33" i="4"/>
  <c r="F33" i="4" s="1"/>
  <c r="E32" i="4"/>
  <c r="F32" i="4" s="1"/>
  <c r="E31" i="4"/>
  <c r="F31" i="4" s="1"/>
  <c r="D29" i="4"/>
  <c r="C29" i="4"/>
  <c r="F29" i="4" s="1"/>
  <c r="F28" i="4"/>
  <c r="E28" i="4"/>
  <c r="F27" i="4"/>
  <c r="E27" i="4"/>
  <c r="F26" i="4"/>
  <c r="E26" i="4"/>
  <c r="F25" i="4"/>
  <c r="E25" i="4"/>
  <c r="D22" i="4"/>
  <c r="D43" i="4" s="1"/>
  <c r="C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E14" i="4"/>
  <c r="F14" i="4" s="1"/>
  <c r="F13" i="4"/>
  <c r="E13" i="4"/>
  <c r="D53" i="22"/>
  <c r="D45" i="22"/>
  <c r="D39" i="22"/>
  <c r="E54" i="22"/>
  <c r="E46" i="22"/>
  <c r="E40" i="22"/>
  <c r="D34" i="22"/>
  <c r="D23" i="22"/>
  <c r="C46" i="22"/>
  <c r="D29" i="22"/>
  <c r="E30" i="22"/>
  <c r="D35" i="22"/>
  <c r="E36" i="22"/>
  <c r="D101" i="22"/>
  <c r="D103" i="22" s="1"/>
  <c r="C22" i="22"/>
  <c r="E22" i="22"/>
  <c r="E19" i="21"/>
  <c r="F19" i="21" s="1"/>
  <c r="E21" i="21"/>
  <c r="F21" i="21" s="1"/>
  <c r="D41" i="20"/>
  <c r="E16" i="20"/>
  <c r="F16" i="20" s="1"/>
  <c r="E19" i="20"/>
  <c r="F19" i="20" s="1"/>
  <c r="C20" i="20"/>
  <c r="E25" i="20"/>
  <c r="F25" i="20" s="1"/>
  <c r="C39" i="20"/>
  <c r="C40" i="20"/>
  <c r="C41" i="20" s="1"/>
  <c r="E44" i="20"/>
  <c r="F44" i="20" s="1"/>
  <c r="E45" i="20"/>
  <c r="F45" i="20" s="1"/>
  <c r="D280" i="17"/>
  <c r="D277" i="17"/>
  <c r="C49" i="19"/>
  <c r="D283" i="18"/>
  <c r="E283" i="18" s="1"/>
  <c r="D22" i="18"/>
  <c r="E21" i="18"/>
  <c r="C33" i="18"/>
  <c r="C295" i="18" s="1"/>
  <c r="E32" i="18"/>
  <c r="E36" i="18"/>
  <c r="D43" i="18"/>
  <c r="E54" i="18"/>
  <c r="C289" i="18"/>
  <c r="E289" i="18" s="1"/>
  <c r="C71" i="18"/>
  <c r="C65" i="18"/>
  <c r="C66" i="18" s="1"/>
  <c r="E60" i="18"/>
  <c r="E70" i="18"/>
  <c r="C175" i="18"/>
  <c r="C144" i="18"/>
  <c r="E139" i="18"/>
  <c r="C163" i="18"/>
  <c r="C189" i="18"/>
  <c r="C211" i="18"/>
  <c r="C235" i="18"/>
  <c r="C234" i="18"/>
  <c r="C241" i="18"/>
  <c r="E240" i="18"/>
  <c r="C283" i="18"/>
  <c r="C284" i="18"/>
  <c r="D66" i="18"/>
  <c r="E66" i="18" s="1"/>
  <c r="D145" i="18"/>
  <c r="E144" i="18"/>
  <c r="D156" i="18"/>
  <c r="E151" i="18"/>
  <c r="D244" i="18"/>
  <c r="E244" i="18" s="1"/>
  <c r="D199" i="17"/>
  <c r="D269" i="17"/>
  <c r="D272" i="17" s="1"/>
  <c r="D274" i="17"/>
  <c r="D278" i="17"/>
  <c r="D288" i="17" s="1"/>
  <c r="D283" i="17"/>
  <c r="D286" i="17" s="1"/>
  <c r="D290" i="17"/>
  <c r="D261" i="18"/>
  <c r="E261" i="18" s="1"/>
  <c r="D189" i="18"/>
  <c r="E188" i="18"/>
  <c r="E195" i="18"/>
  <c r="D210" i="18"/>
  <c r="E205" i="18"/>
  <c r="E218" i="18"/>
  <c r="D217" i="18"/>
  <c r="E221" i="18"/>
  <c r="E231" i="18"/>
  <c r="D242" i="18"/>
  <c r="E242" i="18" s="1"/>
  <c r="E251" i="18"/>
  <c r="E314" i="18"/>
  <c r="D326" i="18"/>
  <c r="E326" i="18" s="1"/>
  <c r="C222" i="18"/>
  <c r="C246" i="18" s="1"/>
  <c r="E23" i="17"/>
  <c r="F23" i="17" s="1"/>
  <c r="E29" i="17"/>
  <c r="F29" i="17" s="1"/>
  <c r="C32" i="17"/>
  <c r="E35" i="17"/>
  <c r="F35" i="17" s="1"/>
  <c r="C37" i="17"/>
  <c r="E44" i="17"/>
  <c r="F44" i="17" s="1"/>
  <c r="D160" i="17"/>
  <c r="E59" i="17"/>
  <c r="F59" i="17" s="1"/>
  <c r="E67" i="17"/>
  <c r="F67" i="17" s="1"/>
  <c r="E17" i="17"/>
  <c r="F17" i="17" s="1"/>
  <c r="C21" i="17"/>
  <c r="E24" i="17"/>
  <c r="F24" i="17" s="1"/>
  <c r="E30" i="17"/>
  <c r="F30" i="17" s="1"/>
  <c r="E31" i="17"/>
  <c r="F31" i="17" s="1"/>
  <c r="E36" i="17"/>
  <c r="F36" i="17" s="1"/>
  <c r="E52" i="17"/>
  <c r="F52" i="17" s="1"/>
  <c r="E58" i="17"/>
  <c r="F58" i="17" s="1"/>
  <c r="D174" i="17"/>
  <c r="C60" i="17"/>
  <c r="C68" i="17"/>
  <c r="E68" i="17" s="1"/>
  <c r="E66" i="17"/>
  <c r="F66" i="17"/>
  <c r="E76" i="17"/>
  <c r="F76" i="17" s="1"/>
  <c r="D89" i="17"/>
  <c r="E89" i="17"/>
  <c r="F89" i="17" s="1"/>
  <c r="D102" i="17"/>
  <c r="D111" i="17"/>
  <c r="D124" i="17"/>
  <c r="D137" i="17"/>
  <c r="E145" i="17"/>
  <c r="F145" i="17" s="1"/>
  <c r="E158" i="17"/>
  <c r="E165" i="17"/>
  <c r="E171" i="17"/>
  <c r="E180" i="17"/>
  <c r="D263" i="17"/>
  <c r="E263" i="17" s="1"/>
  <c r="C278" i="17"/>
  <c r="E189" i="17"/>
  <c r="F189" i="17" s="1"/>
  <c r="C192" i="17"/>
  <c r="C193" i="17"/>
  <c r="C282" i="17" s="1"/>
  <c r="C285" i="17"/>
  <c r="C269" i="17"/>
  <c r="E204" i="17"/>
  <c r="F204" i="17" s="1"/>
  <c r="E226" i="17"/>
  <c r="F226" i="17" s="1"/>
  <c r="E229" i="17"/>
  <c r="F229" i="17"/>
  <c r="E237" i="17"/>
  <c r="F237" i="17" s="1"/>
  <c r="C239" i="17"/>
  <c r="E239" i="17" s="1"/>
  <c r="F239" i="17" s="1"/>
  <c r="C306" i="17"/>
  <c r="E144" i="17"/>
  <c r="F144" i="17" s="1"/>
  <c r="C146" i="17"/>
  <c r="E155" i="17"/>
  <c r="C159" i="17"/>
  <c r="E164" i="17"/>
  <c r="E170" i="17"/>
  <c r="C172" i="17"/>
  <c r="E179" i="17"/>
  <c r="C181" i="17"/>
  <c r="F181" i="17" s="1"/>
  <c r="C277" i="17"/>
  <c r="E188" i="17"/>
  <c r="F188" i="17" s="1"/>
  <c r="C190" i="17"/>
  <c r="C280" i="17"/>
  <c r="E280" i="17" s="1"/>
  <c r="E191" i="17"/>
  <c r="F191" i="17" s="1"/>
  <c r="C200" i="17"/>
  <c r="C283" i="17"/>
  <c r="E203" i="17"/>
  <c r="F203" i="17" s="1"/>
  <c r="C205" i="17"/>
  <c r="C206" i="17"/>
  <c r="C214" i="17"/>
  <c r="C215" i="17"/>
  <c r="E223" i="17"/>
  <c r="F223" i="17" s="1"/>
  <c r="C227" i="17"/>
  <c r="E230" i="17"/>
  <c r="F230" i="17"/>
  <c r="E238" i="17"/>
  <c r="F238" i="17" s="1"/>
  <c r="C254" i="17"/>
  <c r="C255" i="17"/>
  <c r="C261" i="17"/>
  <c r="C262" i="17"/>
  <c r="C264" i="17"/>
  <c r="C267" i="17"/>
  <c r="E285" i="17"/>
  <c r="F285" i="17" s="1"/>
  <c r="D190" i="17"/>
  <c r="E190" i="17" s="1"/>
  <c r="F190" i="17" s="1"/>
  <c r="D200" i="17"/>
  <c r="E200" i="17"/>
  <c r="D205" i="17"/>
  <c r="E205" i="17" s="1"/>
  <c r="F205" i="17" s="1"/>
  <c r="D206" i="17"/>
  <c r="E206" i="17" s="1"/>
  <c r="F206" i="17" s="1"/>
  <c r="D214" i="17"/>
  <c r="D215" i="17"/>
  <c r="E307" i="17"/>
  <c r="F307" i="17" s="1"/>
  <c r="E13" i="16"/>
  <c r="F13" i="16" s="1"/>
  <c r="E17" i="16"/>
  <c r="F17" i="16" s="1"/>
  <c r="E21" i="16"/>
  <c r="F21" i="16" s="1"/>
  <c r="F60" i="15"/>
  <c r="E16" i="15"/>
  <c r="F16" i="15" s="1"/>
  <c r="E23" i="15"/>
  <c r="F23" i="15" s="1"/>
  <c r="E30" i="15"/>
  <c r="E37" i="15"/>
  <c r="F37" i="15" s="1"/>
  <c r="E45" i="15"/>
  <c r="F45" i="15" s="1"/>
  <c r="E50" i="15"/>
  <c r="F50" i="15" s="1"/>
  <c r="E55" i="15"/>
  <c r="F55" i="15"/>
  <c r="E60" i="15"/>
  <c r="E65" i="15"/>
  <c r="F65" i="15" s="1"/>
  <c r="E75" i="15"/>
  <c r="F75" i="15" s="1"/>
  <c r="E92" i="15"/>
  <c r="F92" i="15" s="1"/>
  <c r="E100" i="15"/>
  <c r="F100" i="15" s="1"/>
  <c r="E107" i="15"/>
  <c r="F107" i="15" s="1"/>
  <c r="F36" i="14"/>
  <c r="F38" i="14" s="1"/>
  <c r="F40" i="14" s="1"/>
  <c r="I31" i="14"/>
  <c r="H31" i="14"/>
  <c r="I17" i="14"/>
  <c r="C33" i="14"/>
  <c r="E33" i="14"/>
  <c r="E36" i="14" s="1"/>
  <c r="E38" i="14" s="1"/>
  <c r="E40" i="14" s="1"/>
  <c r="G33" i="14"/>
  <c r="H17" i="14"/>
  <c r="E21" i="13"/>
  <c r="C15" i="13"/>
  <c r="C24" i="13" s="1"/>
  <c r="C20" i="13" s="1"/>
  <c r="E15" i="13"/>
  <c r="D17" i="13"/>
  <c r="D28" i="13"/>
  <c r="D70" i="13" s="1"/>
  <c r="D72" i="13" s="1"/>
  <c r="D69" i="13" s="1"/>
  <c r="C48" i="13"/>
  <c r="C42" i="13" s="1"/>
  <c r="E48" i="13"/>
  <c r="E42" i="13" s="1"/>
  <c r="F47" i="12"/>
  <c r="D20" i="12"/>
  <c r="E15" i="12"/>
  <c r="F15" i="12" s="1"/>
  <c r="C17" i="12"/>
  <c r="E32" i="12"/>
  <c r="F32" i="12" s="1"/>
  <c r="E40" i="12"/>
  <c r="F40" i="12" s="1"/>
  <c r="E47" i="12"/>
  <c r="D41" i="11"/>
  <c r="D43" i="11" s="1"/>
  <c r="D65" i="11"/>
  <c r="E65" i="11" s="1"/>
  <c r="F65" i="11" s="1"/>
  <c r="E107" i="10"/>
  <c r="E108" i="10"/>
  <c r="E112" i="10"/>
  <c r="E113" i="10"/>
  <c r="C121" i="10"/>
  <c r="F121" i="10" s="1"/>
  <c r="C122" i="10"/>
  <c r="F122" i="10" s="1"/>
  <c r="F198" i="9"/>
  <c r="F200" i="9"/>
  <c r="F201" i="9"/>
  <c r="E198" i="9"/>
  <c r="E199" i="9"/>
  <c r="F199" i="9" s="1"/>
  <c r="C207" i="9"/>
  <c r="C208" i="9"/>
  <c r="D21" i="8"/>
  <c r="C139" i="8"/>
  <c r="C157" i="8"/>
  <c r="C155" i="8"/>
  <c r="C158" i="8" s="1"/>
  <c r="C153" i="8"/>
  <c r="C156" i="8"/>
  <c r="C154" i="8"/>
  <c r="C152" i="8"/>
  <c r="D15" i="8"/>
  <c r="C43" i="8"/>
  <c r="E43" i="8"/>
  <c r="D49" i="8"/>
  <c r="C53" i="8"/>
  <c r="E53" i="8"/>
  <c r="D57" i="8"/>
  <c r="D62" i="8"/>
  <c r="D77" i="8"/>
  <c r="D71" i="8" s="1"/>
  <c r="C15" i="8"/>
  <c r="E15" i="8"/>
  <c r="D43" i="8"/>
  <c r="C49" i="8"/>
  <c r="E49" i="8"/>
  <c r="C77" i="8"/>
  <c r="C71" i="8"/>
  <c r="E77" i="8"/>
  <c r="F90" i="7"/>
  <c r="E84" i="6"/>
  <c r="F84" i="6"/>
  <c r="D21" i="5"/>
  <c r="F48" i="5"/>
  <c r="E16" i="5"/>
  <c r="F16" i="5" s="1"/>
  <c r="E41" i="4"/>
  <c r="F41" i="4" s="1"/>
  <c r="E38" i="4"/>
  <c r="F38" i="4" s="1"/>
  <c r="E56" i="4"/>
  <c r="F56" i="4" s="1"/>
  <c r="E61" i="4"/>
  <c r="F61" i="4" s="1"/>
  <c r="C53" i="22"/>
  <c r="C45" i="22"/>
  <c r="C39" i="22"/>
  <c r="C35" i="22"/>
  <c r="C29" i="22"/>
  <c r="E56" i="22"/>
  <c r="E48" i="22"/>
  <c r="E38" i="22"/>
  <c r="D30" i="22"/>
  <c r="D56" i="22" s="1"/>
  <c r="D287" i="17"/>
  <c r="D291" i="17" s="1"/>
  <c r="D305" i="17" s="1"/>
  <c r="D279" i="17"/>
  <c r="E53" i="22"/>
  <c r="E45" i="22"/>
  <c r="E39" i="22"/>
  <c r="E35" i="22"/>
  <c r="E29" i="22"/>
  <c r="D55" i="22"/>
  <c r="D47" i="22"/>
  <c r="D37" i="22"/>
  <c r="D300" i="17"/>
  <c r="E20" i="20"/>
  <c r="F20" i="20" s="1"/>
  <c r="E39" i="20"/>
  <c r="F39" i="20" s="1"/>
  <c r="D241" i="18"/>
  <c r="E241" i="18" s="1"/>
  <c r="E217" i="18"/>
  <c r="D234" i="18"/>
  <c r="E234" i="18" s="1"/>
  <c r="E210" i="18"/>
  <c r="D211" i="18"/>
  <c r="D181" i="18" s="1"/>
  <c r="D180" i="18"/>
  <c r="C223" i="18"/>
  <c r="C247" i="18" s="1"/>
  <c r="C76" i="18"/>
  <c r="E269" i="17"/>
  <c r="F269" i="17" s="1"/>
  <c r="D90" i="17"/>
  <c r="D330" i="18"/>
  <c r="E330" i="18" s="1"/>
  <c r="D270" i="17"/>
  <c r="E156" i="18"/>
  <c r="D168" i="18"/>
  <c r="D157" i="18"/>
  <c r="E157" i="18" s="1"/>
  <c r="D295" i="18"/>
  <c r="E295" i="18" s="1"/>
  <c r="C168" i="18"/>
  <c r="C180" i="18"/>
  <c r="C145" i="18"/>
  <c r="C294" i="18"/>
  <c r="D284" i="18"/>
  <c r="E284" i="18" s="1"/>
  <c r="E22" i="18"/>
  <c r="D284" i="17"/>
  <c r="D255" i="17"/>
  <c r="E255" i="17" s="1"/>
  <c r="F255" i="17" s="1"/>
  <c r="E215" i="17"/>
  <c r="F215" i="17" s="1"/>
  <c r="C268" i="17"/>
  <c r="C263" i="17"/>
  <c r="C286" i="17"/>
  <c r="F172" i="17"/>
  <c r="C173" i="17"/>
  <c r="E172" i="17"/>
  <c r="C288" i="17"/>
  <c r="D103" i="17"/>
  <c r="D254" i="17"/>
  <c r="E254" i="17" s="1"/>
  <c r="F254" i="17" s="1"/>
  <c r="D216" i="17"/>
  <c r="D289" i="17"/>
  <c r="E283" i="17"/>
  <c r="F283" i="17" s="1"/>
  <c r="C272" i="17"/>
  <c r="E262" i="17"/>
  <c r="F262" i="17" s="1"/>
  <c r="E227" i="17"/>
  <c r="F227" i="17" s="1"/>
  <c r="F200" i="17"/>
  <c r="C287" i="17"/>
  <c r="C284" i="17"/>
  <c r="C279" i="17"/>
  <c r="E279" i="17" s="1"/>
  <c r="F159" i="17"/>
  <c r="E159" i="17"/>
  <c r="E278" i="17"/>
  <c r="F278" i="17"/>
  <c r="E264" i="17"/>
  <c r="F264" i="17" s="1"/>
  <c r="C194" i="17"/>
  <c r="C196" i="17" s="1"/>
  <c r="D207" i="17"/>
  <c r="D138" i="17"/>
  <c r="F68" i="17"/>
  <c r="E32" i="17"/>
  <c r="F32" i="17" s="1"/>
  <c r="C126" i="17"/>
  <c r="C127" i="17" s="1"/>
  <c r="E37" i="17"/>
  <c r="F37" i="17" s="1"/>
  <c r="G36" i="14"/>
  <c r="G38" i="14" s="1"/>
  <c r="G40" i="14" s="1"/>
  <c r="I33" i="14"/>
  <c r="I36" i="14" s="1"/>
  <c r="I38" i="14" s="1"/>
  <c r="I40" i="14" s="1"/>
  <c r="E24" i="13"/>
  <c r="E20" i="13" s="1"/>
  <c r="E17" i="13"/>
  <c r="E28" i="13" s="1"/>
  <c r="E70" i="13" s="1"/>
  <c r="E72" i="13" s="1"/>
  <c r="E69" i="13" s="1"/>
  <c r="C17" i="13"/>
  <c r="C28" i="13" s="1"/>
  <c r="C20" i="12"/>
  <c r="E17" i="12"/>
  <c r="F17" i="12" s="1"/>
  <c r="D75" i="11"/>
  <c r="E122" i="10"/>
  <c r="E121" i="10"/>
  <c r="E208" i="9"/>
  <c r="F208" i="9" s="1"/>
  <c r="C24" i="8"/>
  <c r="C17" i="8"/>
  <c r="D24" i="8"/>
  <c r="D20" i="8" s="1"/>
  <c r="D17" i="8"/>
  <c r="E24" i="8"/>
  <c r="E17" i="8"/>
  <c r="D35" i="5"/>
  <c r="D43" i="5" s="1"/>
  <c r="D50" i="5" s="1"/>
  <c r="E55" i="22"/>
  <c r="E47" i="22"/>
  <c r="E37" i="22"/>
  <c r="D48" i="22"/>
  <c r="D38" i="22"/>
  <c r="C37" i="22"/>
  <c r="C77" i="18"/>
  <c r="C109" i="18" s="1"/>
  <c r="E211" i="18"/>
  <c r="D235" i="18"/>
  <c r="E235" i="18" s="1"/>
  <c r="D169" i="18"/>
  <c r="E168" i="18"/>
  <c r="C291" i="17"/>
  <c r="C305" i="17" s="1"/>
  <c r="F263" i="17"/>
  <c r="D140" i="17"/>
  <c r="D141" i="17" s="1"/>
  <c r="D139" i="17"/>
  <c r="E284" i="17"/>
  <c r="F284" i="17" s="1"/>
  <c r="E287" i="17"/>
  <c r="F287" i="17"/>
  <c r="E22" i="13"/>
  <c r="E112" i="8"/>
  <c r="E111" i="8" s="1"/>
  <c r="E28" i="8"/>
  <c r="D28" i="8"/>
  <c r="D99" i="8" s="1"/>
  <c r="D101" i="8" s="1"/>
  <c r="D98" i="8" s="1"/>
  <c r="D112" i="8"/>
  <c r="D111" i="8" s="1"/>
  <c r="C112" i="8"/>
  <c r="C111" i="8" s="1"/>
  <c r="C28" i="8"/>
  <c r="C99" i="8" s="1"/>
  <c r="C101" i="8" s="1"/>
  <c r="C127" i="18"/>
  <c r="D22" i="8"/>
  <c r="C98" i="8"/>
  <c r="E99" i="8"/>
  <c r="E101" i="8" s="1"/>
  <c r="E98" i="8"/>
  <c r="C123" i="18" l="1"/>
  <c r="C124" i="18"/>
  <c r="C175" i="17"/>
  <c r="F173" i="17"/>
  <c r="F68" i="6"/>
  <c r="D271" i="17"/>
  <c r="D268" i="17"/>
  <c r="E261" i="17"/>
  <c r="F261" i="17" s="1"/>
  <c r="C110" i="18"/>
  <c r="E124" i="17"/>
  <c r="F124" i="17" s="1"/>
  <c r="D125" i="17"/>
  <c r="E18" i="5"/>
  <c r="F18" i="5"/>
  <c r="C21" i="5"/>
  <c r="C114" i="18"/>
  <c r="C61" i="17"/>
  <c r="E60" i="17"/>
  <c r="F60" i="17" s="1"/>
  <c r="C91" i="17"/>
  <c r="C92" i="17" s="1"/>
  <c r="C161" i="17"/>
  <c r="C162" i="17" s="1"/>
  <c r="C103" i="17"/>
  <c r="C105" i="17" s="1"/>
  <c r="C106" i="17" s="1"/>
  <c r="E102" i="17"/>
  <c r="F102" i="17" s="1"/>
  <c r="F279" i="17"/>
  <c r="C125" i="18"/>
  <c r="E173" i="17"/>
  <c r="E268" i="17"/>
  <c r="F268" i="17" s="1"/>
  <c r="D54" i="22"/>
  <c r="D46" i="22"/>
  <c r="D40" i="22"/>
  <c r="D36" i="22"/>
  <c r="C320" i="18"/>
  <c r="E316" i="18"/>
  <c r="E22" i="4"/>
  <c r="F22" i="4" s="1"/>
  <c r="C43" i="4"/>
  <c r="C95" i="6"/>
  <c r="E40" i="20"/>
  <c r="C113" i="18"/>
  <c r="E288" i="17"/>
  <c r="F288" i="17" s="1"/>
  <c r="C289" i="17"/>
  <c r="E289" i="17" s="1"/>
  <c r="F289" i="17" s="1"/>
  <c r="C36" i="14"/>
  <c r="C38" i="14" s="1"/>
  <c r="C40" i="14" s="1"/>
  <c r="H33" i="14"/>
  <c r="H36" i="14" s="1"/>
  <c r="H38" i="14" s="1"/>
  <c r="H40" i="14" s="1"/>
  <c r="E267" i="17"/>
  <c r="F267" i="17" s="1"/>
  <c r="C270" i="17"/>
  <c r="C271" i="17"/>
  <c r="E33" i="18"/>
  <c r="C111" i="18"/>
  <c r="C116" i="18" s="1"/>
  <c r="C117" i="18" s="1"/>
  <c r="C115" i="18"/>
  <c r="E77" i="17"/>
  <c r="E180" i="18"/>
  <c r="E68" i="6"/>
  <c r="E153" i="6"/>
  <c r="D95" i="7"/>
  <c r="E95" i="7" s="1"/>
  <c r="F166" i="9"/>
  <c r="E71" i="10"/>
  <c r="E84" i="10"/>
  <c r="E38" i="18"/>
  <c r="E73" i="18"/>
  <c r="E166" i="18"/>
  <c r="E176" i="18"/>
  <c r="E287" i="18"/>
  <c r="E305" i="17"/>
  <c r="F305" i="17" s="1"/>
  <c r="E189" i="18"/>
  <c r="F51" i="6"/>
  <c r="E90" i="6"/>
  <c r="E149" i="8"/>
  <c r="E59" i="10"/>
  <c r="E114" i="10"/>
  <c r="E117" i="10"/>
  <c r="F56" i="11"/>
  <c r="D27" i="13"/>
  <c r="D21" i="13" s="1"/>
  <c r="D59" i="13"/>
  <c r="D61" i="13" s="1"/>
  <c r="D57" i="13" s="1"/>
  <c r="E294" i="17"/>
  <c r="F294" i="17" s="1"/>
  <c r="E167" i="18"/>
  <c r="E33" i="22"/>
  <c r="F136" i="17"/>
  <c r="C98" i="22"/>
  <c r="F30" i="7"/>
  <c r="E130" i="7"/>
  <c r="F130" i="7" s="1"/>
  <c r="E88" i="9"/>
  <c r="F115" i="10"/>
  <c r="E136" i="17"/>
  <c r="C43" i="18"/>
  <c r="C259" i="18" s="1"/>
  <c r="C263" i="18" s="1"/>
  <c r="E178" i="18"/>
  <c r="E277" i="18"/>
  <c r="E281" i="18"/>
  <c r="E102" i="22"/>
  <c r="D98" i="22"/>
  <c r="E277" i="17"/>
  <c r="F277" i="17" s="1"/>
  <c r="E73" i="4"/>
  <c r="F73" i="4" s="1"/>
  <c r="E85" i="6"/>
  <c r="F85" i="6" s="1"/>
  <c r="E91" i="6"/>
  <c r="F91" i="6" s="1"/>
  <c r="E111" i="6"/>
  <c r="F111" i="6" s="1"/>
  <c r="E167" i="7"/>
  <c r="F167" i="7" s="1"/>
  <c r="E27" i="8"/>
  <c r="E79" i="8"/>
  <c r="E49" i="9"/>
  <c r="F49" i="9" s="1"/>
  <c r="E153" i="9"/>
  <c r="E204" i="9"/>
  <c r="F204" i="9" s="1"/>
  <c r="D181" i="17"/>
  <c r="E181" i="17" s="1"/>
  <c r="E270" i="17"/>
  <c r="F270" i="17" s="1"/>
  <c r="D75" i="4"/>
  <c r="E75" i="4" s="1"/>
  <c r="F75" i="4" s="1"/>
  <c r="F94" i="6"/>
  <c r="C79" i="8"/>
  <c r="D109" i="8"/>
  <c r="D106" i="8" s="1"/>
  <c r="D175" i="17"/>
  <c r="E245" i="18"/>
  <c r="E81" i="6"/>
  <c r="F81" i="6" s="1"/>
  <c r="E86" i="6"/>
  <c r="F86" i="6" s="1"/>
  <c r="E92" i="6"/>
  <c r="F92" i="6" s="1"/>
  <c r="E166" i="6"/>
  <c r="F166" i="6" s="1"/>
  <c r="E24" i="7"/>
  <c r="E121" i="7"/>
  <c r="E23" i="10"/>
  <c r="E36" i="10"/>
  <c r="F116" i="10"/>
  <c r="D62" i="17"/>
  <c r="F120" i="17"/>
  <c r="D146" i="17"/>
  <c r="E146" i="17" s="1"/>
  <c r="F146" i="17" s="1"/>
  <c r="E296" i="17"/>
  <c r="F296" i="17" s="1"/>
  <c r="E55" i="18"/>
  <c r="E165" i="18"/>
  <c r="E179" i="18"/>
  <c r="C229" i="18"/>
  <c r="E229" i="18" s="1"/>
  <c r="E278" i="18"/>
  <c r="F25" i="6"/>
  <c r="F45" i="6"/>
  <c r="E89" i="6"/>
  <c r="F89" i="6" s="1"/>
  <c r="D166" i="8"/>
  <c r="E76" i="9"/>
  <c r="F76" i="9" s="1"/>
  <c r="E89" i="9"/>
  <c r="F128" i="9"/>
  <c r="E53" i="17"/>
  <c r="F53" i="17" s="1"/>
  <c r="F94" i="17"/>
  <c r="D294" i="18"/>
  <c r="E294" i="18" s="1"/>
  <c r="C252" i="18"/>
  <c r="C254" i="18" s="1"/>
  <c r="E77" i="22"/>
  <c r="D322" i="17"/>
  <c r="C216" i="17"/>
  <c r="C304" i="17"/>
  <c r="F95" i="7"/>
  <c r="C137" i="8"/>
  <c r="C135" i="8"/>
  <c r="C140" i="8"/>
  <c r="C138" i="8"/>
  <c r="E20" i="17"/>
  <c r="F20" i="17" s="1"/>
  <c r="C34" i="12"/>
  <c r="C136" i="8"/>
  <c r="E70" i="15"/>
  <c r="F70" i="15" s="1"/>
  <c r="E18" i="7"/>
  <c r="F18" i="7"/>
  <c r="E183" i="7"/>
  <c r="F183" i="7" s="1"/>
  <c r="C188" i="7"/>
  <c r="E140" i="8"/>
  <c r="E138" i="8"/>
  <c r="E136" i="8"/>
  <c r="E139" i="8"/>
  <c r="C75" i="11"/>
  <c r="E73" i="11"/>
  <c r="F73" i="11" s="1"/>
  <c r="C48" i="17"/>
  <c r="C266" i="17"/>
  <c r="E47" i="17"/>
  <c r="F47" i="17" s="1"/>
  <c r="D208" i="17"/>
  <c r="E103" i="17"/>
  <c r="F103" i="17" s="1"/>
  <c r="D105" i="17"/>
  <c r="D104" i="17"/>
  <c r="E286" i="17"/>
  <c r="F286" i="17"/>
  <c r="C309" i="17"/>
  <c r="E272" i="17"/>
  <c r="F272" i="17" s="1"/>
  <c r="E214" i="17"/>
  <c r="F214" i="17" s="1"/>
  <c r="C181" i="18"/>
  <c r="E181" i="18" s="1"/>
  <c r="C169" i="18"/>
  <c r="E169" i="18" s="1"/>
  <c r="E145" i="18"/>
  <c r="F47" i="6"/>
  <c r="C55" i="22"/>
  <c r="C47" i="22"/>
  <c r="D52" i="6"/>
  <c r="E52" i="6" s="1"/>
  <c r="F52" i="6" s="1"/>
  <c r="E41" i="6"/>
  <c r="F41" i="6" s="1"/>
  <c r="D44" i="18"/>
  <c r="E43" i="18"/>
  <c r="F280" i="17"/>
  <c r="D34" i="12"/>
  <c r="E20" i="12"/>
  <c r="F20" i="12" s="1"/>
  <c r="C70" i="13"/>
  <c r="C72" i="13" s="1"/>
  <c r="C69" i="13" s="1"/>
  <c r="C22" i="13"/>
  <c r="E291" i="17"/>
  <c r="F291" i="17" s="1"/>
  <c r="E75" i="11"/>
  <c r="C281" i="17"/>
  <c r="D21" i="17"/>
  <c r="C126" i="18"/>
  <c r="D188" i="7"/>
  <c r="E188" i="7" s="1"/>
  <c r="F47" i="10"/>
  <c r="E47" i="10"/>
  <c r="E166" i="8"/>
  <c r="E228" i="18"/>
  <c r="D253" i="18"/>
  <c r="E253" i="18" s="1"/>
  <c r="C46" i="20"/>
  <c r="E43" i="20"/>
  <c r="C112" i="18"/>
  <c r="C121" i="18"/>
  <c r="C174" i="17"/>
  <c r="F38" i="6"/>
  <c r="F59" i="7"/>
  <c r="C27" i="8"/>
  <c r="F311" i="17"/>
  <c r="E311" i="17"/>
  <c r="D76" i="18"/>
  <c r="E76" i="18" s="1"/>
  <c r="E71" i="18"/>
  <c r="F43" i="6"/>
  <c r="F49" i="6"/>
  <c r="F90" i="6"/>
  <c r="F153" i="6"/>
  <c r="F121" i="7"/>
  <c r="C290" i="17"/>
  <c r="C274" i="17"/>
  <c r="E198" i="17"/>
  <c r="C199" i="17"/>
  <c r="F198" i="17"/>
  <c r="C239" i="18"/>
  <c r="E239" i="18" s="1"/>
  <c r="E215" i="18"/>
  <c r="E320" i="18"/>
  <c r="C122" i="18"/>
  <c r="C128" i="18" s="1"/>
  <c r="D95" i="6"/>
  <c r="E95" i="6" s="1"/>
  <c r="F95" i="6" s="1"/>
  <c r="E29" i="4"/>
  <c r="F35" i="7"/>
  <c r="E41" i="7"/>
  <c r="F41" i="7" s="1"/>
  <c r="F102" i="9"/>
  <c r="E102" i="9"/>
  <c r="E205" i="9"/>
  <c r="F205" i="9" s="1"/>
  <c r="F110" i="17"/>
  <c r="D192" i="17"/>
  <c r="E123" i="17"/>
  <c r="F123" i="17" s="1"/>
  <c r="D306" i="17"/>
  <c r="E306" i="17" s="1"/>
  <c r="E250" i="17"/>
  <c r="F250" i="17" s="1"/>
  <c r="C36" i="22"/>
  <c r="C40" i="22"/>
  <c r="C30" i="22"/>
  <c r="C54" i="22"/>
  <c r="E65" i="18"/>
  <c r="F72" i="10"/>
  <c r="E72" i="10"/>
  <c r="E164" i="18"/>
  <c r="D149" i="8"/>
  <c r="E60" i="10"/>
  <c r="F117" i="10"/>
  <c r="F119" i="10"/>
  <c r="F38" i="11"/>
  <c r="E174" i="18"/>
  <c r="E282" i="18"/>
  <c r="C37" i="19"/>
  <c r="F95" i="10"/>
  <c r="E95" i="10"/>
  <c r="C33" i="22"/>
  <c r="C34" i="22"/>
  <c r="C102" i="22"/>
  <c r="C103" i="22" s="1"/>
  <c r="C77" i="22"/>
  <c r="E36" i="20"/>
  <c r="F36" i="20" s="1"/>
  <c r="F24" i="7"/>
  <c r="F24" i="10"/>
  <c r="E24" i="10"/>
  <c r="E50" i="13"/>
  <c r="E100" i="17"/>
  <c r="F100" i="17" s="1"/>
  <c r="D77" i="18"/>
  <c r="D243" i="18"/>
  <c r="E219" i="18"/>
  <c r="D222" i="18"/>
  <c r="E279" i="18"/>
  <c r="D303" i="18"/>
  <c r="C38" i="19"/>
  <c r="C127" i="19" s="1"/>
  <c r="C129" i="19" s="1"/>
  <c r="C133" i="19" s="1"/>
  <c r="E50" i="9"/>
  <c r="F50" i="9" s="1"/>
  <c r="E83" i="10"/>
  <c r="E130" i="17"/>
  <c r="F130" i="17" s="1"/>
  <c r="E74" i="18"/>
  <c r="E260" i="18"/>
  <c r="E127" i="9"/>
  <c r="F127" i="9" s="1"/>
  <c r="E203" i="9"/>
  <c r="F203" i="9" s="1"/>
  <c r="E61" i="11"/>
  <c r="F61" i="11" s="1"/>
  <c r="F88" i="17"/>
  <c r="E95" i="17"/>
  <c r="F95" i="17" s="1"/>
  <c r="E232" i="18"/>
  <c r="D163" i="18"/>
  <c r="E163" i="18" s="1"/>
  <c r="E301" i="18"/>
  <c r="D33" i="22"/>
  <c r="E101" i="22"/>
  <c r="E103" i="22" s="1"/>
  <c r="D175" i="18"/>
  <c r="E175" i="18" s="1"/>
  <c r="C111" i="17"/>
  <c r="E69" i="18"/>
  <c r="D77" i="22"/>
  <c r="C41" i="11"/>
  <c r="F109" i="17"/>
  <c r="C137" i="17"/>
  <c r="C22" i="19"/>
  <c r="E21" i="8" l="1"/>
  <c r="E22" i="8"/>
  <c r="E21" i="5"/>
  <c r="F21" i="5" s="1"/>
  <c r="C35" i="5"/>
  <c r="E271" i="17"/>
  <c r="F271" i="17" s="1"/>
  <c r="D273" i="17"/>
  <c r="D304" i="17"/>
  <c r="D20" i="13"/>
  <c r="F175" i="17"/>
  <c r="C176" i="17"/>
  <c r="F176" i="17" s="1"/>
  <c r="D22" i="13"/>
  <c r="C273" i="17"/>
  <c r="F40" i="20"/>
  <c r="E41" i="20"/>
  <c r="F41" i="20" s="1"/>
  <c r="C104" i="17"/>
  <c r="E104" i="17" s="1"/>
  <c r="F104" i="17" s="1"/>
  <c r="E61" i="17"/>
  <c r="F61" i="17" s="1"/>
  <c r="C62" i="17"/>
  <c r="E62" i="17" s="1"/>
  <c r="E20" i="8"/>
  <c r="D176" i="17"/>
  <c r="E176" i="17" s="1"/>
  <c r="E175" i="17"/>
  <c r="E111" i="22"/>
  <c r="E109" i="22"/>
  <c r="E108" i="22"/>
  <c r="E112" i="22"/>
  <c r="E110" i="22"/>
  <c r="E113" i="22"/>
  <c r="D156" i="8"/>
  <c r="D154" i="8"/>
  <c r="D157" i="8"/>
  <c r="D155" i="8"/>
  <c r="D152" i="8"/>
  <c r="D153" i="8"/>
  <c r="C44" i="18"/>
  <c r="E137" i="8"/>
  <c r="E135" i="8"/>
  <c r="E141" i="8" s="1"/>
  <c r="F162" i="17"/>
  <c r="D63" i="17"/>
  <c r="E43" i="4"/>
  <c r="F43" i="4"/>
  <c r="C197" i="17"/>
  <c r="E243" i="18"/>
  <c r="D252" i="18"/>
  <c r="D125" i="18"/>
  <c r="E125" i="18" s="1"/>
  <c r="D124" i="18"/>
  <c r="E124" i="18" s="1"/>
  <c r="D115" i="18"/>
  <c r="E115" i="18" s="1"/>
  <c r="D123" i="18"/>
  <c r="E123" i="18" s="1"/>
  <c r="D122" i="18"/>
  <c r="D121" i="18"/>
  <c r="D126" i="18"/>
  <c r="E126" i="18" s="1"/>
  <c r="D114" i="18"/>
  <c r="E114" i="18" s="1"/>
  <c r="D112" i="18"/>
  <c r="E112" i="18" s="1"/>
  <c r="D109" i="18"/>
  <c r="D113" i="18"/>
  <c r="E113" i="18" s="1"/>
  <c r="D111" i="18"/>
  <c r="E111" i="18" s="1"/>
  <c r="E77" i="18"/>
  <c r="D127" i="18"/>
  <c r="E127" i="18" s="1"/>
  <c r="D110" i="18"/>
  <c r="C138" i="17"/>
  <c r="E137" i="17"/>
  <c r="F137" i="17" s="1"/>
  <c r="C207" i="17"/>
  <c r="E199" i="17"/>
  <c r="F199" i="17" s="1"/>
  <c r="F43" i="20"/>
  <c r="E46" i="20"/>
  <c r="F46" i="20" s="1"/>
  <c r="D309" i="17"/>
  <c r="F216" i="17"/>
  <c r="E216" i="17"/>
  <c r="D193" i="17"/>
  <c r="E192" i="17"/>
  <c r="F192" i="17" s="1"/>
  <c r="F188" i="7"/>
  <c r="C42" i="12"/>
  <c r="C108" i="22"/>
  <c r="C109" i="22"/>
  <c r="C111" i="22"/>
  <c r="C110" i="22"/>
  <c r="E303" i="18"/>
  <c r="D306" i="18"/>
  <c r="C300" i="17"/>
  <c r="F274" i="17"/>
  <c r="E274" i="17"/>
  <c r="C112" i="22"/>
  <c r="D210" i="17"/>
  <c r="D209" i="17"/>
  <c r="C141" i="8"/>
  <c r="E48" i="17"/>
  <c r="F48" i="17" s="1"/>
  <c r="C125" i="17"/>
  <c r="C90" i="17"/>
  <c r="C195" i="17"/>
  <c r="C160" i="17"/>
  <c r="C49" i="17"/>
  <c r="C43" i="11"/>
  <c r="E41" i="11"/>
  <c r="F41" i="11" s="1"/>
  <c r="C38" i="22"/>
  <c r="C56" i="22"/>
  <c r="C113" i="22"/>
  <c r="C48" i="22"/>
  <c r="F75" i="11"/>
  <c r="E174" i="17"/>
  <c r="F174" i="17" s="1"/>
  <c r="E105" i="17"/>
  <c r="F105" i="17" s="1"/>
  <c r="D106" i="17"/>
  <c r="E106" i="17" s="1"/>
  <c r="F106" i="17" s="1"/>
  <c r="C324" i="17"/>
  <c r="C113" i="17"/>
  <c r="D49" i="17"/>
  <c r="D126" i="17"/>
  <c r="D91" i="17"/>
  <c r="E21" i="17"/>
  <c r="F21" i="17" s="1"/>
  <c r="D161" i="17"/>
  <c r="D259" i="18"/>
  <c r="E290" i="17"/>
  <c r="F290" i="17" s="1"/>
  <c r="C265" i="17"/>
  <c r="E34" i="12"/>
  <c r="F34" i="12" s="1"/>
  <c r="D42" i="12"/>
  <c r="C22" i="8"/>
  <c r="C21" i="8"/>
  <c r="C20" i="8"/>
  <c r="D108" i="22"/>
  <c r="D109" i="22"/>
  <c r="D111" i="22"/>
  <c r="D112" i="22"/>
  <c r="D113" i="22"/>
  <c r="D110" i="22"/>
  <c r="D223" i="18"/>
  <c r="D246" i="18"/>
  <c r="E246" i="18" s="1"/>
  <c r="E222" i="18"/>
  <c r="E111" i="17"/>
  <c r="F111" i="17" s="1"/>
  <c r="D135" i="8"/>
  <c r="D140" i="8"/>
  <c r="D138" i="8"/>
  <c r="D136" i="8"/>
  <c r="D139" i="8"/>
  <c r="D137" i="8"/>
  <c r="C129" i="18"/>
  <c r="C131" i="18" s="1"/>
  <c r="E153" i="8"/>
  <c r="E156" i="8"/>
  <c r="E154" i="8"/>
  <c r="E152" i="8"/>
  <c r="E157" i="8"/>
  <c r="E155" i="8"/>
  <c r="D258" i="18"/>
  <c r="D87" i="18"/>
  <c r="D88" i="18"/>
  <c r="D100" i="18"/>
  <c r="E44" i="18"/>
  <c r="D85" i="18"/>
  <c r="D84" i="18"/>
  <c r="D98" i="18"/>
  <c r="D101" i="18"/>
  <c r="D83" i="18"/>
  <c r="D96" i="18"/>
  <c r="D99" i="18"/>
  <c r="D97" i="18"/>
  <c r="D89" i="18"/>
  <c r="D95" i="18"/>
  <c r="D86" i="18"/>
  <c r="E304" i="17"/>
  <c r="F304" i="17" s="1"/>
  <c r="C310" i="17"/>
  <c r="C43" i="5" l="1"/>
  <c r="E35" i="5"/>
  <c r="F35" i="5" s="1"/>
  <c r="E99" i="18"/>
  <c r="D158" i="8"/>
  <c r="C95" i="18"/>
  <c r="C96" i="18"/>
  <c r="C88" i="18"/>
  <c r="E88" i="18" s="1"/>
  <c r="C86" i="18"/>
  <c r="C89" i="18"/>
  <c r="E89" i="18" s="1"/>
  <c r="C84" i="18"/>
  <c r="C90" i="18" s="1"/>
  <c r="C85" i="18"/>
  <c r="E85" i="18" s="1"/>
  <c r="C101" i="18"/>
  <c r="C87" i="18"/>
  <c r="C99" i="18"/>
  <c r="C83" i="18"/>
  <c r="C258" i="18"/>
  <c r="C264" i="18" s="1"/>
  <c r="C266" i="18" s="1"/>
  <c r="C267" i="18" s="1"/>
  <c r="C97" i="18"/>
  <c r="E97" i="18" s="1"/>
  <c r="C98" i="18"/>
  <c r="E98" i="18" s="1"/>
  <c r="C100" i="18"/>
  <c r="E100" i="18" s="1"/>
  <c r="F62" i="17"/>
  <c r="C63" i="17"/>
  <c r="E87" i="18"/>
  <c r="E101" i="18"/>
  <c r="E86" i="18"/>
  <c r="C183" i="17"/>
  <c r="F183" i="17" s="1"/>
  <c r="E273" i="17"/>
  <c r="F273" i="17" s="1"/>
  <c r="C323" i="17"/>
  <c r="F323" i="17" s="1"/>
  <c r="D49" i="12"/>
  <c r="E42" i="12"/>
  <c r="D129" i="18"/>
  <c r="E129" i="18" s="1"/>
  <c r="E121" i="18"/>
  <c r="D141" i="8"/>
  <c r="D92" i="17"/>
  <c r="E91" i="17"/>
  <c r="F91" i="17" s="1"/>
  <c r="E125" i="17"/>
  <c r="F125" i="17" s="1"/>
  <c r="D128" i="18"/>
  <c r="E128" i="18" s="1"/>
  <c r="E122" i="18"/>
  <c r="C312" i="17"/>
  <c r="E83" i="18"/>
  <c r="D50" i="17"/>
  <c r="E49" i="17"/>
  <c r="E43" i="11"/>
  <c r="F43" i="11" s="1"/>
  <c r="E300" i="17"/>
  <c r="F300" i="17" s="1"/>
  <c r="C208" i="17"/>
  <c r="E207" i="17"/>
  <c r="F207" i="17" s="1"/>
  <c r="E258" i="18"/>
  <c r="C50" i="17"/>
  <c r="F49" i="17"/>
  <c r="E306" i="18"/>
  <c r="D310" i="18"/>
  <c r="E310" i="18" s="1"/>
  <c r="E109" i="18"/>
  <c r="D263" i="18"/>
  <c r="E263" i="18" s="1"/>
  <c r="E259" i="18"/>
  <c r="E160" i="17"/>
  <c r="F160" i="17" s="1"/>
  <c r="C49" i="12"/>
  <c r="F42" i="12"/>
  <c r="C140" i="17"/>
  <c r="C139" i="17"/>
  <c r="E138" i="17"/>
  <c r="F138" i="17"/>
  <c r="E126" i="17"/>
  <c r="F126" i="17" s="1"/>
  <c r="D127" i="17"/>
  <c r="D194" i="17"/>
  <c r="E193" i="17"/>
  <c r="F193" i="17" s="1"/>
  <c r="D282" i="17"/>
  <c r="D266" i="17"/>
  <c r="E95" i="18"/>
  <c r="D90" i="18"/>
  <c r="D247" i="18"/>
  <c r="E247" i="18" s="1"/>
  <c r="E223" i="18"/>
  <c r="D162" i="17"/>
  <c r="E161" i="17"/>
  <c r="F161" i="17" s="1"/>
  <c r="D211" i="17"/>
  <c r="D310" i="17"/>
  <c r="E309" i="17"/>
  <c r="F309" i="17" s="1"/>
  <c r="D254" i="18"/>
  <c r="E254" i="18" s="1"/>
  <c r="E252" i="18"/>
  <c r="D102" i="18"/>
  <c r="E96" i="18"/>
  <c r="E158" i="8"/>
  <c r="E90" i="17"/>
  <c r="F90" i="17" s="1"/>
  <c r="D116" i="18"/>
  <c r="E116" i="18" s="1"/>
  <c r="E110" i="18"/>
  <c r="C268" i="18" l="1"/>
  <c r="C269" i="18"/>
  <c r="C271" i="18" s="1"/>
  <c r="E84" i="18"/>
  <c r="C91" i="18"/>
  <c r="C102" i="18"/>
  <c r="E102" i="18" s="1"/>
  <c r="C50" i="5"/>
  <c r="E43" i="5"/>
  <c r="F43" i="5" s="1"/>
  <c r="E63" i="17"/>
  <c r="F63" i="17" s="1"/>
  <c r="C103" i="18"/>
  <c r="E90" i="18"/>
  <c r="E127" i="17"/>
  <c r="F127" i="17" s="1"/>
  <c r="D148" i="17"/>
  <c r="C209" i="17"/>
  <c r="C210" i="17"/>
  <c r="E208" i="17"/>
  <c r="F208" i="17" s="1"/>
  <c r="D91" i="18"/>
  <c r="C70" i="17"/>
  <c r="D113" i="17"/>
  <c r="E113" i="17" s="1"/>
  <c r="F113" i="17" s="1"/>
  <c r="E92" i="17"/>
  <c r="F92" i="17" s="1"/>
  <c r="D324" i="17"/>
  <c r="D103" i="18"/>
  <c r="E103" i="18" s="1"/>
  <c r="D265" i="17"/>
  <c r="E265" i="17" s="1"/>
  <c r="F265" i="17" s="1"/>
  <c r="E266" i="17"/>
  <c r="F266" i="17" s="1"/>
  <c r="E139" i="17"/>
  <c r="F139" i="17" s="1"/>
  <c r="D264" i="18"/>
  <c r="C313" i="17"/>
  <c r="D183" i="17"/>
  <c r="E183" i="17" s="1"/>
  <c r="E162" i="17"/>
  <c r="D323" i="17"/>
  <c r="E323" i="17" s="1"/>
  <c r="C141" i="17"/>
  <c r="E140" i="17"/>
  <c r="F140" i="17" s="1"/>
  <c r="E282" i="17"/>
  <c r="F282" i="17" s="1"/>
  <c r="D281" i="17"/>
  <c r="E281" i="17" s="1"/>
  <c r="F281" i="17" s="1"/>
  <c r="D312" i="17"/>
  <c r="E310" i="17"/>
  <c r="F310" i="17" s="1"/>
  <c r="D117" i="18"/>
  <c r="E194" i="17"/>
  <c r="F194" i="17" s="1"/>
  <c r="D195" i="17"/>
  <c r="E195" i="17" s="1"/>
  <c r="F195" i="17" s="1"/>
  <c r="D196" i="17"/>
  <c r="D70" i="17"/>
  <c r="E70" i="17" s="1"/>
  <c r="E50" i="17"/>
  <c r="F50" i="17" s="1"/>
  <c r="E49" i="12"/>
  <c r="F49" i="12" s="1"/>
  <c r="C105" i="18" l="1"/>
  <c r="E50" i="5"/>
  <c r="F50" i="5"/>
  <c r="E210" i="17"/>
  <c r="F210" i="17" s="1"/>
  <c r="D131" i="18"/>
  <c r="E131" i="18" s="1"/>
  <c r="E117" i="18"/>
  <c r="C314" i="17"/>
  <c r="C251" i="17"/>
  <c r="C256" i="17"/>
  <c r="C315" i="17"/>
  <c r="D325" i="17"/>
  <c r="E324" i="17"/>
  <c r="F324" i="17" s="1"/>
  <c r="E209" i="17"/>
  <c r="F209" i="17" s="1"/>
  <c r="D105" i="18"/>
  <c r="E105" i="18" s="1"/>
  <c r="E91" i="18"/>
  <c r="D266" i="18"/>
  <c r="E264" i="18"/>
  <c r="F70" i="17"/>
  <c r="E312" i="17"/>
  <c r="F312" i="17" s="1"/>
  <c r="D313" i="17"/>
  <c r="D197" i="17"/>
  <c r="E197" i="17" s="1"/>
  <c r="F197" i="17" s="1"/>
  <c r="E196" i="17"/>
  <c r="F196" i="17" s="1"/>
  <c r="C211" i="17"/>
  <c r="C322" i="17"/>
  <c r="C148" i="17"/>
  <c r="E141" i="17"/>
  <c r="F141" i="17" s="1"/>
  <c r="D314" i="17" l="1"/>
  <c r="E313" i="17"/>
  <c r="F313" i="17" s="1"/>
  <c r="D315" i="17"/>
  <c r="E315" i="17" s="1"/>
  <c r="F315" i="17" s="1"/>
  <c r="D251" i="17"/>
  <c r="E251" i="17" s="1"/>
  <c r="F251" i="17" s="1"/>
  <c r="D256" i="17"/>
  <c r="C318" i="17"/>
  <c r="E266" i="18"/>
  <c r="D267" i="18"/>
  <c r="E322" i="17"/>
  <c r="F322" i="17" s="1"/>
  <c r="C325" i="17"/>
  <c r="E325" i="17"/>
  <c r="E211" i="17"/>
  <c r="F211" i="17" s="1"/>
  <c r="C257" i="17"/>
  <c r="E148" i="17"/>
  <c r="F148" i="17" s="1"/>
  <c r="D257" i="17" l="1"/>
  <c r="E257" i="17" s="1"/>
  <c r="E256" i="17"/>
  <c r="F256" i="17" s="1"/>
  <c r="F325" i="17"/>
  <c r="D318" i="17"/>
  <c r="E318" i="17" s="1"/>
  <c r="F318" i="17" s="1"/>
  <c r="E314" i="17"/>
  <c r="F314" i="17" s="1"/>
  <c r="D269" i="18"/>
  <c r="E269" i="18" s="1"/>
  <c r="E267" i="18"/>
  <c r="D268" i="18"/>
  <c r="F257" i="17"/>
  <c r="D271" i="18" l="1"/>
  <c r="E271" i="18" s="1"/>
  <c r="E268" i="18"/>
</calcChain>
</file>

<file path=xl/sharedStrings.xml><?xml version="1.0" encoding="utf-8"?>
<sst xmlns="http://schemas.openxmlformats.org/spreadsheetml/2006/main" count="2333" uniqueCount="1008">
  <si>
    <t>BRIDGEPORT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</si>
  <si>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</si>
  <si>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</si>
  <si>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</si>
  <si>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</si>
  <si>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</si>
  <si>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</si>
  <si>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</si>
  <si>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</si>
  <si>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</si>
  <si>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</si>
  <si>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</si>
  <si>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</si>
  <si>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</si>
  <si>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</si>
  <si>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</si>
  <si>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</si>
  <si>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</si>
  <si>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</si>
  <si>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</si>
  <si>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</si>
  <si>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</si>
  <si>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</si>
  <si>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</si>
  <si>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</si>
  <si>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</si>
  <si>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</si>
  <si>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</si>
  <si>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</si>
  <si>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</si>
  <si>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</si>
  <si>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</si>
  <si>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</si>
  <si>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</si>
  <si>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</si>
  <si>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</si>
  <si>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</si>
  <si>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</si>
  <si>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</si>
  <si>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</si>
  <si>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</si>
  <si>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</si>
  <si>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</si>
  <si>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</si>
  <si>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</si>
  <si>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</si>
  <si>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</si>
  <si>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</si>
  <si>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</si>
  <si>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</si>
  <si>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</si>
  <si>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</si>
  <si>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</si>
  <si>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</si>
  <si>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</si>
  <si>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</si>
  <si>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</si>
  <si>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</si>
  <si>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</si>
  <si>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</si>
  <si>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</si>
  <si>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</si>
  <si>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</si>
  <si>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</si>
  <si>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</si>
  <si>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</si>
  <si>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</si>
  <si>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</si>
  <si>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</si>
  <si>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</si>
  <si>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</si>
  <si>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</si>
  <si>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</si>
  <si>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</si>
  <si>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</si>
  <si>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</si>
  <si>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</si>
  <si>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</si>
  <si>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</si>
  <si>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</si>
  <si>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</si>
  <si>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</si>
  <si>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</si>
  <si>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</si>
  <si>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</si>
  <si>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</si>
  <si>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</si>
  <si>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</si>
  <si>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</si>
  <si>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</si>
  <si>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</si>
  <si>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</si>
  <si>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</si>
  <si>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</si>
  <si>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</si>
  <si>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</si>
  <si>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</si>
  <si>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</si>
  <si>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</si>
  <si>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</si>
  <si>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</si>
  <si>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</si>
  <si>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</si>
  <si>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</si>
  <si>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</si>
  <si>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</si>
  <si>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</si>
  <si>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</si>
  <si>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</si>
  <si>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</si>
  <si>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</si>
  <si>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</si>
  <si>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</si>
  <si>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</si>
  <si>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</si>
  <si>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</si>
  <si>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</si>
  <si>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</si>
  <si>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</si>
  <si>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</si>
  <si>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</si>
  <si>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</si>
  <si>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</si>
  <si>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</si>
  <si>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</si>
  <si>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</si>
  <si>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</si>
  <si>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</si>
  <si>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</si>
  <si>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</si>
  <si>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</si>
  <si>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</si>
  <si>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</si>
  <si>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</si>
  <si>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</si>
  <si>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</si>
  <si>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</si>
  <si>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</si>
  <si>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</si>
  <si>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</si>
  <si>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</si>
  <si>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</si>
  <si>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</si>
  <si>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</si>
  <si>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</si>
  <si>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</si>
  <si>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</si>
  <si>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</si>
  <si>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</si>
  <si>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</si>
  <si>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</si>
  <si>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</si>
  <si>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</si>
  <si>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</si>
  <si>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</si>
  <si>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</si>
  <si>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</si>
  <si>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</si>
  <si>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</si>
  <si>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</si>
  <si>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</si>
  <si>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</si>
  <si>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</si>
  <si>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</si>
  <si>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</si>
  <si>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</si>
  <si>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</si>
  <si>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</si>
  <si>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</si>
  <si>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</si>
  <si>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</si>
  <si>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</si>
  <si>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</si>
  <si>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</si>
  <si>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</si>
  <si>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</si>
  <si>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</si>
  <si>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</si>
  <si>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</si>
  <si>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</si>
  <si>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</si>
  <si>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</si>
  <si>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</si>
  <si>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</si>
  <si>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</si>
  <si>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</si>
  <si>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</si>
  <si>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</si>
  <si>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</si>
  <si>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</si>
  <si>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</si>
  <si>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</si>
  <si>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</si>
  <si>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</si>
  <si>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</si>
  <si>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</si>
  <si>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</si>
  <si>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</si>
  <si>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</si>
  <si>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</si>
  <si>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</si>
  <si>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</si>
  <si>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</si>
  <si>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</si>
  <si>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</si>
  <si>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</si>
  <si>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</si>
  <si>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</si>
  <si>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</si>
  <si>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</si>
  <si>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</si>
  <si>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</si>
  <si>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</si>
  <si>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</si>
  <si>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</si>
  <si>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</si>
  <si>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</si>
  <si>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</si>
  <si>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</si>
  <si>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</si>
  <si>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</si>
  <si>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</si>
  <si>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</si>
  <si>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</si>
  <si>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</si>
  <si>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</si>
  <si>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</si>
  <si>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</si>
  <si>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</si>
  <si>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</si>
  <si>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</si>
  <si>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</si>
  <si>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</si>
  <si>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</si>
  <si>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</si>
  <si>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</si>
  <si>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</si>
  <si>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</si>
  <si>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</si>
  <si>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</si>
  <si>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</si>
  <si>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</si>
  <si>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</si>
  <si>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</si>
  <si>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</si>
  <si>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</si>
  <si>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</si>
  <si>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</si>
  <si>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</si>
  <si>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</si>
  <si>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</si>
  <si>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</si>
  <si>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</si>
  <si>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</si>
  <si>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</si>
  <si>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</si>
  <si>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</si>
  <si>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</si>
  <si>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</si>
  <si>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</si>
  <si>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</si>
  <si>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</si>
  <si>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</si>
  <si>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</si>
  <si>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</si>
  <si>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</si>
  <si>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</si>
  <si>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</si>
  <si>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</si>
  <si>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</si>
  <si>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</si>
  <si>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</si>
  <si>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</si>
  <si>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</si>
  <si>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</si>
  <si>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</si>
  <si>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</si>
  <si>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</si>
  <si>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</si>
  <si>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</si>
  <si>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</si>
  <si>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</si>
  <si>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</si>
  <si>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</si>
  <si>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</si>
  <si>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</si>
  <si>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</si>
  <si>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</si>
  <si>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</si>
  <si>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</si>
  <si>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</si>
  <si>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</si>
  <si>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</si>
  <si>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</si>
  <si>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</si>
  <si>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</si>
  <si>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</si>
  <si>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</si>
  <si>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</si>
  <si>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</si>
  <si>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</si>
  <si>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</si>
  <si>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</si>
  <si>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</si>
  <si>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</si>
  <si>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</si>
  <si>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</si>
  <si>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</si>
  <si>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</si>
  <si>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</si>
  <si>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</si>
  <si>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</si>
  <si>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</si>
  <si>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</si>
  <si>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</si>
  <si>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</si>
  <si>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</si>
  <si>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</si>
  <si>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</si>
  <si>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</si>
  <si>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</si>
  <si>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</si>
  <si>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</si>
  <si>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</si>
  <si>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</si>
  <si>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</si>
  <si>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</si>
  <si>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</si>
  <si>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</si>
  <si>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</si>
  <si>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</si>
  <si>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</si>
  <si>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</si>
  <si>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</si>
  <si>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</si>
  <si>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</si>
  <si>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</si>
  <si>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</si>
  <si>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</si>
  <si>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</si>
  <si>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</si>
  <si>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</si>
  <si>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</si>
  <si>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</si>
  <si>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</si>
  <si>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</si>
  <si>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</si>
  <si>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</si>
  <si>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</si>
  <si>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</si>
  <si>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</si>
  <si>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</si>
  <si>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</si>
  <si>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</si>
  <si>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</si>
  <si>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</si>
  <si>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</si>
  <si>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</si>
  <si>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</si>
  <si>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</si>
  <si>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</si>
  <si>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</si>
  <si>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</si>
  <si>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</si>
  <si>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</si>
  <si>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</si>
  <si>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</si>
  <si>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</si>
  <si>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</si>
  <si>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</si>
  <si>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</si>
  <si>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</si>
  <si>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</si>
  <si>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</si>
  <si>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</si>
  <si>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</si>
  <si>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</si>
  <si>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</si>
  <si>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</si>
  <si>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</si>
  <si>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</si>
  <si>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</si>
  <si>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</si>
  <si>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</si>
  <si>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</si>
  <si>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</si>
  <si>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</si>
  <si>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</si>
  <si>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</si>
  <si>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</si>
  <si>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</si>
  <si>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</si>
  <si>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</si>
  <si>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</si>
  <si>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</si>
  <si>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</si>
  <si>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</si>
  <si>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</si>
  <si>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</si>
  <si>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</si>
  <si>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</si>
  <si>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</si>
  <si>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</si>
  <si>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</si>
  <si>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</si>
  <si>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</si>
  <si>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</si>
  <si>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</si>
  <si>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</si>
  <si>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</si>
  <si>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</si>
  <si>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</si>
  <si>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</si>
  <si>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</si>
  <si>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</si>
  <si>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</si>
  <si>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</si>
  <si>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</si>
  <si>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</si>
  <si>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</si>
  <si>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</si>
  <si>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</si>
  <si>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</si>
  <si>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</si>
  <si>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</si>
  <si>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</si>
  <si>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</si>
  <si>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</si>
  <si>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</si>
  <si>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</si>
  <si>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</si>
  <si>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</si>
  <si>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</si>
  <si>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</si>
  <si>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</si>
  <si>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</si>
  <si>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</si>
  <si>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</si>
  <si>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</si>
  <si>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</si>
  <si>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</si>
  <si>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</si>
  <si>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</si>
  <si>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</si>
  <si>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</si>
  <si>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</si>
  <si>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</si>
  <si>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</si>
  <si>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</si>
  <si>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</si>
  <si>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</si>
  <si>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</si>
  <si>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</si>
  <si>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</si>
  <si>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</si>
  <si>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</si>
  <si>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</si>
  <si>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</si>
  <si>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</si>
  <si>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</si>
  <si>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</si>
  <si>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</si>
  <si>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</si>
  <si>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</si>
  <si>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</si>
  <si>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</si>
  <si>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</si>
  <si>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</si>
  <si>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</si>
  <si>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</si>
  <si>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</si>
  <si>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</si>
  <si>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</si>
  <si>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</si>
  <si>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</si>
  <si>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</si>
  <si>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</si>
  <si>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</si>
  <si>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</si>
  <si>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</si>
  <si>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</si>
  <si>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</si>
  <si>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</si>
  <si>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</si>
  <si>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</si>
  <si>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</si>
  <si>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</si>
  <si>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</si>
  <si>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</si>
  <si>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</si>
  <si>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</si>
  <si>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</si>
  <si>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</si>
  <si>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</si>
  <si>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</si>
  <si>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</si>
  <si>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</si>
  <si>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</si>
  <si>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</si>
  <si>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</si>
  <si>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YALE NEW HAVEN HEALTH SERVICES CORPORATION, INC. (YNHHSC)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</si>
  <si>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</si>
  <si>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</si>
  <si>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</si>
  <si>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</si>
  <si>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</si>
  <si>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</si>
  <si>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</si>
  <si>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</si>
  <si>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</si>
  <si>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</si>
  <si>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</si>
  <si>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</si>
  <si>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</si>
  <si>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</si>
  <si>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</si>
  <si>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</si>
  <si>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</si>
  <si>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</si>
  <si>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</si>
  <si>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</si>
  <si>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</si>
  <si>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</si>
  <si>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</si>
  <si>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</si>
  <si>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</si>
  <si>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</si>
  <si>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</si>
  <si>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</si>
  <si>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</si>
  <si>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</si>
  <si>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</si>
  <si>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</si>
  <si>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</si>
  <si>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</si>
  <si>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</si>
  <si>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</si>
  <si>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</si>
  <si>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</si>
  <si>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</si>
  <si>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</si>
  <si>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</si>
  <si>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</si>
  <si>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</si>
  <si>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</si>
  <si>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</si>
  <si>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</si>
  <si>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</si>
  <si>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</si>
  <si>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</si>
  <si>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</si>
  <si>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</si>
  <si>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</si>
  <si>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</si>
  <si>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</si>
  <si>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</si>
  <si>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</si>
  <si>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</si>
  <si>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</si>
  <si>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</si>
  <si>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</si>
  <si>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</si>
  <si>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</si>
  <si>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</si>
  <si>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</si>
  <si>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</si>
  <si>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</si>
  <si>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</si>
  <si>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</si>
  <si>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</si>
  <si>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</si>
  <si>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</si>
  <si>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</si>
  <si>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</si>
  <si>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</si>
  <si>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</si>
  <si>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</si>
  <si>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</si>
  <si>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</si>
  <si>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</si>
  <si>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</si>
  <si>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</si>
  <si>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</si>
  <si>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</si>
  <si>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</si>
  <si>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</si>
  <si>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</si>
  <si>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</si>
  <si>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</si>
  <si>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</si>
  <si>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</si>
  <si>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</si>
  <si>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</si>
  <si>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</si>
  <si>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</si>
  <si>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</si>
  <si>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</si>
  <si>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</si>
  <si>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</si>
  <si>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</si>
  <si>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</si>
  <si>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</si>
  <si>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</si>
  <si>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</si>
  <si>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</si>
  <si>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</si>
  <si>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</si>
  <si>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</si>
  <si>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</si>
  <si>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</si>
  <si>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</si>
  <si>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</si>
  <si>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</si>
  <si>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</si>
  <si>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</si>
  <si>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</si>
  <si>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</si>
  <si>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</si>
  <si>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</si>
  <si>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</si>
  <si>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</si>
  <si>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Bridgeport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</si>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</sst>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25968000</v>
      </c>
      <c r="D13" s="22">
        <v>25249000</v>
      </c>
      <c r="E13" s="22">
        <f t="shared" ref="E13:E22" si="0">D13-C13</f>
        <v>-719000</v>
      </c>
      <c r="F13" s="23">
        <f t="shared" ref="F13:F22" si="1">IF(C13=0,0,E13/C13)</f>
        <v>-2.7687923598274801E-2</v>
      </c>
    </row>
    <row r="14" spans="1:8" ht="24" customHeight="1" x14ac:dyDescent="0.2">
      <c r="A14" s="20">
        <v>2</v>
      </c>
      <c r="B14" s="21" t="s">
        <v>17</v>
      </c>
      <c r="C14" s="22">
        <v>61779000</v>
      </c>
      <c r="D14" s="22">
        <v>56146000</v>
      </c>
      <c r="E14" s="22">
        <f t="shared" si="0"/>
        <v>-5633000</v>
      </c>
      <c r="F14" s="23">
        <f t="shared" si="1"/>
        <v>-9.1179850758348308E-2</v>
      </c>
    </row>
    <row r="15" spans="1:8" ht="24" customHeight="1" x14ac:dyDescent="0.2">
      <c r="A15" s="20">
        <v>3</v>
      </c>
      <c r="B15" s="21" t="s">
        <v>18</v>
      </c>
      <c r="C15" s="22">
        <v>54662000</v>
      </c>
      <c r="D15" s="22">
        <v>53543000</v>
      </c>
      <c r="E15" s="22">
        <f t="shared" si="0"/>
        <v>-1119000</v>
      </c>
      <c r="F15" s="23">
        <f t="shared" si="1"/>
        <v>-2.0471259741685267E-2</v>
      </c>
    </row>
    <row r="16" spans="1:8" ht="24" customHeight="1" x14ac:dyDescent="0.2">
      <c r="A16" s="20">
        <v>4</v>
      </c>
      <c r="B16" s="21" t="s">
        <v>19</v>
      </c>
      <c r="C16" s="22">
        <v>679000</v>
      </c>
      <c r="D16" s="22">
        <v>715000</v>
      </c>
      <c r="E16" s="22">
        <f t="shared" si="0"/>
        <v>36000</v>
      </c>
      <c r="F16" s="23">
        <f t="shared" si="1"/>
        <v>5.3019145802650956E-2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4349000</v>
      </c>
      <c r="D19" s="22">
        <v>5720000</v>
      </c>
      <c r="E19" s="22">
        <f t="shared" si="0"/>
        <v>1371000</v>
      </c>
      <c r="F19" s="23">
        <f t="shared" si="1"/>
        <v>0.31524488388135202</v>
      </c>
    </row>
    <row r="20" spans="1:11" ht="24" customHeight="1" x14ac:dyDescent="0.2">
      <c r="A20" s="20">
        <v>8</v>
      </c>
      <c r="B20" s="21" t="s">
        <v>23</v>
      </c>
      <c r="C20" s="22">
        <v>8021000</v>
      </c>
      <c r="D20" s="22">
        <v>8065000</v>
      </c>
      <c r="E20" s="22">
        <f t="shared" si="0"/>
        <v>44000</v>
      </c>
      <c r="F20" s="23">
        <f t="shared" si="1"/>
        <v>5.4856002992145622E-3</v>
      </c>
    </row>
    <row r="21" spans="1:11" ht="24" customHeight="1" x14ac:dyDescent="0.2">
      <c r="A21" s="20">
        <v>9</v>
      </c>
      <c r="B21" s="21" t="s">
        <v>24</v>
      </c>
      <c r="C21" s="22">
        <v>13630000</v>
      </c>
      <c r="D21" s="22">
        <v>14392000</v>
      </c>
      <c r="E21" s="22">
        <f t="shared" si="0"/>
        <v>762000</v>
      </c>
      <c r="F21" s="23">
        <f t="shared" si="1"/>
        <v>5.5906089508437271E-2</v>
      </c>
    </row>
    <row r="22" spans="1:11" ht="24" customHeight="1" x14ac:dyDescent="0.25">
      <c r="A22" s="24"/>
      <c r="B22" s="25" t="s">
        <v>25</v>
      </c>
      <c r="C22" s="26">
        <f>SUM(C13:C21)</f>
        <v>169088000</v>
      </c>
      <c r="D22" s="26">
        <f>SUM(D13:D21)</f>
        <v>163830000</v>
      </c>
      <c r="E22" s="26">
        <f t="shared" si="0"/>
        <v>-5258000</v>
      </c>
      <c r="F22" s="27">
        <f t="shared" si="1"/>
        <v>-3.109623391370174E-2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0</v>
      </c>
      <c r="E29" s="26">
        <f>D29-C29</f>
        <v>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69267000</v>
      </c>
      <c r="D31" s="22">
        <v>79597000</v>
      </c>
      <c r="E31" s="22">
        <f>D31-C31</f>
        <v>10330000</v>
      </c>
      <c r="F31" s="23">
        <f>IF(C31=0,0,E31/C31)</f>
        <v>0.14913306480719535</v>
      </c>
    </row>
    <row r="32" spans="1:11" ht="24" customHeight="1" x14ac:dyDescent="0.2">
      <c r="A32" s="20">
        <v>6</v>
      </c>
      <c r="B32" s="21" t="s">
        <v>34</v>
      </c>
      <c r="C32" s="22">
        <v>22585000</v>
      </c>
      <c r="D32" s="22">
        <v>23795000</v>
      </c>
      <c r="E32" s="22">
        <f>D32-C32</f>
        <v>1210000</v>
      </c>
      <c r="F32" s="23">
        <f>IF(C32=0,0,E32/C32)</f>
        <v>5.3575381890635376E-2</v>
      </c>
    </row>
    <row r="33" spans="1:8" ht="24" customHeight="1" x14ac:dyDescent="0.2">
      <c r="A33" s="20">
        <v>7</v>
      </c>
      <c r="B33" s="21" t="s">
        <v>35</v>
      </c>
      <c r="C33" s="22">
        <v>60406000</v>
      </c>
      <c r="D33" s="22">
        <v>55880000</v>
      </c>
      <c r="E33" s="22">
        <f>D33-C33</f>
        <v>-4526000</v>
      </c>
      <c r="F33" s="23">
        <f>IF(C33=0,0,E33/C33)</f>
        <v>-7.4926331821342257E-2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430427000</v>
      </c>
      <c r="D36" s="22">
        <v>554467000</v>
      </c>
      <c r="E36" s="22">
        <f>D36-C36</f>
        <v>124040000</v>
      </c>
      <c r="F36" s="23">
        <f>IF(C36=0,0,E36/C36)</f>
        <v>0.28817894788198695</v>
      </c>
    </row>
    <row r="37" spans="1:8" ht="24" customHeight="1" x14ac:dyDescent="0.2">
      <c r="A37" s="20">
        <v>2</v>
      </c>
      <c r="B37" s="21" t="s">
        <v>39</v>
      </c>
      <c r="C37" s="22">
        <v>289391000</v>
      </c>
      <c r="D37" s="22">
        <v>309517000</v>
      </c>
      <c r="E37" s="22">
        <f>D37-C37</f>
        <v>20126000</v>
      </c>
      <c r="F37" s="23">
        <f>IF(C37=0,0,E37/C37)</f>
        <v>6.9546046698065939E-2</v>
      </c>
    </row>
    <row r="38" spans="1:8" ht="24" customHeight="1" x14ac:dyDescent="0.25">
      <c r="A38" s="24"/>
      <c r="B38" s="25" t="s">
        <v>40</v>
      </c>
      <c r="C38" s="26">
        <f>C36-C37</f>
        <v>141036000</v>
      </c>
      <c r="D38" s="26">
        <f>D36-D37</f>
        <v>244950000</v>
      </c>
      <c r="E38" s="26">
        <f>D38-C38</f>
        <v>103914000</v>
      </c>
      <c r="F38" s="27">
        <f>IF(C38=0,0,E38/C38)</f>
        <v>0.73679060665362039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69785000</v>
      </c>
      <c r="D40" s="22">
        <v>16865000</v>
      </c>
      <c r="E40" s="22">
        <f>D40-C40</f>
        <v>-52920000</v>
      </c>
      <c r="F40" s="23">
        <f>IF(C40=0,0,E40/C40)</f>
        <v>-0.75832915382961952</v>
      </c>
    </row>
    <row r="41" spans="1:8" ht="24" customHeight="1" x14ac:dyDescent="0.25">
      <c r="A41" s="24"/>
      <c r="B41" s="25" t="s">
        <v>42</v>
      </c>
      <c r="C41" s="26">
        <f>+C38+C40</f>
        <v>210821000</v>
      </c>
      <c r="D41" s="26">
        <f>+D38+D40</f>
        <v>261815000</v>
      </c>
      <c r="E41" s="26">
        <f>D41-C41</f>
        <v>50994000</v>
      </c>
      <c r="F41" s="27">
        <f>IF(C41=0,0,E41/C41)</f>
        <v>0.24188292437660386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532167000</v>
      </c>
      <c r="D43" s="26">
        <f>D22+D29+D31+D32+D33+D41</f>
        <v>584917000</v>
      </c>
      <c r="E43" s="26">
        <f>D43-C43</f>
        <v>52750000</v>
      </c>
      <c r="F43" s="27">
        <f>IF(C43=0,0,E43/C43)</f>
        <v>9.9123019653604982E-2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50085000</v>
      </c>
      <c r="D49" s="22">
        <v>46212000</v>
      </c>
      <c r="E49" s="22">
        <f t="shared" ref="E49:E56" si="2">D49-C49</f>
        <v>-3873000</v>
      </c>
      <c r="F49" s="23">
        <f t="shared" ref="F49:F56" si="3">IF(C49=0,0,E49/C49)</f>
        <v>-7.7328541479484869E-2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18777000</v>
      </c>
      <c r="D50" s="22">
        <v>20950000</v>
      </c>
      <c r="E50" s="22">
        <f t="shared" si="2"/>
        <v>2173000</v>
      </c>
      <c r="F50" s="23">
        <f t="shared" si="3"/>
        <v>0.1157266869041913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12179000</v>
      </c>
      <c r="D53" s="22">
        <v>14348000</v>
      </c>
      <c r="E53" s="22">
        <f t="shared" si="2"/>
        <v>2169000</v>
      </c>
      <c r="F53" s="23">
        <f t="shared" si="3"/>
        <v>0.17809343952705475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15856000</v>
      </c>
      <c r="D55" s="22">
        <v>15141000</v>
      </c>
      <c r="E55" s="22">
        <f t="shared" si="2"/>
        <v>-715000</v>
      </c>
      <c r="F55" s="23">
        <f t="shared" si="3"/>
        <v>-4.5093340060544905E-2</v>
      </c>
    </row>
    <row r="56" spans="1:6" ht="24" customHeight="1" x14ac:dyDescent="0.25">
      <c r="A56" s="24"/>
      <c r="B56" s="25" t="s">
        <v>54</v>
      </c>
      <c r="C56" s="26">
        <f>SUM(C49:C55)</f>
        <v>96897000</v>
      </c>
      <c r="D56" s="26">
        <f>SUM(D49:D55)</f>
        <v>96651000</v>
      </c>
      <c r="E56" s="26">
        <f t="shared" si="2"/>
        <v>-246000</v>
      </c>
      <c r="F56" s="27">
        <f t="shared" si="3"/>
        <v>-2.5387782903495463E-3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73372000</v>
      </c>
      <c r="D59" s="22">
        <v>64747000</v>
      </c>
      <c r="E59" s="22">
        <f>D59-C59</f>
        <v>-8625000</v>
      </c>
      <c r="F59" s="23">
        <f>IF(C59=0,0,E59/C59)</f>
        <v>-0.11755165458212942</v>
      </c>
    </row>
    <row r="60" spans="1:6" ht="24" customHeight="1" x14ac:dyDescent="0.2">
      <c r="A60" s="20">
        <v>2</v>
      </c>
      <c r="B60" s="21" t="s">
        <v>57</v>
      </c>
      <c r="C60" s="22">
        <v>60309000</v>
      </c>
      <c r="D60" s="22">
        <v>96386000</v>
      </c>
      <c r="E60" s="22">
        <f>D60-C60</f>
        <v>36077000</v>
      </c>
      <c r="F60" s="23">
        <f>IF(C60=0,0,E60/C60)</f>
        <v>0.59820258999485976</v>
      </c>
    </row>
    <row r="61" spans="1:6" ht="24" customHeight="1" x14ac:dyDescent="0.25">
      <c r="A61" s="24"/>
      <c r="B61" s="25" t="s">
        <v>58</v>
      </c>
      <c r="C61" s="26">
        <f>SUM(C59:C60)</f>
        <v>133681000</v>
      </c>
      <c r="D61" s="26">
        <f>SUM(D59:D60)</f>
        <v>161133000</v>
      </c>
      <c r="E61" s="26">
        <f>D61-C61</f>
        <v>27452000</v>
      </c>
      <c r="F61" s="27">
        <f>IF(C61=0,0,E61/C61)</f>
        <v>0.20535453804205533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68304000</v>
      </c>
      <c r="D63" s="22">
        <v>77643000</v>
      </c>
      <c r="E63" s="22">
        <f>D63-C63</f>
        <v>9339000</v>
      </c>
      <c r="F63" s="23">
        <f>IF(C63=0,0,E63/C63)</f>
        <v>0.13672698524244553</v>
      </c>
    </row>
    <row r="64" spans="1:6" ht="24" customHeight="1" x14ac:dyDescent="0.2">
      <c r="A64" s="20">
        <v>4</v>
      </c>
      <c r="B64" s="21" t="s">
        <v>60</v>
      </c>
      <c r="C64" s="22">
        <v>64721000</v>
      </c>
      <c r="D64" s="22">
        <v>67265000</v>
      </c>
      <c r="E64" s="22">
        <f>D64-C64</f>
        <v>2544000</v>
      </c>
      <c r="F64" s="23">
        <f>IF(C64=0,0,E64/C64)</f>
        <v>3.9307180049752012E-2</v>
      </c>
    </row>
    <row r="65" spans="1:6" ht="24" customHeight="1" x14ac:dyDescent="0.25">
      <c r="A65" s="24"/>
      <c r="B65" s="25" t="s">
        <v>61</v>
      </c>
      <c r="C65" s="26">
        <f>SUM(C61:C64)</f>
        <v>266706000</v>
      </c>
      <c r="D65" s="26">
        <f>SUM(D61:D64)</f>
        <v>306041000</v>
      </c>
      <c r="E65" s="26">
        <f>D65-C65</f>
        <v>39335000</v>
      </c>
      <c r="F65" s="27">
        <f>IF(C65=0,0,E65/C65)</f>
        <v>0.14748449603683456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110843000</v>
      </c>
      <c r="D70" s="22">
        <v>116790000</v>
      </c>
      <c r="E70" s="22">
        <f>D70-C70</f>
        <v>5947000</v>
      </c>
      <c r="F70" s="23">
        <f>IF(C70=0,0,E70/C70)</f>
        <v>5.3652463394170131E-2</v>
      </c>
    </row>
    <row r="71" spans="1:6" ht="24" customHeight="1" x14ac:dyDescent="0.2">
      <c r="A71" s="20">
        <v>2</v>
      </c>
      <c r="B71" s="21" t="s">
        <v>65</v>
      </c>
      <c r="C71" s="22">
        <v>34845000</v>
      </c>
      <c r="D71" s="22">
        <v>42302000</v>
      </c>
      <c r="E71" s="22">
        <f>D71-C71</f>
        <v>7457000</v>
      </c>
      <c r="F71" s="23">
        <f>IF(C71=0,0,E71/C71)</f>
        <v>0.21400487874874444</v>
      </c>
    </row>
    <row r="72" spans="1:6" ht="24" customHeight="1" x14ac:dyDescent="0.2">
      <c r="A72" s="20">
        <v>3</v>
      </c>
      <c r="B72" s="21" t="s">
        <v>66</v>
      </c>
      <c r="C72" s="22">
        <v>22876000</v>
      </c>
      <c r="D72" s="22">
        <v>23133000</v>
      </c>
      <c r="E72" s="22">
        <f>D72-C72</f>
        <v>257000</v>
      </c>
      <c r="F72" s="23">
        <f>IF(C72=0,0,E72/C72)</f>
        <v>1.1234481552719007E-2</v>
      </c>
    </row>
    <row r="73" spans="1:6" ht="24" customHeight="1" x14ac:dyDescent="0.25">
      <c r="A73" s="20"/>
      <c r="B73" s="25" t="s">
        <v>67</v>
      </c>
      <c r="C73" s="26">
        <f>SUM(C70:C72)</f>
        <v>168564000</v>
      </c>
      <c r="D73" s="26">
        <f>SUM(D70:D72)</f>
        <v>182225000</v>
      </c>
      <c r="E73" s="26">
        <f>D73-C73</f>
        <v>13661000</v>
      </c>
      <c r="F73" s="27">
        <f>IF(C73=0,0,E73/C73)</f>
        <v>8.1043401912626656E-2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532167000</v>
      </c>
      <c r="D75" s="26">
        <f>D56+D65+D67+D73</f>
        <v>584917000</v>
      </c>
      <c r="E75" s="26">
        <f>D75-C75</f>
        <v>52750000</v>
      </c>
      <c r="F75" s="27">
        <f>IF(C75=0,0,E75/C75)</f>
        <v>9.9123019653604982E-2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3287692000</v>
      </c>
      <c r="D11" s="76">
        <v>3492685000</v>
      </c>
      <c r="E11" s="76">
        <v>3579271000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106994000</v>
      </c>
      <c r="D12" s="185">
        <v>109595000</v>
      </c>
      <c r="E12" s="185">
        <v>207633000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3394686000</v>
      </c>
      <c r="D13" s="76">
        <f>+D11+D12</f>
        <v>3602280000</v>
      </c>
      <c r="E13" s="76">
        <f>+E11+E12</f>
        <v>3786904000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3224574000</v>
      </c>
      <c r="D14" s="185">
        <v>3442624000</v>
      </c>
      <c r="E14" s="185">
        <v>3647566000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170112000</v>
      </c>
      <c r="D15" s="76">
        <f>+D13-D14</f>
        <v>159656000</v>
      </c>
      <c r="E15" s="76">
        <f>+E13-E14</f>
        <v>139338000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34189000</v>
      </c>
      <c r="D16" s="185">
        <v>-15565000</v>
      </c>
      <c r="E16" s="185">
        <v>320570000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204301000</v>
      </c>
      <c r="D17" s="76">
        <f>D15+D16</f>
        <v>144091000</v>
      </c>
      <c r="E17" s="76">
        <f>E15+E16</f>
        <v>459908000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4.9611607305603149E-2</v>
      </c>
      <c r="D20" s="189">
        <f>IF(+D27=0,0,+D24/+D27)</f>
        <v>4.4513154794847097E-2</v>
      </c>
      <c r="E20" s="189">
        <f>IF(+E27=0,0,+E24/+E27)</f>
        <v>3.3923038831164848E-2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9.97090882578105E-3</v>
      </c>
      <c r="D21" s="189">
        <f>IF(+D27=0,0,+D26/+D27)</f>
        <v>-4.3396255347860086E-3</v>
      </c>
      <c r="E21" s="189">
        <f>IF(+E27=0,0,+E26/+E27)</f>
        <v>7.8045533580979459E-2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5.9582516131384197E-2</v>
      </c>
      <c r="D22" s="189">
        <f>IF(+D27=0,0,+D28/+D27)</f>
        <v>4.0173529260061083E-2</v>
      </c>
      <c r="E22" s="189">
        <f>IF(+E27=0,0,+E28/+E27)</f>
        <v>0.11196857241214431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170112000</v>
      </c>
      <c r="D24" s="76">
        <f>+D15</f>
        <v>159656000</v>
      </c>
      <c r="E24" s="76">
        <f>+E15</f>
        <v>139338000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3394686000</v>
      </c>
      <c r="D25" s="76">
        <f>+D13</f>
        <v>3602280000</v>
      </c>
      <c r="E25" s="76">
        <f>+E13</f>
        <v>3786904000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34189000</v>
      </c>
      <c r="D26" s="76">
        <f>+D16</f>
        <v>-15565000</v>
      </c>
      <c r="E26" s="76">
        <f>+E16</f>
        <v>320570000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3428875000</v>
      </c>
      <c r="D27" s="76">
        <f>SUM(D25:D26)</f>
        <v>3586715000</v>
      </c>
      <c r="E27" s="76">
        <f>SUM(E25:E26)</f>
        <v>4107474000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204301000</v>
      </c>
      <c r="D28" s="76">
        <f>+D17</f>
        <v>144091000</v>
      </c>
      <c r="E28" s="76">
        <f>+E17</f>
        <v>459908000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1644056000</v>
      </c>
      <c r="D31" s="76">
        <v>1750995000</v>
      </c>
      <c r="E31" s="76">
        <v>2147552000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1866624000</v>
      </c>
      <c r="D32" s="76">
        <v>1991919000</v>
      </c>
      <c r="E32" s="76">
        <v>2421056000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1693513000</v>
      </c>
      <c r="D33" s="76">
        <f>+D32-C32</f>
        <v>125295000</v>
      </c>
      <c r="E33" s="76">
        <f>+E32-D32</f>
        <v>429137000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10.7828</v>
      </c>
      <c r="D34" s="193">
        <f>IF(C32=0,0,+D33/C32)</f>
        <v>6.7123855688130007E-2</v>
      </c>
      <c r="E34" s="193">
        <f>IF(D32=0,0,+E33/D32)</f>
        <v>0.21543898120355295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2.9653532596725967</v>
      </c>
      <c r="D38" s="338">
        <f>IF(+D40=0,0,+D39/+D40)</f>
        <v>2.9362196163702725</v>
      </c>
      <c r="E38" s="338">
        <f>IF(+E40=0,0,+E39/+E40)</f>
        <v>2.8479618982952744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1683007000</v>
      </c>
      <c r="D39" s="341">
        <v>1890485000</v>
      </c>
      <c r="E39" s="341">
        <v>2046853000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567557000</v>
      </c>
      <c r="D40" s="341">
        <v>643850000</v>
      </c>
      <c r="E40" s="341">
        <v>718708000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144.66881307910103</v>
      </c>
      <c r="D42" s="343">
        <f>IF((D48/365)=0,0,+D45/(D48/365))</f>
        <v>151.9338221747301</v>
      </c>
      <c r="E42" s="343">
        <f>IF((E48/365)=0,0,+E45/(E48/365))</f>
        <v>162.78980862969041</v>
      </c>
    </row>
    <row r="43" spans="1:14" ht="24" customHeight="1" x14ac:dyDescent="0.2">
      <c r="A43" s="339">
        <v>5</v>
      </c>
      <c r="B43" s="344" t="s">
        <v>16</v>
      </c>
      <c r="C43" s="345">
        <v>161059000</v>
      </c>
      <c r="D43" s="345">
        <v>194946000</v>
      </c>
      <c r="E43" s="345">
        <v>169479000</v>
      </c>
    </row>
    <row r="44" spans="1:14" ht="24" customHeight="1" x14ac:dyDescent="0.2">
      <c r="A44" s="339">
        <v>6</v>
      </c>
      <c r="B44" s="346" t="s">
        <v>17</v>
      </c>
      <c r="C44" s="345">
        <v>1040882000</v>
      </c>
      <c r="D44" s="345">
        <v>1160670000</v>
      </c>
      <c r="E44" s="345">
        <v>1371905000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1201941000</v>
      </c>
      <c r="D45" s="341">
        <f>+D43+D44</f>
        <v>1355616000</v>
      </c>
      <c r="E45" s="341">
        <f>+E43+E44</f>
        <v>1541384000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3224574000</v>
      </c>
      <c r="D46" s="341">
        <f>+D14</f>
        <v>3442624000</v>
      </c>
      <c r="E46" s="341">
        <f>+E14</f>
        <v>3647566000</v>
      </c>
    </row>
    <row r="47" spans="1:14" ht="24" customHeight="1" x14ac:dyDescent="0.2">
      <c r="A47" s="339">
        <v>9</v>
      </c>
      <c r="B47" s="340" t="s">
        <v>356</v>
      </c>
      <c r="C47" s="341">
        <v>192072000</v>
      </c>
      <c r="D47" s="341">
        <v>185944000</v>
      </c>
      <c r="E47" s="341">
        <v>191544000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3032502000</v>
      </c>
      <c r="D48" s="341">
        <f>+D46-D47</f>
        <v>3256680000</v>
      </c>
      <c r="E48" s="341">
        <f>+E46-E47</f>
        <v>3456022000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40.893377481832246</v>
      </c>
      <c r="D50" s="350">
        <f>IF((D55/365)=0,0,+D54/(D55/365))</f>
        <v>42.396697669557945</v>
      </c>
      <c r="E50" s="350">
        <f>IF((E55/365)=0,0,+E54/(E55/365))</f>
        <v>37.819662160255533</v>
      </c>
    </row>
    <row r="51" spans="1:5" ht="24" customHeight="1" x14ac:dyDescent="0.2">
      <c r="A51" s="339">
        <v>12</v>
      </c>
      <c r="B51" s="344" t="s">
        <v>359</v>
      </c>
      <c r="C51" s="351">
        <v>368342000</v>
      </c>
      <c r="D51" s="351">
        <v>405694000</v>
      </c>
      <c r="E51" s="351">
        <v>370868000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368342000</v>
      </c>
      <c r="D54" s="352">
        <f>+D51+D52-D53</f>
        <v>405694000</v>
      </c>
      <c r="E54" s="352">
        <f>+E51+E52-E53</f>
        <v>370868000</v>
      </c>
    </row>
    <row r="55" spans="1:5" ht="24" customHeight="1" x14ac:dyDescent="0.2">
      <c r="A55" s="339">
        <v>16</v>
      </c>
      <c r="B55" s="340" t="s">
        <v>75</v>
      </c>
      <c r="C55" s="341">
        <f>+C11</f>
        <v>3287692000</v>
      </c>
      <c r="D55" s="341">
        <f>+D11</f>
        <v>3492685000</v>
      </c>
      <c r="E55" s="341">
        <f>+E11</f>
        <v>3579271000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68.312668878701487</v>
      </c>
      <c r="D57" s="355">
        <f>IF((D61/365)=0,0,+D58/(D61/365))</f>
        <v>72.160989105469369</v>
      </c>
      <c r="E57" s="355">
        <f>IF((E61/365)=0,0,+E58/(E61/365))</f>
        <v>75.904730930532267</v>
      </c>
    </row>
    <row r="58" spans="1:5" ht="24" customHeight="1" x14ac:dyDescent="0.2">
      <c r="A58" s="339">
        <v>18</v>
      </c>
      <c r="B58" s="340" t="s">
        <v>54</v>
      </c>
      <c r="C58" s="353">
        <f>+C40</f>
        <v>567557000</v>
      </c>
      <c r="D58" s="353">
        <f>+D40</f>
        <v>643850000</v>
      </c>
      <c r="E58" s="353">
        <f>+E40</f>
        <v>718708000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3224574000</v>
      </c>
      <c r="D59" s="353">
        <f t="shared" si="0"/>
        <v>3442624000</v>
      </c>
      <c r="E59" s="353">
        <f t="shared" si="0"/>
        <v>3647566000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192072000</v>
      </c>
      <c r="D60" s="356">
        <f t="shared" si="0"/>
        <v>185944000</v>
      </c>
      <c r="E60" s="356">
        <f t="shared" si="0"/>
        <v>191544000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3032502000</v>
      </c>
      <c r="D61" s="353">
        <f>+D59-D60</f>
        <v>3256680000</v>
      </c>
      <c r="E61" s="353">
        <f>+E59-E60</f>
        <v>3456022000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44.095108709132646</v>
      </c>
      <c r="D65" s="357">
        <f>IF(D67=0,0,(D66/D67)*100)</f>
        <v>44.414860585849588</v>
      </c>
      <c r="E65" s="357">
        <f>IF(E67=0,0,(E66/E67)*100)</f>
        <v>47.585555710173914</v>
      </c>
    </row>
    <row r="66" spans="1:5" ht="24" customHeight="1" x14ac:dyDescent="0.2">
      <c r="A66" s="339">
        <v>2</v>
      </c>
      <c r="B66" s="340" t="s">
        <v>67</v>
      </c>
      <c r="C66" s="353">
        <f>+C32</f>
        <v>1866624000</v>
      </c>
      <c r="D66" s="353">
        <f>+D32</f>
        <v>1991919000</v>
      </c>
      <c r="E66" s="353">
        <f>+E32</f>
        <v>2421056000</v>
      </c>
    </row>
    <row r="67" spans="1:5" ht="24" customHeight="1" x14ac:dyDescent="0.2">
      <c r="A67" s="339">
        <v>3</v>
      </c>
      <c r="B67" s="340" t="s">
        <v>43</v>
      </c>
      <c r="C67" s="353">
        <v>4233177000</v>
      </c>
      <c r="D67" s="353">
        <v>4484803000</v>
      </c>
      <c r="E67" s="353">
        <v>5087796000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25.479312397391212</v>
      </c>
      <c r="D69" s="357">
        <f>IF(D75=0,0,(D72/D75)*100)</f>
        <v>19.915711165917092</v>
      </c>
      <c r="E69" s="357">
        <f>IF(E75=0,0,(E72/E75)*100)</f>
        <v>37.713452740085671</v>
      </c>
    </row>
    <row r="70" spans="1:5" ht="24" customHeight="1" x14ac:dyDescent="0.2">
      <c r="A70" s="339">
        <v>5</v>
      </c>
      <c r="B70" s="340" t="s">
        <v>366</v>
      </c>
      <c r="C70" s="353">
        <f>+C28</f>
        <v>204301000</v>
      </c>
      <c r="D70" s="353">
        <f>+D28</f>
        <v>144091000</v>
      </c>
      <c r="E70" s="353">
        <f>+E28</f>
        <v>459908000</v>
      </c>
    </row>
    <row r="71" spans="1:5" ht="24" customHeight="1" x14ac:dyDescent="0.2">
      <c r="A71" s="339">
        <v>6</v>
      </c>
      <c r="B71" s="340" t="s">
        <v>356</v>
      </c>
      <c r="C71" s="356">
        <f>+C47</f>
        <v>192072000</v>
      </c>
      <c r="D71" s="356">
        <f>+D47</f>
        <v>185944000</v>
      </c>
      <c r="E71" s="356">
        <f>+E47</f>
        <v>191544000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396373000</v>
      </c>
      <c r="D72" s="353">
        <f>+D70+D71</f>
        <v>330035000</v>
      </c>
      <c r="E72" s="353">
        <f>+E70+E71</f>
        <v>651452000</v>
      </c>
    </row>
    <row r="73" spans="1:5" ht="24" customHeight="1" x14ac:dyDescent="0.2">
      <c r="A73" s="339">
        <v>8</v>
      </c>
      <c r="B73" s="340" t="s">
        <v>54</v>
      </c>
      <c r="C73" s="341">
        <f>+C40</f>
        <v>567557000</v>
      </c>
      <c r="D73" s="341">
        <f>+D40</f>
        <v>643850000</v>
      </c>
      <c r="E73" s="341">
        <f>+E40</f>
        <v>718708000</v>
      </c>
    </row>
    <row r="74" spans="1:5" ht="24" customHeight="1" x14ac:dyDescent="0.2">
      <c r="A74" s="339">
        <v>9</v>
      </c>
      <c r="B74" s="340" t="s">
        <v>58</v>
      </c>
      <c r="C74" s="353">
        <v>988109000</v>
      </c>
      <c r="D74" s="353">
        <v>1013309000</v>
      </c>
      <c r="E74" s="353">
        <v>1008665000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1555666000</v>
      </c>
      <c r="D75" s="341">
        <f>+D73+D74</f>
        <v>1657159000</v>
      </c>
      <c r="E75" s="341">
        <f>+E73+E74</f>
        <v>1727373000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34.61300934273013</v>
      </c>
      <c r="D77" s="359">
        <f>IF(D80=0,0,(D78/D80)*100)</f>
        <v>33.718207071144022</v>
      </c>
      <c r="E77" s="359">
        <f>IF(E80=0,0,(E78/E80)*100)</f>
        <v>29.409535061306734</v>
      </c>
    </row>
    <row r="78" spans="1:5" ht="24" customHeight="1" x14ac:dyDescent="0.2">
      <c r="A78" s="339">
        <v>12</v>
      </c>
      <c r="B78" s="340" t="s">
        <v>58</v>
      </c>
      <c r="C78" s="341">
        <f>+C74</f>
        <v>988109000</v>
      </c>
      <c r="D78" s="341">
        <f>+D74</f>
        <v>1013309000</v>
      </c>
      <c r="E78" s="341">
        <f>+E74</f>
        <v>1008665000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1866624000</v>
      </c>
      <c r="D79" s="341">
        <f>+D32</f>
        <v>1991919000</v>
      </c>
      <c r="E79" s="341">
        <f>+E32</f>
        <v>2421056000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2854733000</v>
      </c>
      <c r="D80" s="341">
        <f>+D78+D79</f>
        <v>3005228000</v>
      </c>
      <c r="E80" s="341">
        <f>+E78+E79</f>
        <v>3429721000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fitToHeight="0" orientation="portrait" horizontalDpi="1200" verticalDpi="1200" r:id="rId1"/>
  <headerFooter>
    <oddHeader>_x000D_
                &amp;L&amp;8OFFICE OF HEALTH CARE ACCESS&amp;C&amp;8TWELVE MONTHS ACTUAL FILING&amp;R&amp;8YALE NEW HAVEN HEALTH SERVICES CORPORATION, INC. (YNHHSC)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73697</v>
      </c>
      <c r="D11" s="376">
        <v>14670</v>
      </c>
      <c r="E11" s="376">
        <v>15847</v>
      </c>
      <c r="F11" s="377">
        <v>202</v>
      </c>
      <c r="G11" s="377">
        <v>254</v>
      </c>
      <c r="H11" s="378">
        <f>IF(F11=0,0,$C11/(F11*365))</f>
        <v>0.99955242099552422</v>
      </c>
      <c r="I11" s="378">
        <f>IF(G11=0,0,$C11/(G11*365))</f>
        <v>0.79491964189407827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7000</v>
      </c>
      <c r="D13" s="376">
        <v>353</v>
      </c>
      <c r="E13" s="376">
        <v>0</v>
      </c>
      <c r="F13" s="377">
        <v>20</v>
      </c>
      <c r="G13" s="377">
        <v>32</v>
      </c>
      <c r="H13" s="378">
        <f>IF(F13=0,0,$C13/(F13*365))</f>
        <v>0.95890410958904104</v>
      </c>
      <c r="I13" s="378">
        <f>IF(G13=0,0,$C13/(G13*365))</f>
        <v>0.59931506849315064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10784</v>
      </c>
      <c r="D16" s="376">
        <v>1032</v>
      </c>
      <c r="E16" s="376">
        <v>259</v>
      </c>
      <c r="F16" s="377">
        <v>30</v>
      </c>
      <c r="G16" s="377">
        <v>39</v>
      </c>
      <c r="H16" s="378">
        <f t="shared" si="0"/>
        <v>0.98484018264840179</v>
      </c>
      <c r="I16" s="378">
        <f t="shared" si="0"/>
        <v>0.75756937126800139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10784</v>
      </c>
      <c r="D17" s="381">
        <f>SUM(D15:D16)</f>
        <v>1032</v>
      </c>
      <c r="E17" s="381">
        <f>SUM(E15:E16)</f>
        <v>259</v>
      </c>
      <c r="F17" s="381">
        <f>SUM(F15:F16)</f>
        <v>30</v>
      </c>
      <c r="G17" s="381">
        <f>SUM(G15:G16)</f>
        <v>39</v>
      </c>
      <c r="H17" s="382">
        <f t="shared" si="0"/>
        <v>0.98484018264840179</v>
      </c>
      <c r="I17" s="382">
        <f t="shared" si="0"/>
        <v>0.75756937126800139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851</v>
      </c>
      <c r="D19" s="376">
        <v>58</v>
      </c>
      <c r="E19" s="376">
        <v>42</v>
      </c>
      <c r="F19" s="377">
        <v>3</v>
      </c>
      <c r="G19" s="377">
        <v>3</v>
      </c>
      <c r="H19" s="378">
        <f>IF(F19=0,0,$C19/(F19*365))</f>
        <v>0.77716894977168949</v>
      </c>
      <c r="I19" s="378">
        <f>IF(G19=0,0,$C19/(G19*365))</f>
        <v>0.77716894977168949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8411</v>
      </c>
      <c r="D21" s="376">
        <v>2878</v>
      </c>
      <c r="E21" s="376">
        <v>2481</v>
      </c>
      <c r="F21" s="377">
        <v>24</v>
      </c>
      <c r="G21" s="377">
        <v>39</v>
      </c>
      <c r="H21" s="378">
        <f>IF(F21=0,0,$C21/(F21*365))</f>
        <v>0.96015981735159817</v>
      </c>
      <c r="I21" s="378">
        <f>IF(G21=0,0,$C21/(G21*365))</f>
        <v>0.59086757990867578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5199</v>
      </c>
      <c r="D23" s="376">
        <v>2019</v>
      </c>
      <c r="E23" s="376">
        <v>2040</v>
      </c>
      <c r="F23" s="377">
        <v>15</v>
      </c>
      <c r="G23" s="377">
        <v>16</v>
      </c>
      <c r="H23" s="378">
        <f>IF(F23=0,0,$C23/(F23*365))</f>
        <v>0.94958904109589037</v>
      </c>
      <c r="I23" s="378">
        <f>IF(G23=0,0,$C23/(G23*365))</f>
        <v>0.89023972602739732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100743</v>
      </c>
      <c r="D31" s="384">
        <f>SUM(D10:D29)-D13-D17-D23</f>
        <v>18638</v>
      </c>
      <c r="E31" s="384">
        <f>SUM(E10:E29)-E17-E23</f>
        <v>18629</v>
      </c>
      <c r="F31" s="384">
        <f>SUM(F10:F29)-F17-F23</f>
        <v>279</v>
      </c>
      <c r="G31" s="384">
        <f>SUM(G10:G29)-G17-G23</f>
        <v>367</v>
      </c>
      <c r="H31" s="385">
        <f>IF(F31=0,0,$C31/(F31*365))</f>
        <v>0.98927677124760638</v>
      </c>
      <c r="I31" s="385">
        <f>IF(G31=0,0,$C31/(G31*365))</f>
        <v>0.7520659923108507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105942</v>
      </c>
      <c r="D33" s="384">
        <f>SUM(D10:D29)-D13-D17</f>
        <v>20657</v>
      </c>
      <c r="E33" s="384">
        <f>SUM(E10:E29)-E17</f>
        <v>20669</v>
      </c>
      <c r="F33" s="384">
        <f>SUM(F10:F29)-F17</f>
        <v>294</v>
      </c>
      <c r="G33" s="384">
        <f>SUM(G10:G29)-G17</f>
        <v>383</v>
      </c>
      <c r="H33" s="385">
        <f>IF(F33=0,0,$C33/(F33*365))</f>
        <v>0.98725188705619238</v>
      </c>
      <c r="I33" s="385">
        <f>IF(G33=0,0,$C33/(G33*365))</f>
        <v>0.75783826317107195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105942</v>
      </c>
      <c r="D36" s="384">
        <f t="shared" si="1"/>
        <v>20657</v>
      </c>
      <c r="E36" s="384">
        <f t="shared" si="1"/>
        <v>20669</v>
      </c>
      <c r="F36" s="384">
        <f t="shared" si="1"/>
        <v>294</v>
      </c>
      <c r="G36" s="384">
        <f t="shared" si="1"/>
        <v>383</v>
      </c>
      <c r="H36" s="387">
        <f t="shared" si="1"/>
        <v>0.98725188705619238</v>
      </c>
      <c r="I36" s="387">
        <f t="shared" si="1"/>
        <v>0.75783826317107195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109472</v>
      </c>
      <c r="D37" s="384">
        <v>19815</v>
      </c>
      <c r="E37" s="384">
        <v>19135</v>
      </c>
      <c r="F37" s="386">
        <v>302</v>
      </c>
      <c r="G37" s="386">
        <v>383</v>
      </c>
      <c r="H37" s="385">
        <f>IF(F37=0,0,$C37/(F37*365))</f>
        <v>0.99312346911004268</v>
      </c>
      <c r="I37" s="385">
        <f>IF(G37=0,0,$C37/(G37*365))</f>
        <v>0.7830895239457778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-3530</v>
      </c>
      <c r="D38" s="384">
        <f t="shared" si="2"/>
        <v>842</v>
      </c>
      <c r="E38" s="384">
        <f t="shared" si="2"/>
        <v>1534</v>
      </c>
      <c r="F38" s="384">
        <f t="shared" si="2"/>
        <v>-8</v>
      </c>
      <c r="G38" s="384">
        <f t="shared" si="2"/>
        <v>0</v>
      </c>
      <c r="H38" s="387">
        <f t="shared" si="2"/>
        <v>-5.8715820538502994E-3</v>
      </c>
      <c r="I38" s="387">
        <f t="shared" si="2"/>
        <v>-2.5251260774705853E-2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-3.2245688395206078E-2</v>
      </c>
      <c r="D40" s="389">
        <f t="shared" si="3"/>
        <v>4.2493060812515769E-2</v>
      </c>
      <c r="E40" s="389">
        <f t="shared" si="3"/>
        <v>8.0167232819440812E-2</v>
      </c>
      <c r="F40" s="389">
        <f t="shared" si="3"/>
        <v>-2.6490066225165563E-2</v>
      </c>
      <c r="G40" s="389">
        <f t="shared" si="3"/>
        <v>0</v>
      </c>
      <c r="H40" s="389">
        <f t="shared" si="3"/>
        <v>-5.9122377392933217E-3</v>
      </c>
      <c r="I40" s="389">
        <f t="shared" si="3"/>
        <v>-3.2245688395206119E-2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383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FILING&amp;RBRIDGEPORT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11258</v>
      </c>
      <c r="D12" s="409">
        <v>12506</v>
      </c>
      <c r="E12" s="409">
        <f>+D12-C12</f>
        <v>1248</v>
      </c>
      <c r="F12" s="410">
        <f>IF(C12=0,0,+E12/C12)</f>
        <v>0.11085450346420324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7245</v>
      </c>
      <c r="D13" s="409">
        <v>7916</v>
      </c>
      <c r="E13" s="409">
        <f>+D13-C13</f>
        <v>671</v>
      </c>
      <c r="F13" s="410">
        <f>IF(C13=0,0,+E13/C13)</f>
        <v>9.2615596963423044E-2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8601</v>
      </c>
      <c r="D14" s="409">
        <v>7869</v>
      </c>
      <c r="E14" s="409">
        <f>+D14-C14</f>
        <v>-732</v>
      </c>
      <c r="F14" s="410">
        <f>IF(C14=0,0,+E14/C14)</f>
        <v>-8.5106382978723402E-2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27104</v>
      </c>
      <c r="D16" s="401">
        <f>SUM(D12:D15)</f>
        <v>28291</v>
      </c>
      <c r="E16" s="401">
        <f>+D16-C16</f>
        <v>1187</v>
      </c>
      <c r="F16" s="402">
        <f>IF(C16=0,0,+E16/C16)</f>
        <v>4.3794273907910269E-2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1759</v>
      </c>
      <c r="D19" s="409">
        <v>1804</v>
      </c>
      <c r="E19" s="409">
        <f>+D19-C19</f>
        <v>45</v>
      </c>
      <c r="F19" s="410">
        <f>IF(C19=0,0,+E19/C19)</f>
        <v>2.5582717453098352E-2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3806</v>
      </c>
      <c r="D20" s="409">
        <v>4125</v>
      </c>
      <c r="E20" s="409">
        <f>+D20-C20</f>
        <v>319</v>
      </c>
      <c r="F20" s="410">
        <f>IF(C20=0,0,+E20/C20)</f>
        <v>8.3815028901734104E-2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237</v>
      </c>
      <c r="D21" s="409">
        <v>152</v>
      </c>
      <c r="E21" s="409">
        <f>+D21-C21</f>
        <v>-85</v>
      </c>
      <c r="F21" s="410">
        <f>IF(C21=0,0,+E21/C21)</f>
        <v>-0.35864978902953587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5802</v>
      </c>
      <c r="D23" s="401">
        <f>SUM(D19:D22)</f>
        <v>6081</v>
      </c>
      <c r="E23" s="401">
        <f>+D23-C23</f>
        <v>279</v>
      </c>
      <c r="F23" s="402">
        <f>IF(C23=0,0,+E23/C23)</f>
        <v>4.8086866597724924E-2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3</v>
      </c>
      <c r="D33" s="409">
        <v>5</v>
      </c>
      <c r="E33" s="409">
        <f>+D33-C33</f>
        <v>2</v>
      </c>
      <c r="F33" s="410">
        <f>IF(C33=0,0,+E33/C33)</f>
        <v>0.66666666666666663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406</v>
      </c>
      <c r="D34" s="409">
        <v>616</v>
      </c>
      <c r="E34" s="409">
        <f>+D34-C34</f>
        <v>210</v>
      </c>
      <c r="F34" s="410">
        <f>IF(C34=0,0,+E34/C34)</f>
        <v>0.51724137931034486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1</v>
      </c>
      <c r="E35" s="409">
        <f>+D35-C35</f>
        <v>1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409</v>
      </c>
      <c r="D37" s="401">
        <f>SUM(D33:D36)</f>
        <v>622</v>
      </c>
      <c r="E37" s="401">
        <f>+D37-C37</f>
        <v>213</v>
      </c>
      <c r="F37" s="402">
        <f>IF(C37=0,0,+E37/C37)</f>
        <v>0.52078239608801957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244</v>
      </c>
      <c r="D43" s="409">
        <v>298</v>
      </c>
      <c r="E43" s="409">
        <f>+D43-C43</f>
        <v>54</v>
      </c>
      <c r="F43" s="410">
        <f>IF(C43=0,0,+E43/C43)</f>
        <v>0.22131147540983606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11349</v>
      </c>
      <c r="D44" s="409">
        <v>10929</v>
      </c>
      <c r="E44" s="409">
        <f>+D44-C44</f>
        <v>-420</v>
      </c>
      <c r="F44" s="410">
        <f>IF(C44=0,0,+E44/C44)</f>
        <v>-3.7007665873645255E-2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11593</v>
      </c>
      <c r="D45" s="401">
        <f>SUM(D43:D44)</f>
        <v>11227</v>
      </c>
      <c r="E45" s="401">
        <f>+D45-C45</f>
        <v>-366</v>
      </c>
      <c r="F45" s="402">
        <f>IF(C45=0,0,+E45/C45)</f>
        <v>-3.1570775467954802E-2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442</v>
      </c>
      <c r="D48" s="409">
        <v>497</v>
      </c>
      <c r="E48" s="409">
        <f>+D48-C48</f>
        <v>55</v>
      </c>
      <c r="F48" s="410">
        <f>IF(C48=0,0,+E48/C48)</f>
        <v>0.1244343891402715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497</v>
      </c>
      <c r="D49" s="409">
        <v>596</v>
      </c>
      <c r="E49" s="409">
        <f>+D49-C49</f>
        <v>99</v>
      </c>
      <c r="F49" s="410">
        <f>IF(C49=0,0,+E49/C49)</f>
        <v>0.19919517102615694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939</v>
      </c>
      <c r="D50" s="401">
        <f>SUM(D48:D49)</f>
        <v>1093</v>
      </c>
      <c r="E50" s="401">
        <f>+D50-C50</f>
        <v>154</v>
      </c>
      <c r="F50" s="402">
        <f>IF(C50=0,0,+E50/C50)</f>
        <v>0.16400425985090522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92</v>
      </c>
      <c r="D53" s="409">
        <v>83</v>
      </c>
      <c r="E53" s="409">
        <f>+D53-C53</f>
        <v>-9</v>
      </c>
      <c r="F53" s="410">
        <f>IF(C53=0,0,+E53/C53)</f>
        <v>-9.7826086956521743E-2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67</v>
      </c>
      <c r="D54" s="409">
        <v>54</v>
      </c>
      <c r="E54" s="409">
        <f>+D54-C54</f>
        <v>-13</v>
      </c>
      <c r="F54" s="410">
        <f>IF(C54=0,0,+E54/C54)</f>
        <v>-0.19402985074626866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159</v>
      </c>
      <c r="D55" s="401">
        <f>SUM(D53:D54)</f>
        <v>137</v>
      </c>
      <c r="E55" s="401">
        <f>+D55-C55</f>
        <v>-22</v>
      </c>
      <c r="F55" s="402">
        <f>IF(C55=0,0,+E55/C55)</f>
        <v>-0.13836477987421383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124</v>
      </c>
      <c r="D58" s="409">
        <v>118</v>
      </c>
      <c r="E58" s="409">
        <f>+D58-C58</f>
        <v>-6</v>
      </c>
      <c r="F58" s="410">
        <f>IF(C58=0,0,+E58/C58)</f>
        <v>-4.8387096774193547E-2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359</v>
      </c>
      <c r="D59" s="409">
        <v>421</v>
      </c>
      <c r="E59" s="409">
        <f>+D59-C59</f>
        <v>62</v>
      </c>
      <c r="F59" s="410">
        <f>IF(C59=0,0,+E59/C59)</f>
        <v>0.17270194986072424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483</v>
      </c>
      <c r="D60" s="401">
        <f>SUM(D58:D59)</f>
        <v>539</v>
      </c>
      <c r="E60" s="401">
        <f>SUM(E58:E59)</f>
        <v>56</v>
      </c>
      <c r="F60" s="402">
        <f>IF(C60=0,0,+E60/C60)</f>
        <v>0.11594202898550725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3852</v>
      </c>
      <c r="D63" s="409">
        <v>3614</v>
      </c>
      <c r="E63" s="409">
        <f>+D63-C63</f>
        <v>-238</v>
      </c>
      <c r="F63" s="410">
        <f>IF(C63=0,0,+E63/C63)</f>
        <v>-6.1786085150571129E-2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8900</v>
      </c>
      <c r="D64" s="409">
        <v>9096</v>
      </c>
      <c r="E64" s="409">
        <f>+D64-C64</f>
        <v>196</v>
      </c>
      <c r="F64" s="410">
        <f>IF(C64=0,0,+E64/C64)</f>
        <v>2.2022471910112359E-2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12752</v>
      </c>
      <c r="D65" s="401">
        <f>SUM(D63:D64)</f>
        <v>12710</v>
      </c>
      <c r="E65" s="401">
        <f>+D65-C65</f>
        <v>-42</v>
      </c>
      <c r="F65" s="402">
        <f>IF(C65=0,0,+E65/C65)</f>
        <v>-3.2936010037641155E-3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362</v>
      </c>
      <c r="D68" s="409">
        <v>366</v>
      </c>
      <c r="E68" s="409">
        <f>+D68-C68</f>
        <v>4</v>
      </c>
      <c r="F68" s="410">
        <f>IF(C68=0,0,+E68/C68)</f>
        <v>1.1049723756906077E-2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4145</v>
      </c>
      <c r="D69" s="409">
        <v>4253</v>
      </c>
      <c r="E69" s="409">
        <f>+D69-C69</f>
        <v>108</v>
      </c>
      <c r="F69" s="412">
        <f>IF(C69=0,0,+E69/C69)</f>
        <v>2.6055488540410131E-2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4507</v>
      </c>
      <c r="D70" s="401">
        <f>SUM(D68:D69)</f>
        <v>4619</v>
      </c>
      <c r="E70" s="401">
        <f>+D70-C70</f>
        <v>112</v>
      </c>
      <c r="F70" s="402">
        <f>IF(C70=0,0,+E70/C70)</f>
        <v>2.4850232970934104E-2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15012</v>
      </c>
      <c r="D73" s="376">
        <v>12434</v>
      </c>
      <c r="E73" s="409">
        <f>+D73-C73</f>
        <v>-2578</v>
      </c>
      <c r="F73" s="410">
        <f>IF(C73=0,0,+E73/C73)</f>
        <v>-0.17172928324007461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76274</v>
      </c>
      <c r="D74" s="376">
        <v>75570</v>
      </c>
      <c r="E74" s="409">
        <f>+D74-C74</f>
        <v>-704</v>
      </c>
      <c r="F74" s="410">
        <f>IF(C74=0,0,+E74/C74)</f>
        <v>-9.229881742140178E-3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91286</v>
      </c>
      <c r="D75" s="401">
        <f>SUM(D73:D74)</f>
        <v>88004</v>
      </c>
      <c r="E75" s="401">
        <f>SUM(E73:E74)</f>
        <v>-3282</v>
      </c>
      <c r="F75" s="402">
        <f>IF(C75=0,0,+E75/C75)</f>
        <v>-3.5952939114431565E-2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2</v>
      </c>
      <c r="D83" s="376">
        <v>0</v>
      </c>
      <c r="E83" s="409">
        <f t="shared" si="0"/>
        <v>-2</v>
      </c>
      <c r="F83" s="410">
        <f t="shared" si="1"/>
        <v>-1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19056</v>
      </c>
      <c r="D86" s="376">
        <v>14521</v>
      </c>
      <c r="E86" s="409">
        <f t="shared" si="0"/>
        <v>-4535</v>
      </c>
      <c r="F86" s="410">
        <f t="shared" si="1"/>
        <v>-0.23798278757346766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8406</v>
      </c>
      <c r="D90" s="376">
        <v>7817</v>
      </c>
      <c r="E90" s="409">
        <f t="shared" si="0"/>
        <v>-589</v>
      </c>
      <c r="F90" s="410">
        <f t="shared" si="1"/>
        <v>-7.0068998334522958E-2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2905</v>
      </c>
      <c r="D91" s="376">
        <v>2799</v>
      </c>
      <c r="E91" s="409">
        <f t="shared" si="0"/>
        <v>-106</v>
      </c>
      <c r="F91" s="410">
        <f t="shared" si="1"/>
        <v>-3.648881239242685E-2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30369</v>
      </c>
      <c r="D92" s="381">
        <f>SUM(D79:D91)</f>
        <v>25137</v>
      </c>
      <c r="E92" s="401">
        <f t="shared" si="0"/>
        <v>-5232</v>
      </c>
      <c r="F92" s="402">
        <f t="shared" si="1"/>
        <v>-0.17228094438407587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80298</v>
      </c>
      <c r="D95" s="414">
        <v>78899</v>
      </c>
      <c r="E95" s="415">
        <f t="shared" ref="E95:E100" si="2">+D95-C95</f>
        <v>-1399</v>
      </c>
      <c r="F95" s="412">
        <f t="shared" ref="F95:F100" si="3">IF(C95=0,0,+E95/C95)</f>
        <v>-1.7422600811975393E-2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4202</v>
      </c>
      <c r="D96" s="414">
        <v>4146</v>
      </c>
      <c r="E96" s="409">
        <f t="shared" si="2"/>
        <v>-56</v>
      </c>
      <c r="F96" s="410">
        <f t="shared" si="3"/>
        <v>-1.3326987148976678E-2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1478</v>
      </c>
      <c r="D97" s="414">
        <v>1170</v>
      </c>
      <c r="E97" s="409">
        <f t="shared" si="2"/>
        <v>-308</v>
      </c>
      <c r="F97" s="410">
        <f t="shared" si="3"/>
        <v>-0.2083897158322057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7062</v>
      </c>
      <c r="D98" s="414">
        <v>7265</v>
      </c>
      <c r="E98" s="409">
        <f t="shared" si="2"/>
        <v>203</v>
      </c>
      <c r="F98" s="410">
        <f t="shared" si="3"/>
        <v>2.874539790427641E-2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88394</v>
      </c>
      <c r="D99" s="414">
        <v>102139</v>
      </c>
      <c r="E99" s="409">
        <f t="shared" si="2"/>
        <v>13745</v>
      </c>
      <c r="F99" s="410">
        <f t="shared" si="3"/>
        <v>0.15549697943299318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181434</v>
      </c>
      <c r="D100" s="381">
        <f>SUM(D95:D99)</f>
        <v>193619</v>
      </c>
      <c r="E100" s="401">
        <f t="shared" si="2"/>
        <v>12185</v>
      </c>
      <c r="F100" s="402">
        <f t="shared" si="3"/>
        <v>6.7159407828742135E-2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666.6</v>
      </c>
      <c r="D104" s="416">
        <v>677.8</v>
      </c>
      <c r="E104" s="417">
        <f>+D104-C104</f>
        <v>11.199999999999932</v>
      </c>
      <c r="F104" s="410">
        <f>IF(C104=0,0,+E104/C104)</f>
        <v>1.6801680168016697E-2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122.4</v>
      </c>
      <c r="D105" s="416">
        <v>125.8</v>
      </c>
      <c r="E105" s="417">
        <f>+D105-C105</f>
        <v>3.3999999999999915</v>
      </c>
      <c r="F105" s="410">
        <f>IF(C105=0,0,+E105/C105)</f>
        <v>2.7777777777777707E-2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1348.9</v>
      </c>
      <c r="D106" s="416">
        <v>1355.9</v>
      </c>
      <c r="E106" s="417">
        <f>+D106-C106</f>
        <v>7</v>
      </c>
      <c r="F106" s="410">
        <f>IF(C106=0,0,+E106/C106)</f>
        <v>5.1894135962636222E-3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2137.9</v>
      </c>
      <c r="D107" s="418">
        <f>SUM(D104:D106)</f>
        <v>2159.5</v>
      </c>
      <c r="E107" s="418">
        <f>+D107-C107</f>
        <v>21.599999999999909</v>
      </c>
      <c r="F107" s="402">
        <f>IF(C107=0,0,+E107/C107)</f>
        <v>1.010337246830998E-2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FILING&amp;RBRIDGEPORT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8900</v>
      </c>
      <c r="D12" s="409">
        <v>9096</v>
      </c>
      <c r="E12" s="409">
        <f>+D12-C12</f>
        <v>196</v>
      </c>
      <c r="F12" s="410">
        <f>IF(C12=0,0,+E12/C12)</f>
        <v>2.2022471910112359E-2</v>
      </c>
    </row>
    <row r="13" spans="1:6" ht="15.75" customHeight="1" x14ac:dyDescent="0.25">
      <c r="A13" s="374"/>
      <c r="B13" s="399" t="s">
        <v>622</v>
      </c>
      <c r="C13" s="401">
        <f>SUM(C11:C12)</f>
        <v>8900</v>
      </c>
      <c r="D13" s="401">
        <f>SUM(D11:D12)</f>
        <v>9096</v>
      </c>
      <c r="E13" s="401">
        <f>+D13-C13</f>
        <v>196</v>
      </c>
      <c r="F13" s="402">
        <f>IF(C13=0,0,+E13/C13)</f>
        <v>2.2022471910112359E-2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4145</v>
      </c>
      <c r="D16" s="409">
        <v>4253</v>
      </c>
      <c r="E16" s="409">
        <f>+D16-C16</f>
        <v>108</v>
      </c>
      <c r="F16" s="410">
        <f>IF(C16=0,0,+E16/C16)</f>
        <v>2.6055488540410131E-2</v>
      </c>
    </row>
    <row r="17" spans="1:6" ht="15.75" customHeight="1" x14ac:dyDescent="0.25">
      <c r="A17" s="374"/>
      <c r="B17" s="399" t="s">
        <v>623</v>
      </c>
      <c r="C17" s="401">
        <f>SUM(C15:C16)</f>
        <v>4145</v>
      </c>
      <c r="D17" s="401">
        <f>SUM(D15:D16)</f>
        <v>4253</v>
      </c>
      <c r="E17" s="401">
        <f>+D17-C17</f>
        <v>108</v>
      </c>
      <c r="F17" s="402">
        <f>IF(C17=0,0,+E17/C17)</f>
        <v>2.6055488540410131E-2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76274</v>
      </c>
      <c r="D20" s="409">
        <v>75570</v>
      </c>
      <c r="E20" s="409">
        <f>+D20-C20</f>
        <v>-704</v>
      </c>
      <c r="F20" s="410">
        <f>IF(C20=0,0,+E20/C20)</f>
        <v>-9.229881742140178E-3</v>
      </c>
    </row>
    <row r="21" spans="1:6" ht="15.75" customHeight="1" x14ac:dyDescent="0.25">
      <c r="A21" s="374"/>
      <c r="B21" s="399" t="s">
        <v>625</v>
      </c>
      <c r="C21" s="401">
        <f>SUM(C19:C20)</f>
        <v>76274</v>
      </c>
      <c r="D21" s="401">
        <f>SUM(D19:D20)</f>
        <v>75570</v>
      </c>
      <c r="E21" s="401">
        <f>+D21-C21</f>
        <v>-704</v>
      </c>
      <c r="F21" s="402">
        <f>IF(C21=0,0,+E21/C21)</f>
        <v>-9.229881742140178E-3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FILING&amp;RBRIDGEPORT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438394231</v>
      </c>
      <c r="D15" s="448">
        <v>436901713</v>
      </c>
      <c r="E15" s="448">
        <f t="shared" ref="E15:E24" si="0">D15-C15</f>
        <v>-1492518</v>
      </c>
      <c r="F15" s="449">
        <f t="shared" ref="F15:F24" si="1">IF(C15=0,0,E15/C15)</f>
        <v>-3.4045110415697965E-3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141330892</v>
      </c>
      <c r="D16" s="448">
        <v>134836551</v>
      </c>
      <c r="E16" s="448">
        <f t="shared" si="0"/>
        <v>-6494341</v>
      </c>
      <c r="F16" s="449">
        <f t="shared" si="1"/>
        <v>-4.5951319687418377E-2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0.32238310179770591</v>
      </c>
      <c r="D17" s="453">
        <f>IF(LN_IA1=0,0,LN_IA2/LN_IA1)</f>
        <v>0.30861987258905527</v>
      </c>
      <c r="E17" s="454">
        <f t="shared" si="0"/>
        <v>-1.376322920865064E-2</v>
      </c>
      <c r="F17" s="449">
        <f t="shared" si="1"/>
        <v>-4.2692154557427801E-2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7920</v>
      </c>
      <c r="D18" s="456">
        <v>8160</v>
      </c>
      <c r="E18" s="456">
        <f t="shared" si="0"/>
        <v>240</v>
      </c>
      <c r="F18" s="449">
        <f t="shared" si="1"/>
        <v>3.0303030303030304E-2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1.6468</v>
      </c>
      <c r="D19" s="459">
        <v>1.6724600000000001</v>
      </c>
      <c r="E19" s="460">
        <f t="shared" si="0"/>
        <v>2.5660000000000016E-2</v>
      </c>
      <c r="F19" s="449">
        <f t="shared" si="1"/>
        <v>1.558173427252855E-2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13042.656000000001</v>
      </c>
      <c r="D20" s="463">
        <f>LN_IA4*LN_IA5</f>
        <v>13647.2736</v>
      </c>
      <c r="E20" s="463">
        <f t="shared" si="0"/>
        <v>604.61759999999958</v>
      </c>
      <c r="F20" s="449">
        <f t="shared" si="1"/>
        <v>4.6356938341393004E-2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10836.05149135268</v>
      </c>
      <c r="D21" s="465">
        <f>IF(LN_IA6=0,0,LN_IA2/LN_IA6)</f>
        <v>9880.1090204566572</v>
      </c>
      <c r="E21" s="465">
        <f t="shared" si="0"/>
        <v>-955.94247089602322</v>
      </c>
      <c r="F21" s="449">
        <f t="shared" si="1"/>
        <v>-8.8218708785103003E-2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56895</v>
      </c>
      <c r="D22" s="456">
        <v>54474</v>
      </c>
      <c r="E22" s="456">
        <f t="shared" si="0"/>
        <v>-2421</v>
      </c>
      <c r="F22" s="449">
        <f t="shared" si="1"/>
        <v>-4.2552069601898231E-2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2484.0652429914753</v>
      </c>
      <c r="D23" s="465">
        <f>IF(LN_IA8=0,0,LN_IA2/LN_IA8)</f>
        <v>2475.246007269523</v>
      </c>
      <c r="E23" s="465">
        <f t="shared" si="0"/>
        <v>-8.8192357219522819</v>
      </c>
      <c r="F23" s="449">
        <f t="shared" si="1"/>
        <v>-3.5503237070100366E-3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7.1837121212121211</v>
      </c>
      <c r="D24" s="466">
        <f>IF(LN_IA4=0,0,LN_IA8/LN_IA4)</f>
        <v>6.6757352941176471</v>
      </c>
      <c r="E24" s="466">
        <f t="shared" si="0"/>
        <v>-0.507976827094474</v>
      </c>
      <c r="F24" s="449">
        <f t="shared" si="1"/>
        <v>-7.0712302848901204E-2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241849912</v>
      </c>
      <c r="D27" s="448">
        <v>252478826</v>
      </c>
      <c r="E27" s="448">
        <f t="shared" ref="E27:E32" si="2">D27-C27</f>
        <v>10628914</v>
      </c>
      <c r="F27" s="449">
        <f t="shared" ref="F27:F32" si="3">IF(C27=0,0,E27/C27)</f>
        <v>4.394838894958953E-2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39619572</v>
      </c>
      <c r="D28" s="448">
        <v>43767919</v>
      </c>
      <c r="E28" s="448">
        <f t="shared" si="2"/>
        <v>4148347</v>
      </c>
      <c r="F28" s="449">
        <f t="shared" si="3"/>
        <v>0.10470448797377216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0.16381883984311724</v>
      </c>
      <c r="D29" s="453">
        <f>IF(LN_IA11=0,0,LN_IA12/LN_IA11)</f>
        <v>0.17335282999137519</v>
      </c>
      <c r="E29" s="454">
        <f t="shared" si="2"/>
        <v>9.5339901482579537E-3</v>
      </c>
      <c r="F29" s="449">
        <f t="shared" si="3"/>
        <v>5.8198374236981994E-2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0.55167220482880852</v>
      </c>
      <c r="D30" s="453">
        <f>IF(LN_IA1=0,0,LN_IA11/LN_IA1)</f>
        <v>0.57788472438422323</v>
      </c>
      <c r="E30" s="454">
        <f t="shared" si="2"/>
        <v>2.6212519555414704E-2</v>
      </c>
      <c r="F30" s="449">
        <f t="shared" si="3"/>
        <v>4.751466419003076E-2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4369.2438622441632</v>
      </c>
      <c r="D31" s="463">
        <f>LN_IA14*LN_IA4</f>
        <v>4715.5393509752612</v>
      </c>
      <c r="E31" s="463">
        <f t="shared" si="2"/>
        <v>346.29548873109798</v>
      </c>
      <c r="F31" s="449">
        <f t="shared" si="3"/>
        <v>7.925753280184987E-2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9067.8326156989333</v>
      </c>
      <c r="D32" s="465">
        <f>IF(LN_IA15=0,0,LN_IA12/LN_IA15)</f>
        <v>9281.6358304693149</v>
      </c>
      <c r="E32" s="465">
        <f t="shared" si="2"/>
        <v>213.8032147703816</v>
      </c>
      <c r="F32" s="449">
        <f t="shared" si="3"/>
        <v>2.3578204829258639E-2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680244143</v>
      </c>
      <c r="D35" s="448">
        <f>LN_IA1+LN_IA11</f>
        <v>689380539</v>
      </c>
      <c r="E35" s="448">
        <f>D35-C35</f>
        <v>9136396</v>
      </c>
      <c r="F35" s="449">
        <f>IF(C35=0,0,E35/C35)</f>
        <v>1.3431054267820429E-2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180950464</v>
      </c>
      <c r="D36" s="448">
        <f>LN_IA2+LN_IA12</f>
        <v>178604470</v>
      </c>
      <c r="E36" s="448">
        <f>D36-C36</f>
        <v>-2345994</v>
      </c>
      <c r="F36" s="449">
        <f>IF(C36=0,0,E36/C36)</f>
        <v>-1.2964841029642234E-2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499293679</v>
      </c>
      <c r="D37" s="448">
        <f>LN_IA17-LN_IA18</f>
        <v>510776069</v>
      </c>
      <c r="E37" s="448">
        <f>D37-C37</f>
        <v>11482390</v>
      </c>
      <c r="F37" s="449">
        <f>IF(C37=0,0,E37/C37)</f>
        <v>2.2997266905115377E-2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214836674</v>
      </c>
      <c r="D42" s="448">
        <v>202622724</v>
      </c>
      <c r="E42" s="448">
        <f t="shared" ref="E42:E53" si="4">D42-C42</f>
        <v>-12213950</v>
      </c>
      <c r="F42" s="449">
        <f t="shared" ref="F42:F53" si="5">IF(C42=0,0,E42/C42)</f>
        <v>-5.6852257915703905E-2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103455045</v>
      </c>
      <c r="D43" s="448">
        <v>94956952</v>
      </c>
      <c r="E43" s="448">
        <f t="shared" si="4"/>
        <v>-8498093</v>
      </c>
      <c r="F43" s="449">
        <f t="shared" si="5"/>
        <v>-8.214285731546489E-2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0.48155206964337943</v>
      </c>
      <c r="D44" s="453">
        <f>IF(LN_IB1=0,0,LN_IB2/LN_IB1)</f>
        <v>0.46863920356731559</v>
      </c>
      <c r="E44" s="454">
        <f t="shared" si="4"/>
        <v>-1.2912866076063845E-2</v>
      </c>
      <c r="F44" s="449">
        <f t="shared" si="5"/>
        <v>-2.6815098283404035E-2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5639</v>
      </c>
      <c r="D45" s="456">
        <v>5694</v>
      </c>
      <c r="E45" s="456">
        <f t="shared" si="4"/>
        <v>55</v>
      </c>
      <c r="F45" s="449">
        <f t="shared" si="5"/>
        <v>9.7535023940414963E-3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1.28301</v>
      </c>
      <c r="D46" s="459">
        <v>1.2920799999999999</v>
      </c>
      <c r="E46" s="460">
        <f t="shared" si="4"/>
        <v>9.0699999999999115E-3</v>
      </c>
      <c r="F46" s="449">
        <f t="shared" si="5"/>
        <v>7.0693135673142934E-3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7234.8933900000002</v>
      </c>
      <c r="D47" s="463">
        <f>LN_IB4*LN_IB5</f>
        <v>7357.1035199999997</v>
      </c>
      <c r="E47" s="463">
        <f t="shared" si="4"/>
        <v>122.21012999999948</v>
      </c>
      <c r="F47" s="449">
        <f t="shared" si="5"/>
        <v>1.6891766528158818E-2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14299.456733252568</v>
      </c>
      <c r="D48" s="465">
        <f>IF(LN_IB6=0,0,LN_IB2/LN_IB6)</f>
        <v>12906.839184994913</v>
      </c>
      <c r="E48" s="465">
        <f t="shared" si="4"/>
        <v>-1392.6175482576546</v>
      </c>
      <c r="F48" s="449">
        <f t="shared" si="5"/>
        <v>-9.738954243060173E-2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-3463.4052418998872</v>
      </c>
      <c r="D49" s="465">
        <f>LN_IA7-LN_IB7</f>
        <v>-3026.7301645382558</v>
      </c>
      <c r="E49" s="465">
        <f t="shared" si="4"/>
        <v>436.67507736163134</v>
      </c>
      <c r="F49" s="449">
        <f t="shared" si="5"/>
        <v>-0.1260825825631911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-25057367.691512845</v>
      </c>
      <c r="D50" s="479">
        <f>LN_IB8*LN_IB6</f>
        <v>-22267967.14761458</v>
      </c>
      <c r="E50" s="479">
        <f t="shared" si="4"/>
        <v>2789400.5438982658</v>
      </c>
      <c r="F50" s="449">
        <f t="shared" si="5"/>
        <v>-0.11132057358295702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24080</v>
      </c>
      <c r="D51" s="456">
        <v>22090</v>
      </c>
      <c r="E51" s="456">
        <f t="shared" si="4"/>
        <v>-1990</v>
      </c>
      <c r="F51" s="449">
        <f t="shared" si="5"/>
        <v>-8.2641196013289037E-2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4296.3058554817271</v>
      </c>
      <c r="D52" s="465">
        <f>IF(LN_IB10=0,0,LN_IB2/LN_IB10)</f>
        <v>4298.6397464916254</v>
      </c>
      <c r="E52" s="465">
        <f t="shared" si="4"/>
        <v>2.3338910098982524</v>
      </c>
      <c r="F52" s="449">
        <f t="shared" si="5"/>
        <v>5.432320436219415E-4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4.270260684518532</v>
      </c>
      <c r="D53" s="466">
        <f>IF(LN_IB4=0,0,LN_IB10/LN_IB4)</f>
        <v>3.8795223041798383</v>
      </c>
      <c r="E53" s="466">
        <f t="shared" si="4"/>
        <v>-0.39073838033869368</v>
      </c>
      <c r="F53" s="449">
        <f t="shared" si="5"/>
        <v>-9.1502231176490589E-2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333257720</v>
      </c>
      <c r="D56" s="448">
        <v>334645820</v>
      </c>
      <c r="E56" s="448">
        <f t="shared" ref="E56:E63" si="6">D56-C56</f>
        <v>1388100</v>
      </c>
      <c r="F56" s="449">
        <f t="shared" ref="F56:F63" si="7">IF(C56=0,0,E56/C56)</f>
        <v>4.1652448441404444E-3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124025751</v>
      </c>
      <c r="D57" s="448">
        <v>118641692</v>
      </c>
      <c r="E57" s="448">
        <f t="shared" si="6"/>
        <v>-5384059</v>
      </c>
      <c r="F57" s="449">
        <f t="shared" si="7"/>
        <v>-4.3410815549103185E-2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0.37216167415416512</v>
      </c>
      <c r="D58" s="453">
        <f>IF(LN_IB13=0,0,LN_IB14/LN_IB13)</f>
        <v>0.35452913172499811</v>
      </c>
      <c r="E58" s="454">
        <f t="shared" si="6"/>
        <v>-1.7632542429167009E-2</v>
      </c>
      <c r="F58" s="449">
        <f t="shared" si="7"/>
        <v>-4.7378716438874528E-2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1.5512142959353392</v>
      </c>
      <c r="D59" s="453">
        <f>IF(LN_IB1=0,0,LN_IB13/LN_IB1)</f>
        <v>1.6515710251728726</v>
      </c>
      <c r="E59" s="454">
        <f t="shared" si="6"/>
        <v>0.10035672923753336</v>
      </c>
      <c r="F59" s="449">
        <f t="shared" si="7"/>
        <v>6.469559331711873E-2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8747.2974147793775</v>
      </c>
      <c r="D60" s="463">
        <f>LN_IB16*LN_IB4</f>
        <v>9404.0454173343369</v>
      </c>
      <c r="E60" s="463">
        <f t="shared" si="6"/>
        <v>656.74800255495938</v>
      </c>
      <c r="F60" s="449">
        <f t="shared" si="7"/>
        <v>7.5080104335462763E-2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14178.750889440078</v>
      </c>
      <c r="D61" s="465">
        <f>IF(LN_IB17=0,0,LN_IB14/LN_IB17)</f>
        <v>12616.02711757533</v>
      </c>
      <c r="E61" s="465">
        <f t="shared" si="6"/>
        <v>-1562.7237718647484</v>
      </c>
      <c r="F61" s="449">
        <f t="shared" si="7"/>
        <v>-0.11021589870999284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-5110.9182737411447</v>
      </c>
      <c r="D62" s="465">
        <f>LN_IA16-LN_IB18</f>
        <v>-3334.3912871060147</v>
      </c>
      <c r="E62" s="465">
        <f t="shared" si="6"/>
        <v>1776.52698663513</v>
      </c>
      <c r="F62" s="449">
        <f t="shared" si="7"/>
        <v>-0.34759448136014287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-44706722.203044593</v>
      </c>
      <c r="D63" s="448">
        <f>LN_IB19*LN_IB17</f>
        <v>-31356767.103108861</v>
      </c>
      <c r="E63" s="448">
        <f t="shared" si="6"/>
        <v>13349955.099935733</v>
      </c>
      <c r="F63" s="449">
        <f t="shared" si="7"/>
        <v>-0.2986118069516307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548094394</v>
      </c>
      <c r="D66" s="448">
        <f>LN_IB1+LN_IB13</f>
        <v>537268544</v>
      </c>
      <c r="E66" s="448">
        <f>D66-C66</f>
        <v>-10825850</v>
      </c>
      <c r="F66" s="449">
        <f>IF(C66=0,0,E66/C66)</f>
        <v>-1.9751798446601153E-2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227480796</v>
      </c>
      <c r="D67" s="448">
        <f>LN_IB2+LN_IB14</f>
        <v>213598644</v>
      </c>
      <c r="E67" s="448">
        <f>D67-C67</f>
        <v>-13882152</v>
      </c>
      <c r="F67" s="449">
        <f>IF(C67=0,0,E67/C67)</f>
        <v>-6.1025599716997649E-2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320613598</v>
      </c>
      <c r="D68" s="448">
        <f>LN_IB21-LN_IB22</f>
        <v>323669900</v>
      </c>
      <c r="E68" s="448">
        <f>D68-C68</f>
        <v>3056302</v>
      </c>
      <c r="F68" s="449">
        <f>IF(C68=0,0,E68/C68)</f>
        <v>9.5326649245862614E-3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-69764089.894557446</v>
      </c>
      <c r="D70" s="441">
        <f>LN_IB9+LN_IB20</f>
        <v>-53624734.250723436</v>
      </c>
      <c r="E70" s="448">
        <f>D70-C70</f>
        <v>16139355.64383401</v>
      </c>
      <c r="F70" s="449">
        <f>IF(C70=0,0,E70/C70)</f>
        <v>-0.23134187901293185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481291196</v>
      </c>
      <c r="D73" s="488">
        <v>476784876</v>
      </c>
      <c r="E73" s="488">
        <f>D73-C73</f>
        <v>-4506320</v>
      </c>
      <c r="F73" s="489">
        <f>IF(C73=0,0,E73/C73)</f>
        <v>-9.3629803276102305E-3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287018071</v>
      </c>
      <c r="D74" s="488">
        <v>277391098</v>
      </c>
      <c r="E74" s="488">
        <f>D74-C74</f>
        <v>-9626973</v>
      </c>
      <c r="F74" s="489">
        <f>IF(C74=0,0,E74/C74)</f>
        <v>-3.3541347994078048E-2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194273125</v>
      </c>
      <c r="D76" s="441">
        <f>LN_IB32-LN_IB33</f>
        <v>199393778</v>
      </c>
      <c r="E76" s="488">
        <f>D76-C76</f>
        <v>5120653</v>
      </c>
      <c r="F76" s="489">
        <f>IF(E76=0,0,E76/C76)</f>
        <v>2.6358010146797197E-2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0.40364986231744826</v>
      </c>
      <c r="D77" s="453">
        <f>IF(LN_IB32=0,0,LN_IB34/LN_IB32)</f>
        <v>0.41820491386559838</v>
      </c>
      <c r="E77" s="493">
        <f>D77-C77</f>
        <v>1.4555051548150122E-2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20207327</v>
      </c>
      <c r="D83" s="448">
        <v>10924791</v>
      </c>
      <c r="E83" s="448">
        <f t="shared" ref="E83:E95" si="8">D83-C83</f>
        <v>-9282536</v>
      </c>
      <c r="F83" s="449">
        <f t="shared" ref="F83:F95" si="9">IF(C83=0,0,E83/C83)</f>
        <v>-0.45936486305190194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10449109</v>
      </c>
      <c r="D84" s="448">
        <v>5502869</v>
      </c>
      <c r="E84" s="448">
        <f t="shared" si="8"/>
        <v>-4946240</v>
      </c>
      <c r="F84" s="449">
        <f t="shared" si="9"/>
        <v>-0.47336476248836146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0.51709506160809893</v>
      </c>
      <c r="D85" s="453">
        <f>IF(LN_IC1=0,0,LN_IC2/LN_IC1)</f>
        <v>0.50370473906548874</v>
      </c>
      <c r="E85" s="454">
        <f t="shared" si="8"/>
        <v>-1.3390322542610189E-2</v>
      </c>
      <c r="F85" s="449">
        <f t="shared" si="9"/>
        <v>-2.589528219621362E-2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785</v>
      </c>
      <c r="D86" s="456">
        <v>261</v>
      </c>
      <c r="E86" s="456">
        <f t="shared" si="8"/>
        <v>-524</v>
      </c>
      <c r="F86" s="449">
        <f t="shared" si="9"/>
        <v>-0.66751592356687894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1.03671</v>
      </c>
      <c r="D87" s="459">
        <v>1.2895000000000001</v>
      </c>
      <c r="E87" s="460">
        <f t="shared" si="8"/>
        <v>0.25279000000000007</v>
      </c>
      <c r="F87" s="449">
        <f t="shared" si="9"/>
        <v>0.24383868198435441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813.81735000000003</v>
      </c>
      <c r="D88" s="463">
        <f>LN_IC4*LN_IC5</f>
        <v>336.55950000000001</v>
      </c>
      <c r="E88" s="463">
        <f t="shared" si="8"/>
        <v>-477.25785000000002</v>
      </c>
      <c r="F88" s="449">
        <f t="shared" si="9"/>
        <v>-0.58644344458864139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12839.624271957337</v>
      </c>
      <c r="D89" s="465">
        <f>IF(LN_IC6=0,0,LN_IC2/LN_IC6)</f>
        <v>16350.360040349477</v>
      </c>
      <c r="E89" s="465">
        <f t="shared" si="8"/>
        <v>3510.73576839214</v>
      </c>
      <c r="F89" s="449">
        <f t="shared" si="9"/>
        <v>0.27342979000248779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1459.832461295231</v>
      </c>
      <c r="D90" s="465">
        <f>LN_IB7-LN_IC7</f>
        <v>-3443.5208553545635</v>
      </c>
      <c r="E90" s="465">
        <f t="shared" si="8"/>
        <v>-4903.3533166497946</v>
      </c>
      <c r="F90" s="449">
        <f t="shared" si="9"/>
        <v>-3.3588466119593696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-2003.5727806046561</v>
      </c>
      <c r="D91" s="465">
        <f>LN_IA7-LN_IC7</f>
        <v>-6470.2510198928194</v>
      </c>
      <c r="E91" s="465">
        <f t="shared" si="8"/>
        <v>-4466.6782392881632</v>
      </c>
      <c r="F91" s="449">
        <f t="shared" si="9"/>
        <v>2.2293566186001832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-1630542.2908438127</v>
      </c>
      <c r="D92" s="441">
        <f>LN_IC9*LN_IC6</f>
        <v>-2177624.4481296176</v>
      </c>
      <c r="E92" s="441">
        <f t="shared" si="8"/>
        <v>-547082.15728580486</v>
      </c>
      <c r="F92" s="449">
        <f t="shared" si="9"/>
        <v>0.33552159938316439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3075</v>
      </c>
      <c r="D93" s="456">
        <v>1231</v>
      </c>
      <c r="E93" s="456">
        <f t="shared" si="8"/>
        <v>-1844</v>
      </c>
      <c r="F93" s="449">
        <f t="shared" si="9"/>
        <v>-0.59967479674796753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3398.0842276422763</v>
      </c>
      <c r="D94" s="499">
        <f>IF(LN_IC11=0,0,LN_IC2/LN_IC11)</f>
        <v>4470.2428919577578</v>
      </c>
      <c r="E94" s="499">
        <f t="shared" si="8"/>
        <v>1072.1586643154815</v>
      </c>
      <c r="F94" s="449">
        <f t="shared" si="9"/>
        <v>0.31551856648926768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3.9171974522292992</v>
      </c>
      <c r="D95" s="466">
        <f>IF(LN_IC4=0,0,LN_IC11/LN_IC4)</f>
        <v>4.7164750957854409</v>
      </c>
      <c r="E95" s="466">
        <f t="shared" si="8"/>
        <v>0.79927764355614173</v>
      </c>
      <c r="F95" s="449">
        <f t="shared" si="9"/>
        <v>0.20404323583465733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33171524</v>
      </c>
      <c r="D98" s="448">
        <v>38794461</v>
      </c>
      <c r="E98" s="448">
        <f t="shared" ref="E98:E106" si="10">D98-C98</f>
        <v>5622937</v>
      </c>
      <c r="F98" s="449">
        <f t="shared" ref="F98:F106" si="11">IF(C98=0,0,E98/C98)</f>
        <v>0.16951096368077631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16413766</v>
      </c>
      <c r="D99" s="448">
        <v>5014778</v>
      </c>
      <c r="E99" s="448">
        <f t="shared" si="10"/>
        <v>-11398988</v>
      </c>
      <c r="F99" s="449">
        <f t="shared" si="11"/>
        <v>-0.69447730642681271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0.49481495031702494</v>
      </c>
      <c r="D100" s="453">
        <f>IF(LN_IC14=0,0,LN_IC15/LN_IC14)</f>
        <v>0.12926530929247865</v>
      </c>
      <c r="E100" s="454">
        <f t="shared" si="10"/>
        <v>-0.36554964102454629</v>
      </c>
      <c r="F100" s="449">
        <f t="shared" si="11"/>
        <v>-0.73876029976527757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1.6415592225532847</v>
      </c>
      <c r="D101" s="453">
        <f>IF(LN_IC1=0,0,LN_IC14/LN_IC1)</f>
        <v>3.5510483449980872</v>
      </c>
      <c r="E101" s="454">
        <f t="shared" si="10"/>
        <v>1.9094891224448025</v>
      </c>
      <c r="F101" s="449">
        <f t="shared" si="11"/>
        <v>1.1632167126293373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1288.6239897043286</v>
      </c>
      <c r="D102" s="463">
        <f>LN_IC17*LN_IC4</f>
        <v>926.82361804450079</v>
      </c>
      <c r="E102" s="463">
        <f t="shared" si="10"/>
        <v>-361.80037165982776</v>
      </c>
      <c r="F102" s="449">
        <f t="shared" si="11"/>
        <v>-0.28076488917674264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12737.436312796021</v>
      </c>
      <c r="D103" s="465">
        <f>IF(LN_IC18=0,0,LN_IC15/LN_IC18)</f>
        <v>5410.7145117650844</v>
      </c>
      <c r="E103" s="465">
        <f t="shared" si="10"/>
        <v>-7326.7218010309361</v>
      </c>
      <c r="F103" s="449">
        <f t="shared" si="11"/>
        <v>-0.57521165335841684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1441.3145766440575</v>
      </c>
      <c r="D104" s="465">
        <f>LN_IB18-LN_IC19</f>
        <v>7205.3126058102453</v>
      </c>
      <c r="E104" s="465">
        <f t="shared" si="10"/>
        <v>5763.9980291661877</v>
      </c>
      <c r="F104" s="449">
        <f t="shared" si="11"/>
        <v>3.9991256055891862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-3669.6036970970872</v>
      </c>
      <c r="D105" s="465">
        <f>LN_IA16-LN_IC19</f>
        <v>3870.9213187042305</v>
      </c>
      <c r="E105" s="465">
        <f t="shared" si="10"/>
        <v>7540.5250158013177</v>
      </c>
      <c r="F105" s="449">
        <f t="shared" si="11"/>
        <v>-2.054860861887184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-4728739.3567870026</v>
      </c>
      <c r="D106" s="448">
        <f>LN_IC21*LN_IC18</f>
        <v>3587661.3017670452</v>
      </c>
      <c r="E106" s="448">
        <f t="shared" si="10"/>
        <v>8316400.6585540473</v>
      </c>
      <c r="F106" s="449">
        <f t="shared" si="11"/>
        <v>-1.7586929689025457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53378851</v>
      </c>
      <c r="D109" s="448">
        <f>LN_IC1+LN_IC14</f>
        <v>49719252</v>
      </c>
      <c r="E109" s="448">
        <f>D109-C109</f>
        <v>-3659599</v>
      </c>
      <c r="F109" s="449">
        <f>IF(C109=0,0,E109/C109)</f>
        <v>-6.855896916926893E-2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26862875</v>
      </c>
      <c r="D110" s="448">
        <f>LN_IC2+LN_IC15</f>
        <v>10517647</v>
      </c>
      <c r="E110" s="448">
        <f>D110-C110</f>
        <v>-16345228</v>
      </c>
      <c r="F110" s="449">
        <f>IF(C110=0,0,E110/C110)</f>
        <v>-0.60846904882667996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26515976</v>
      </c>
      <c r="D111" s="448">
        <f>LN_IC23-LN_IC24</f>
        <v>39201605</v>
      </c>
      <c r="E111" s="448">
        <f>D111-C111</f>
        <v>12685629</v>
      </c>
      <c r="F111" s="449">
        <f>IF(C111=0,0,E111/C111)</f>
        <v>0.47841456033901975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-6359281.6476308154</v>
      </c>
      <c r="D113" s="448">
        <f>LN_IC10+LN_IC22</f>
        <v>1410036.8536374276</v>
      </c>
      <c r="E113" s="448">
        <f>D113-C113</f>
        <v>7769318.5012682434</v>
      </c>
      <c r="F113" s="449">
        <f>IF(C113=0,0,E113/C113)</f>
        <v>-1.2217289517539682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222828904</v>
      </c>
      <c r="D118" s="448">
        <v>233980593</v>
      </c>
      <c r="E118" s="448">
        <f t="shared" ref="E118:E130" si="12">D118-C118</f>
        <v>11151689</v>
      </c>
      <c r="F118" s="449">
        <f t="shared" ref="F118:F130" si="13">IF(C118=0,0,E118/C118)</f>
        <v>5.004597159442116E-2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40320958</v>
      </c>
      <c r="D119" s="448">
        <v>51084429</v>
      </c>
      <c r="E119" s="448">
        <f t="shared" si="12"/>
        <v>10763471</v>
      </c>
      <c r="F119" s="449">
        <f t="shared" si="13"/>
        <v>0.26694482308679274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0.18095030436446433</v>
      </c>
      <c r="D120" s="453">
        <f>IF(LN_ID1=0,0,LN_1D2/LN_ID1)</f>
        <v>0.21832763283919021</v>
      </c>
      <c r="E120" s="454">
        <f t="shared" si="12"/>
        <v>3.7377328474725885E-2</v>
      </c>
      <c r="F120" s="449">
        <f t="shared" si="13"/>
        <v>0.20656129099093232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6240</v>
      </c>
      <c r="D121" s="456">
        <v>6767</v>
      </c>
      <c r="E121" s="456">
        <f t="shared" si="12"/>
        <v>527</v>
      </c>
      <c r="F121" s="449">
        <f t="shared" si="13"/>
        <v>8.445512820512821E-2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1.0688200000000001</v>
      </c>
      <c r="D122" s="459">
        <v>1.12961</v>
      </c>
      <c r="E122" s="460">
        <f t="shared" si="12"/>
        <v>6.07899999999999E-2</v>
      </c>
      <c r="F122" s="449">
        <f t="shared" si="13"/>
        <v>5.6875806964689933E-2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6669.4368000000004</v>
      </c>
      <c r="D123" s="463">
        <f>LN_ID4*LN_ID5</f>
        <v>7644.0708700000005</v>
      </c>
      <c r="E123" s="463">
        <f t="shared" si="12"/>
        <v>974.63407000000007</v>
      </c>
      <c r="F123" s="449">
        <f t="shared" si="13"/>
        <v>0.14613438873879125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6045.6316191496107</v>
      </c>
      <c r="D124" s="465">
        <f>IF(LN_ID6=0,0,LN_1D2/LN_ID6)</f>
        <v>6682.8827033101534</v>
      </c>
      <c r="E124" s="465">
        <f t="shared" si="12"/>
        <v>637.25108416054263</v>
      </c>
      <c r="F124" s="449">
        <f t="shared" si="13"/>
        <v>0.1054068663631509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8253.8251141029577</v>
      </c>
      <c r="D125" s="465">
        <f>LN_IB7-LN_ID7</f>
        <v>6223.9564816847596</v>
      </c>
      <c r="E125" s="465">
        <f t="shared" si="12"/>
        <v>-2029.8686324181981</v>
      </c>
      <c r="F125" s="449">
        <f t="shared" si="13"/>
        <v>-0.24593065692049235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4790.4198722030696</v>
      </c>
      <c r="D126" s="465">
        <f>LN_IA7-LN_ID7</f>
        <v>3197.2263171465038</v>
      </c>
      <c r="E126" s="465">
        <f t="shared" si="12"/>
        <v>-1593.1935550565659</v>
      </c>
      <c r="F126" s="449">
        <f t="shared" si="13"/>
        <v>-0.33257910528913009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31949402.583122451</v>
      </c>
      <c r="D127" s="479">
        <f>LN_ID9*LN_ID6</f>
        <v>24439824.555696972</v>
      </c>
      <c r="E127" s="479">
        <f t="shared" si="12"/>
        <v>-7509578.0274254791</v>
      </c>
      <c r="F127" s="449">
        <f t="shared" si="13"/>
        <v>-0.23504596080905998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28455</v>
      </c>
      <c r="D128" s="456">
        <v>29234</v>
      </c>
      <c r="E128" s="456">
        <f t="shared" si="12"/>
        <v>779</v>
      </c>
      <c r="F128" s="449">
        <f t="shared" si="13"/>
        <v>2.7376559479880512E-2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1417.0078369355122</v>
      </c>
      <c r="D129" s="465">
        <f>IF(LN_ID11=0,0,LN_1D2/LN_ID11)</f>
        <v>1747.4320654032974</v>
      </c>
      <c r="E129" s="465">
        <f t="shared" si="12"/>
        <v>330.42422846778527</v>
      </c>
      <c r="F129" s="449">
        <f t="shared" si="13"/>
        <v>0.23318447495842809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4.5600961538461542</v>
      </c>
      <c r="D130" s="466">
        <f>IF(LN_ID4=0,0,LN_ID11/LN_ID4)</f>
        <v>4.3200827545441109</v>
      </c>
      <c r="E130" s="466">
        <f t="shared" si="12"/>
        <v>-0.24001339930204324</v>
      </c>
      <c r="F130" s="449">
        <f t="shared" si="13"/>
        <v>-5.2633407543305206E-2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307573351</v>
      </c>
      <c r="D133" s="448">
        <v>304832821</v>
      </c>
      <c r="E133" s="448">
        <f t="shared" ref="E133:E141" si="14">D133-C133</f>
        <v>-2740530</v>
      </c>
      <c r="F133" s="449">
        <f t="shared" ref="F133:F141" si="15">IF(C133=0,0,E133/C133)</f>
        <v>-8.9101672530790873E-3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43186014</v>
      </c>
      <c r="D134" s="448">
        <v>48056138</v>
      </c>
      <c r="E134" s="448">
        <f t="shared" si="14"/>
        <v>4870124</v>
      </c>
      <c r="F134" s="449">
        <f t="shared" si="15"/>
        <v>0.112770861418236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0.14040882885201586</v>
      </c>
      <c r="D135" s="453">
        <f>IF(LN_ID14=0,0,LN_ID15/LN_ID14)</f>
        <v>0.15764751919544778</v>
      </c>
      <c r="E135" s="454">
        <f t="shared" si="14"/>
        <v>1.7238690343431923E-2</v>
      </c>
      <c r="F135" s="449">
        <f t="shared" si="15"/>
        <v>0.1227749742261626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1.3803117346033349</v>
      </c>
      <c r="D136" s="453">
        <f>IF(LN_ID1=0,0,LN_ID14/LN_ID1)</f>
        <v>1.3028124131645398</v>
      </c>
      <c r="E136" s="454">
        <f t="shared" si="14"/>
        <v>-7.7499321438795121E-2</v>
      </c>
      <c r="F136" s="449">
        <f t="shared" si="15"/>
        <v>-5.6146245442929871E-2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8613.1452239248101</v>
      </c>
      <c r="D137" s="463">
        <f>LN_ID17*LN_ID4</f>
        <v>8816.1315998844402</v>
      </c>
      <c r="E137" s="463">
        <f t="shared" si="14"/>
        <v>202.9863759596301</v>
      </c>
      <c r="F137" s="449">
        <f t="shared" si="15"/>
        <v>2.3567044405078997E-2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5013.9656161888252</v>
      </c>
      <c r="D138" s="465">
        <f>IF(LN_ID18=0,0,LN_ID15/LN_ID18)</f>
        <v>5450.9324702718714</v>
      </c>
      <c r="E138" s="465">
        <f t="shared" si="14"/>
        <v>436.9668540830462</v>
      </c>
      <c r="F138" s="449">
        <f t="shared" si="15"/>
        <v>8.7149950265353021E-2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9164.7852732512529</v>
      </c>
      <c r="D139" s="465">
        <f>LN_IB18-LN_ID19</f>
        <v>7165.0946473034583</v>
      </c>
      <c r="E139" s="465">
        <f t="shared" si="14"/>
        <v>-1999.6906259477946</v>
      </c>
      <c r="F139" s="449">
        <f t="shared" si="15"/>
        <v>-0.21819285082261339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4053.8669995101081</v>
      </c>
      <c r="D140" s="465">
        <f>LN_IA16-LN_ID19</f>
        <v>3830.7033601974435</v>
      </c>
      <c r="E140" s="465">
        <f t="shared" si="14"/>
        <v>-223.1636393126646</v>
      </c>
      <c r="F140" s="449">
        <f t="shared" si="15"/>
        <v>-5.504957102431652E-2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34916545.185256891</v>
      </c>
      <c r="D141" s="441">
        <f>LN_ID21*LN_ID18</f>
        <v>33771984.94362019</v>
      </c>
      <c r="E141" s="441">
        <f t="shared" si="14"/>
        <v>-1144560.2416367009</v>
      </c>
      <c r="F141" s="449">
        <f t="shared" si="15"/>
        <v>-3.2779882304048179E-2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530402255</v>
      </c>
      <c r="D144" s="448">
        <f>LN_ID1+LN_ID14</f>
        <v>538813414</v>
      </c>
      <c r="E144" s="448">
        <f>D144-C144</f>
        <v>8411159</v>
      </c>
      <c r="F144" s="449">
        <f>IF(C144=0,0,E144/C144)</f>
        <v>1.5858075490271059E-2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83506972</v>
      </c>
      <c r="D145" s="448">
        <f>LN_1D2+LN_ID15</f>
        <v>99140567</v>
      </c>
      <c r="E145" s="448">
        <f>D145-C145</f>
        <v>15633595</v>
      </c>
      <c r="F145" s="449">
        <f>IF(C145=0,0,E145/C145)</f>
        <v>0.18721305090549806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446895283</v>
      </c>
      <c r="D146" s="448">
        <f>LN_ID23-LN_ID24</f>
        <v>439672847</v>
      </c>
      <c r="E146" s="448">
        <f>D146-C146</f>
        <v>-7222436</v>
      </c>
      <c r="F146" s="449">
        <f>IF(C146=0,0,E146/C146)</f>
        <v>-1.6161361005011997E-2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66865947.768379346</v>
      </c>
      <c r="D148" s="448">
        <f>LN_ID10+LN_ID22</f>
        <v>58211809.499317162</v>
      </c>
      <c r="E148" s="448">
        <f>D148-C148</f>
        <v>-8654138.2690621838</v>
      </c>
      <c r="F148" s="503">
        <f>IF(C148=0,0,E148/C148)</f>
        <v>-0.12942519410686784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14299.456733252568</v>
      </c>
      <c r="D160" s="465">
        <f>LN_IB7-LN_IE7</f>
        <v>12906.839184994913</v>
      </c>
      <c r="E160" s="465">
        <f t="shared" si="16"/>
        <v>-1392.6175482576546</v>
      </c>
      <c r="F160" s="449">
        <f t="shared" si="17"/>
        <v>-9.738954243060173E-2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10836.05149135268</v>
      </c>
      <c r="D161" s="465">
        <f>LN_IA7-LN_IE7</f>
        <v>9880.1090204566572</v>
      </c>
      <c r="E161" s="465">
        <f t="shared" si="16"/>
        <v>-955.94247089602322</v>
      </c>
      <c r="F161" s="449">
        <f t="shared" si="17"/>
        <v>-8.8218708785103003E-2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14178.750889440078</v>
      </c>
      <c r="D174" s="465">
        <f>LN_IB18-LN_IE19</f>
        <v>12616.02711757533</v>
      </c>
      <c r="E174" s="465">
        <f t="shared" si="18"/>
        <v>-1562.7237718647484</v>
      </c>
      <c r="F174" s="449">
        <f t="shared" si="19"/>
        <v>-0.11021589870999284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9067.8326156989333</v>
      </c>
      <c r="D175" s="465">
        <f>LN_IA16-LN_IE19</f>
        <v>9281.6358304693149</v>
      </c>
      <c r="E175" s="465">
        <f t="shared" si="18"/>
        <v>213.8032147703816</v>
      </c>
      <c r="F175" s="449">
        <f t="shared" si="19"/>
        <v>2.3578204829258639E-2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222828904</v>
      </c>
      <c r="D188" s="448">
        <f>LN_ID1+LN_IE1</f>
        <v>233980593</v>
      </c>
      <c r="E188" s="448">
        <f t="shared" ref="E188:E200" si="20">D188-C188</f>
        <v>11151689</v>
      </c>
      <c r="F188" s="449">
        <f t="shared" ref="F188:F200" si="21">IF(C188=0,0,E188/C188)</f>
        <v>5.004597159442116E-2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40320958</v>
      </c>
      <c r="D189" s="448">
        <f>LN_1D2+LN_IE2</f>
        <v>51084429</v>
      </c>
      <c r="E189" s="448">
        <f t="shared" si="20"/>
        <v>10763471</v>
      </c>
      <c r="F189" s="449">
        <f t="shared" si="21"/>
        <v>0.26694482308679274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0.18095030436446433</v>
      </c>
      <c r="D190" s="453">
        <f>IF(LN_IF1=0,0,LN_IF2/LN_IF1)</f>
        <v>0.21832763283919021</v>
      </c>
      <c r="E190" s="454">
        <f t="shared" si="20"/>
        <v>3.7377328474725885E-2</v>
      </c>
      <c r="F190" s="449">
        <f t="shared" si="21"/>
        <v>0.20656129099093232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6240</v>
      </c>
      <c r="D191" s="456">
        <f>LN_ID4+LN_IE4</f>
        <v>6767</v>
      </c>
      <c r="E191" s="456">
        <f t="shared" si="20"/>
        <v>527</v>
      </c>
      <c r="F191" s="449">
        <f t="shared" si="21"/>
        <v>8.445512820512821E-2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1.0688200000000001</v>
      </c>
      <c r="D192" s="459">
        <f>IF((LN_ID4+LN_IE4)=0,0,(LN_ID6+LN_IE6)/(LN_ID4+LN_IE4))</f>
        <v>1.12961</v>
      </c>
      <c r="E192" s="460">
        <f t="shared" si="20"/>
        <v>6.07899999999999E-2</v>
      </c>
      <c r="F192" s="449">
        <f t="shared" si="21"/>
        <v>5.6875806964689933E-2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6669.4368000000004</v>
      </c>
      <c r="D193" s="463">
        <f>LN_IF4*LN_IF5</f>
        <v>7644.0708700000005</v>
      </c>
      <c r="E193" s="463">
        <f t="shared" si="20"/>
        <v>974.63407000000007</v>
      </c>
      <c r="F193" s="449">
        <f t="shared" si="21"/>
        <v>0.14613438873879125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6045.6316191496107</v>
      </c>
      <c r="D194" s="465">
        <f>IF(LN_IF6=0,0,LN_IF2/LN_IF6)</f>
        <v>6682.8827033101534</v>
      </c>
      <c r="E194" s="465">
        <f t="shared" si="20"/>
        <v>637.25108416054263</v>
      </c>
      <c r="F194" s="449">
        <f t="shared" si="21"/>
        <v>0.1054068663631509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8253.8251141029577</v>
      </c>
      <c r="D195" s="465">
        <f>LN_IB7-LN_IF7</f>
        <v>6223.9564816847596</v>
      </c>
      <c r="E195" s="465">
        <f t="shared" si="20"/>
        <v>-2029.8686324181981</v>
      </c>
      <c r="F195" s="449">
        <f t="shared" si="21"/>
        <v>-0.24593065692049235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4790.4198722030696</v>
      </c>
      <c r="D196" s="465">
        <f>LN_IA7-LN_IF7</f>
        <v>3197.2263171465038</v>
      </c>
      <c r="E196" s="465">
        <f t="shared" si="20"/>
        <v>-1593.1935550565659</v>
      </c>
      <c r="F196" s="449">
        <f t="shared" si="21"/>
        <v>-0.33257910528913009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31949402.583122451</v>
      </c>
      <c r="D197" s="479">
        <f>LN_IF9*LN_IF6</f>
        <v>24439824.555696972</v>
      </c>
      <c r="E197" s="479">
        <f t="shared" si="20"/>
        <v>-7509578.0274254791</v>
      </c>
      <c r="F197" s="449">
        <f t="shared" si="21"/>
        <v>-0.23504596080905998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28455</v>
      </c>
      <c r="D198" s="456">
        <f>LN_ID11+LN_IE11</f>
        <v>29234</v>
      </c>
      <c r="E198" s="456">
        <f t="shared" si="20"/>
        <v>779</v>
      </c>
      <c r="F198" s="449">
        <f t="shared" si="21"/>
        <v>2.7376559479880512E-2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1417.0078369355122</v>
      </c>
      <c r="D199" s="519">
        <f>IF(LN_IF11=0,0,LN_IF2/LN_IF11)</f>
        <v>1747.4320654032974</v>
      </c>
      <c r="E199" s="519">
        <f t="shared" si="20"/>
        <v>330.42422846778527</v>
      </c>
      <c r="F199" s="449">
        <f t="shared" si="21"/>
        <v>0.23318447495842809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4.5600961538461542</v>
      </c>
      <c r="D200" s="466">
        <f>IF(LN_IF4=0,0,LN_IF11/LN_IF4)</f>
        <v>4.3200827545441109</v>
      </c>
      <c r="E200" s="466">
        <f t="shared" si="20"/>
        <v>-0.24001339930204324</v>
      </c>
      <c r="F200" s="449">
        <f t="shared" si="21"/>
        <v>-5.2633407543305206E-2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307573351</v>
      </c>
      <c r="D203" s="448">
        <f>LN_ID14+LN_IE14</f>
        <v>304832821</v>
      </c>
      <c r="E203" s="448">
        <f t="shared" ref="E203:E211" si="22">D203-C203</f>
        <v>-2740530</v>
      </c>
      <c r="F203" s="449">
        <f t="shared" ref="F203:F211" si="23">IF(C203=0,0,E203/C203)</f>
        <v>-8.9101672530790873E-3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43186014</v>
      </c>
      <c r="D204" s="448">
        <f>LN_ID15+LN_IE15</f>
        <v>48056138</v>
      </c>
      <c r="E204" s="448">
        <f t="shared" si="22"/>
        <v>4870124</v>
      </c>
      <c r="F204" s="449">
        <f t="shared" si="23"/>
        <v>0.112770861418236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0.14040882885201586</v>
      </c>
      <c r="D205" s="453">
        <f>IF(LN_IF14=0,0,LN_IF15/LN_IF14)</f>
        <v>0.15764751919544778</v>
      </c>
      <c r="E205" s="454">
        <f t="shared" si="22"/>
        <v>1.7238690343431923E-2</v>
      </c>
      <c r="F205" s="449">
        <f t="shared" si="23"/>
        <v>0.1227749742261626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1.3803117346033349</v>
      </c>
      <c r="D206" s="453">
        <f>IF(LN_IF1=0,0,LN_IF14/LN_IF1)</f>
        <v>1.3028124131645398</v>
      </c>
      <c r="E206" s="454">
        <f t="shared" si="22"/>
        <v>-7.7499321438795121E-2</v>
      </c>
      <c r="F206" s="449">
        <f t="shared" si="23"/>
        <v>-5.6146245442929871E-2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8613.1452239248101</v>
      </c>
      <c r="D207" s="463">
        <f>LN_ID18+LN_IE18</f>
        <v>8816.1315998844402</v>
      </c>
      <c r="E207" s="463">
        <f t="shared" si="22"/>
        <v>202.9863759596301</v>
      </c>
      <c r="F207" s="449">
        <f t="shared" si="23"/>
        <v>2.3567044405078997E-2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5013.9656161888252</v>
      </c>
      <c r="D208" s="465">
        <f>IF(LN_IF18=0,0,LN_IF15/LN_IF18)</f>
        <v>5450.9324702718714</v>
      </c>
      <c r="E208" s="465">
        <f t="shared" si="22"/>
        <v>436.9668540830462</v>
      </c>
      <c r="F208" s="449">
        <f t="shared" si="23"/>
        <v>8.7149950265353021E-2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9164.7852732512529</v>
      </c>
      <c r="D209" s="465">
        <f>LN_IB18-LN_IF19</f>
        <v>7165.0946473034583</v>
      </c>
      <c r="E209" s="465">
        <f t="shared" si="22"/>
        <v>-1999.6906259477946</v>
      </c>
      <c r="F209" s="449">
        <f t="shared" si="23"/>
        <v>-0.21819285082261339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4053.8669995101081</v>
      </c>
      <c r="D210" s="465">
        <f>LN_IA16-LN_IF19</f>
        <v>3830.7033601974435</v>
      </c>
      <c r="E210" s="465">
        <f t="shared" si="22"/>
        <v>-223.1636393126646</v>
      </c>
      <c r="F210" s="449">
        <f t="shared" si="23"/>
        <v>-5.504957102431652E-2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34916545.185256891</v>
      </c>
      <c r="D211" s="441">
        <f>LN_IF21*LN_IF18</f>
        <v>33771984.94362019</v>
      </c>
      <c r="E211" s="441">
        <f t="shared" si="22"/>
        <v>-1144560.2416367009</v>
      </c>
      <c r="F211" s="449">
        <f t="shared" si="23"/>
        <v>-3.2779882304048179E-2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530402255</v>
      </c>
      <c r="D214" s="448">
        <f>LN_IF1+LN_IF14</f>
        <v>538813414</v>
      </c>
      <c r="E214" s="448">
        <f>D214-C214</f>
        <v>8411159</v>
      </c>
      <c r="F214" s="449">
        <f>IF(C214=0,0,E214/C214)</f>
        <v>1.5858075490271059E-2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83506972</v>
      </c>
      <c r="D215" s="448">
        <f>LN_IF2+LN_IF15</f>
        <v>99140567</v>
      </c>
      <c r="E215" s="448">
        <f>D215-C215</f>
        <v>15633595</v>
      </c>
      <c r="F215" s="449">
        <f>IF(C215=0,0,E215/C215)</f>
        <v>0.18721305090549806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446895283</v>
      </c>
      <c r="D216" s="448">
        <f>LN_IF23-LN_IF24</f>
        <v>439672847</v>
      </c>
      <c r="E216" s="448">
        <f>D216-C216</f>
        <v>-7222436</v>
      </c>
      <c r="F216" s="449">
        <f>IF(C216=0,0,E216/C216)</f>
        <v>-1.6161361005011997E-2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410349</v>
      </c>
      <c r="D221" s="448">
        <v>911152</v>
      </c>
      <c r="E221" s="448">
        <f t="shared" ref="E221:E230" si="24">D221-C221</f>
        <v>500803</v>
      </c>
      <c r="F221" s="449">
        <f t="shared" ref="F221:F230" si="25">IF(C221=0,0,E221/C221)</f>
        <v>1.2204318762809219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91862</v>
      </c>
      <c r="D222" s="448">
        <v>168167</v>
      </c>
      <c r="E222" s="448">
        <f t="shared" si="24"/>
        <v>76305</v>
      </c>
      <c r="F222" s="449">
        <f t="shared" si="25"/>
        <v>0.8306481461322418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0.2238631018961908</v>
      </c>
      <c r="D223" s="453">
        <f>IF(LN_IG1=0,0,LN_IG2/LN_IG1)</f>
        <v>0.18456525365690907</v>
      </c>
      <c r="E223" s="454">
        <f t="shared" si="24"/>
        <v>-3.929784823928173E-2</v>
      </c>
      <c r="F223" s="449">
        <f t="shared" si="25"/>
        <v>-0.17554410667241099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16</v>
      </c>
      <c r="D224" s="456">
        <v>36</v>
      </c>
      <c r="E224" s="456">
        <f t="shared" si="24"/>
        <v>20</v>
      </c>
      <c r="F224" s="449">
        <f t="shared" si="25"/>
        <v>1.25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0.86004999999999998</v>
      </c>
      <c r="D225" s="459">
        <v>0.92449999999999999</v>
      </c>
      <c r="E225" s="460">
        <f t="shared" si="24"/>
        <v>6.4450000000000007E-2</v>
      </c>
      <c r="F225" s="449">
        <f t="shared" si="25"/>
        <v>7.4937503633509692E-2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13.7608</v>
      </c>
      <c r="D226" s="463">
        <f>LN_IG3*LN_IG4</f>
        <v>33.281999999999996</v>
      </c>
      <c r="E226" s="463">
        <f t="shared" si="24"/>
        <v>19.521199999999997</v>
      </c>
      <c r="F226" s="449">
        <f t="shared" si="25"/>
        <v>1.4186093831753965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6675.6293238765193</v>
      </c>
      <c r="D227" s="465">
        <f>IF(LN_IG5=0,0,LN_IG2/LN_IG5)</f>
        <v>5052.7912985998446</v>
      </c>
      <c r="E227" s="465">
        <f t="shared" si="24"/>
        <v>-1622.8380252766747</v>
      </c>
      <c r="F227" s="449">
        <f t="shared" si="25"/>
        <v>-0.24309888199938237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42</v>
      </c>
      <c r="D228" s="456">
        <v>144</v>
      </c>
      <c r="E228" s="456">
        <f t="shared" si="24"/>
        <v>102</v>
      </c>
      <c r="F228" s="449">
        <f t="shared" si="25"/>
        <v>2.4285714285714284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2187.1904761904761</v>
      </c>
      <c r="D229" s="465">
        <f>IF(LN_IG6=0,0,LN_IG2/LN_IG6)</f>
        <v>1167.8263888888889</v>
      </c>
      <c r="E229" s="465">
        <f t="shared" si="24"/>
        <v>-1019.3640873015872</v>
      </c>
      <c r="F229" s="449">
        <f t="shared" si="25"/>
        <v>-0.46606095737809611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2.625</v>
      </c>
      <c r="D230" s="466">
        <f>IF(LN_IG3=0,0,LN_IG6/LN_IG3)</f>
        <v>4</v>
      </c>
      <c r="E230" s="466">
        <f t="shared" si="24"/>
        <v>1.375</v>
      </c>
      <c r="F230" s="449">
        <f t="shared" si="25"/>
        <v>0.52380952380952384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836199</v>
      </c>
      <c r="D233" s="448">
        <v>1072941</v>
      </c>
      <c r="E233" s="448">
        <f>D233-C233</f>
        <v>236742</v>
      </c>
      <c r="F233" s="449">
        <f>IF(C233=0,0,E233/C233)</f>
        <v>0.28311681788665138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181050</v>
      </c>
      <c r="D234" s="448">
        <v>117668</v>
      </c>
      <c r="E234" s="448">
        <f>D234-C234</f>
        <v>-63382</v>
      </c>
      <c r="F234" s="449">
        <f>IF(C234=0,0,E234/C234)</f>
        <v>-0.35008008837337751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1246548</v>
      </c>
      <c r="D237" s="448">
        <f>LN_IG1+LN_IG9</f>
        <v>1984093</v>
      </c>
      <c r="E237" s="448">
        <f>D237-C237</f>
        <v>737545</v>
      </c>
      <c r="F237" s="449">
        <f>IF(C237=0,0,E237/C237)</f>
        <v>0.59166995574979864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272912</v>
      </c>
      <c r="D238" s="448">
        <f>LN_IG2+LN_IG10</f>
        <v>285835</v>
      </c>
      <c r="E238" s="448">
        <f>D238-C238</f>
        <v>12923</v>
      </c>
      <c r="F238" s="449">
        <f>IF(C238=0,0,E238/C238)</f>
        <v>4.7352260069179808E-2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973636</v>
      </c>
      <c r="D239" s="448">
        <f>LN_IG13-LN_IG14</f>
        <v>1698258</v>
      </c>
      <c r="E239" s="448">
        <f>D239-C239</f>
        <v>724622</v>
      </c>
      <c r="F239" s="449">
        <f>IF(C239=0,0,E239/C239)</f>
        <v>0.74424322847552882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6414248</v>
      </c>
      <c r="D243" s="448">
        <v>6473222</v>
      </c>
      <c r="E243" s="441">
        <f>D243-C243</f>
        <v>58974</v>
      </c>
      <c r="F243" s="503">
        <f>IF(C243=0,0,E243/C243)</f>
        <v>9.1942188702401288E-3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443456000</v>
      </c>
      <c r="D244" s="448">
        <v>470194000</v>
      </c>
      <c r="E244" s="441">
        <f>D244-C244</f>
        <v>26738000</v>
      </c>
      <c r="F244" s="503">
        <f>IF(C244=0,0,E244/C244)</f>
        <v>6.0294595179679611E-2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13728345</v>
      </c>
      <c r="D248" s="441">
        <v>16129090</v>
      </c>
      <c r="E248" s="441">
        <f>D248-C248</f>
        <v>2400745</v>
      </c>
      <c r="F248" s="449">
        <f>IF(C248=0,0,E248/C248)</f>
        <v>0.17487504866755607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36400755</v>
      </c>
      <c r="D249" s="441">
        <v>37242642</v>
      </c>
      <c r="E249" s="441">
        <f>D249-C249</f>
        <v>841887</v>
      </c>
      <c r="F249" s="449">
        <f>IF(C249=0,0,E249/C249)</f>
        <v>2.3128284014988152E-2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50129100</v>
      </c>
      <c r="D250" s="441">
        <f>LN_IH4+LN_IH5</f>
        <v>53371732</v>
      </c>
      <c r="E250" s="441">
        <f>D250-C250</f>
        <v>3242632</v>
      </c>
      <c r="F250" s="449">
        <f>IF(C250=0,0,E250/C250)</f>
        <v>6.4685621724706807E-2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16190178.502616217</v>
      </c>
      <c r="D251" s="441">
        <f>LN_IH6*LN_III10</f>
        <v>16986883.248305224</v>
      </c>
      <c r="E251" s="441">
        <f>D251-C251</f>
        <v>796704.74568900652</v>
      </c>
      <c r="F251" s="449">
        <f>IF(C251=0,0,E251/C251)</f>
        <v>4.9209139081466256E-2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530402255</v>
      </c>
      <c r="D254" s="441">
        <f>LN_IF23</f>
        <v>538813414</v>
      </c>
      <c r="E254" s="441">
        <f>D254-C254</f>
        <v>8411159</v>
      </c>
      <c r="F254" s="449">
        <f>IF(C254=0,0,E254/C254)</f>
        <v>1.5858075490271059E-2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83506972</v>
      </c>
      <c r="D255" s="441">
        <f>LN_IF24</f>
        <v>99140567</v>
      </c>
      <c r="E255" s="441">
        <f>D255-C255</f>
        <v>15633595</v>
      </c>
      <c r="F255" s="449">
        <f>IF(C255=0,0,E255/C255)</f>
        <v>0.18721305090549806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171303837.22508812</v>
      </c>
      <c r="D256" s="441">
        <f>LN_IH8*LN_III10</f>
        <v>171490791.34697649</v>
      </c>
      <c r="E256" s="441">
        <f>D256-C256</f>
        <v>186954.12188836932</v>
      </c>
      <c r="F256" s="449">
        <f>IF(C256=0,0,E256/C256)</f>
        <v>1.091359802073302E-3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87796865.22508812</v>
      </c>
      <c r="D257" s="441">
        <f>LN_IH10-LN_IH9</f>
        <v>72350224.346976489</v>
      </c>
      <c r="E257" s="441">
        <f>D257-C257</f>
        <v>-15446640.878111631</v>
      </c>
      <c r="F257" s="449">
        <f>IF(C257=0,0,E257/C257)</f>
        <v>-0.17593613209891376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876470158</v>
      </c>
      <c r="D261" s="448">
        <f>LN_IA1+LN_IB1+LN_IF1+LN_IG1</f>
        <v>874416182</v>
      </c>
      <c r="E261" s="448">
        <f t="shared" ref="E261:E274" si="26">D261-C261</f>
        <v>-2053976</v>
      </c>
      <c r="F261" s="503">
        <f t="shared" ref="F261:F274" si="27">IF(C261=0,0,E261/C261)</f>
        <v>-2.3434637006774168E-3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285198757</v>
      </c>
      <c r="D262" s="448">
        <f>+LN_IA2+LN_IB2+LN_IF2+LN_IG2</f>
        <v>281046099</v>
      </c>
      <c r="E262" s="448">
        <f t="shared" si="26"/>
        <v>-4152658</v>
      </c>
      <c r="F262" s="503">
        <f t="shared" si="27"/>
        <v>-1.4560575381469843E-2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0.32539471469375458</v>
      </c>
      <c r="D263" s="453">
        <f>IF(LN_IIA1=0,0,LN_IIA2/LN_IIA1)</f>
        <v>0.32140999307352708</v>
      </c>
      <c r="E263" s="454">
        <f t="shared" si="26"/>
        <v>-3.9847216202275049E-3</v>
      </c>
      <c r="F263" s="458">
        <f t="shared" si="27"/>
        <v>-1.2245809290349808E-2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19815</v>
      </c>
      <c r="D264" s="456">
        <f>LN_IA4+LN_IB4+LN_IF4+LN_IG3</f>
        <v>20657</v>
      </c>
      <c r="E264" s="456">
        <f t="shared" si="26"/>
        <v>842</v>
      </c>
      <c r="F264" s="503">
        <f t="shared" si="27"/>
        <v>4.2493060812515769E-2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1.3606231132980064</v>
      </c>
      <c r="D265" s="525">
        <f>IF(LN_IIA4=0,0,LN_IIA6/LN_IIA4)</f>
        <v>1.3884750927046521</v>
      </c>
      <c r="E265" s="525">
        <f t="shared" si="26"/>
        <v>2.7851979406645633E-2</v>
      </c>
      <c r="F265" s="503">
        <f t="shared" si="27"/>
        <v>2.047001784288037E-2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26960.74699</v>
      </c>
      <c r="D266" s="463">
        <f>LN_IA6+LN_IB6+LN_IF6+LN_IG5</f>
        <v>28681.72999</v>
      </c>
      <c r="E266" s="463">
        <f t="shared" si="26"/>
        <v>1720.9830000000002</v>
      </c>
      <c r="F266" s="503">
        <f t="shared" si="27"/>
        <v>6.3832912368426933E-2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883517182</v>
      </c>
      <c r="D267" s="448">
        <f>LN_IA11+LN_IB13+LN_IF14+LN_IG9</f>
        <v>893030408</v>
      </c>
      <c r="E267" s="448">
        <f t="shared" si="26"/>
        <v>9513226</v>
      </c>
      <c r="F267" s="503">
        <f t="shared" si="27"/>
        <v>1.0767448776112199E-2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1.0080402326715612</v>
      </c>
      <c r="D268" s="453">
        <f>IF(LN_IIA1=0,0,LN_IIA7/LN_IIA1)</f>
        <v>1.0212876046706099</v>
      </c>
      <c r="E268" s="454">
        <f t="shared" si="26"/>
        <v>1.3247371999048685E-2</v>
      </c>
      <c r="F268" s="458">
        <f t="shared" si="27"/>
        <v>1.3141709596193204E-2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207012387</v>
      </c>
      <c r="D269" s="448">
        <f>LN_IA12+LN_IB14+LN_IF15+LN_IG10</f>
        <v>210583417</v>
      </c>
      <c r="E269" s="448">
        <f t="shared" si="26"/>
        <v>3571030</v>
      </c>
      <c r="F269" s="503">
        <f t="shared" si="27"/>
        <v>1.7250320387832637E-2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0.23430487965314975</v>
      </c>
      <c r="D270" s="453">
        <f>IF(LN_IIA7=0,0,LN_IIA9/LN_IIA7)</f>
        <v>0.23580766692101263</v>
      </c>
      <c r="E270" s="454">
        <f t="shared" si="26"/>
        <v>1.5027872678628762E-3</v>
      </c>
      <c r="F270" s="458">
        <f t="shared" si="27"/>
        <v>6.4138112278647724E-3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1759987340</v>
      </c>
      <c r="D271" s="441">
        <f>LN_IIA1+LN_IIA7</f>
        <v>1767446590</v>
      </c>
      <c r="E271" s="441">
        <f t="shared" si="26"/>
        <v>7459250</v>
      </c>
      <c r="F271" s="503">
        <f t="shared" si="27"/>
        <v>4.2382407137087699E-3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492211144</v>
      </c>
      <c r="D272" s="441">
        <f>LN_IIA2+LN_IIA9</f>
        <v>491629516</v>
      </c>
      <c r="E272" s="441">
        <f t="shared" si="26"/>
        <v>-581628</v>
      </c>
      <c r="F272" s="503">
        <f t="shared" si="27"/>
        <v>-1.1816636154828709E-3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0.27966743442597719</v>
      </c>
      <c r="D273" s="453">
        <f>IF(LN_IIA11=0,0,LN_IIA12/LN_IIA11)</f>
        <v>0.27815806077625238</v>
      </c>
      <c r="E273" s="454">
        <f t="shared" si="26"/>
        <v>-1.50937364972481E-3</v>
      </c>
      <c r="F273" s="458">
        <f t="shared" si="27"/>
        <v>-5.3970304151530141E-3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109472</v>
      </c>
      <c r="D274" s="508">
        <f>LN_IA8+LN_IB10+LN_IF11+LN_IG6</f>
        <v>105942</v>
      </c>
      <c r="E274" s="528">
        <f t="shared" si="26"/>
        <v>-3530</v>
      </c>
      <c r="F274" s="458">
        <f t="shared" si="27"/>
        <v>-3.2245688395206078E-2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661633484</v>
      </c>
      <c r="D277" s="448">
        <f>LN_IA1+LN_IF1+LN_IG1</f>
        <v>671793458</v>
      </c>
      <c r="E277" s="448">
        <f t="shared" ref="E277:E291" si="28">D277-C277</f>
        <v>10159974</v>
      </c>
      <c r="F277" s="503">
        <f t="shared" ref="F277:F291" si="29">IF(C277=0,0,E277/C277)</f>
        <v>1.5355894533294208E-2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181743712</v>
      </c>
      <c r="D278" s="448">
        <f>LN_IA2+LN_IF2+LN_IG2</f>
        <v>186089147</v>
      </c>
      <c r="E278" s="448">
        <f t="shared" si="28"/>
        <v>4345435</v>
      </c>
      <c r="F278" s="503">
        <f t="shared" si="29"/>
        <v>2.3909685524635921E-2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0.27468941097303956</v>
      </c>
      <c r="D279" s="453">
        <f>IF(D277=0,0,LN_IIB2/D277)</f>
        <v>0.27700351169540566</v>
      </c>
      <c r="E279" s="454">
        <f t="shared" si="28"/>
        <v>2.314100722366097E-3</v>
      </c>
      <c r="F279" s="458">
        <f t="shared" si="29"/>
        <v>8.4244263882207789E-3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14176</v>
      </c>
      <c r="D280" s="456">
        <f>LN_IA4+LN_IF4+LN_IG3</f>
        <v>14963</v>
      </c>
      <c r="E280" s="456">
        <f t="shared" si="28"/>
        <v>787</v>
      </c>
      <c r="F280" s="503">
        <f t="shared" si="29"/>
        <v>5.5516365688487584E-2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1.3914964446952598</v>
      </c>
      <c r="D281" s="525">
        <f>IF(LN_IIB4=0,0,LN_IIB6/LN_IIB4)</f>
        <v>1.425157152309029</v>
      </c>
      <c r="E281" s="525">
        <f t="shared" si="28"/>
        <v>3.3660707613769159E-2</v>
      </c>
      <c r="F281" s="503">
        <f t="shared" si="29"/>
        <v>2.4190293652630146E-2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19725.853600000002</v>
      </c>
      <c r="D282" s="463">
        <f>LN_IA6+LN_IF6+LN_IG5</f>
        <v>21324.626469999999</v>
      </c>
      <c r="E282" s="463">
        <f t="shared" si="28"/>
        <v>1598.7728699999971</v>
      </c>
      <c r="F282" s="503">
        <f t="shared" si="29"/>
        <v>8.1049616529649038E-2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550259462</v>
      </c>
      <c r="D283" s="448">
        <f>LN_IA11+LN_IF14+LN_IG9</f>
        <v>558384588</v>
      </c>
      <c r="E283" s="448">
        <f t="shared" si="28"/>
        <v>8125126</v>
      </c>
      <c r="F283" s="503">
        <f t="shared" si="29"/>
        <v>1.4765990521031695E-2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0.83166809919190854</v>
      </c>
      <c r="D284" s="453">
        <f>IF(D277=0,0,LN_IIB7/D277)</f>
        <v>0.83118491457533661</v>
      </c>
      <c r="E284" s="454">
        <f t="shared" si="28"/>
        <v>-4.8318461657193001E-4</v>
      </c>
      <c r="F284" s="458">
        <f t="shared" si="29"/>
        <v>-5.8098250617213412E-4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82986636</v>
      </c>
      <c r="D285" s="448">
        <f>LN_IA12+LN_IF15+LN_IG10</f>
        <v>91941725</v>
      </c>
      <c r="E285" s="448">
        <f t="shared" si="28"/>
        <v>8955089</v>
      </c>
      <c r="F285" s="503">
        <f t="shared" si="29"/>
        <v>0.10791001336648952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0.1508136465266271</v>
      </c>
      <c r="D286" s="453">
        <f>IF(LN_IIB7=0,0,LN_IIB9/LN_IIB7)</f>
        <v>0.16465663088824364</v>
      </c>
      <c r="E286" s="454">
        <f t="shared" si="28"/>
        <v>1.3842984361616545E-2</v>
      </c>
      <c r="F286" s="458">
        <f t="shared" si="29"/>
        <v>9.1788672182079215E-2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1211892946</v>
      </c>
      <c r="D287" s="441">
        <f>D277+LN_IIB7</f>
        <v>1230178046</v>
      </c>
      <c r="E287" s="441">
        <f t="shared" si="28"/>
        <v>18285100</v>
      </c>
      <c r="F287" s="503">
        <f t="shared" si="29"/>
        <v>1.5088048874574439E-2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264730348</v>
      </c>
      <c r="D288" s="441">
        <f>LN_IIB2+LN_IIB9</f>
        <v>278030872</v>
      </c>
      <c r="E288" s="441">
        <f t="shared" si="28"/>
        <v>13300524</v>
      </c>
      <c r="F288" s="503">
        <f t="shared" si="29"/>
        <v>5.0241780364372886E-2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0.21844367431444725</v>
      </c>
      <c r="D289" s="453">
        <f>IF(LN_IIB11=0,0,LN_IIB12/LN_IIB11)</f>
        <v>0.22600864395526693</v>
      </c>
      <c r="E289" s="454">
        <f t="shared" si="28"/>
        <v>7.5649696408196798E-3</v>
      </c>
      <c r="F289" s="458">
        <f t="shared" si="29"/>
        <v>3.4631214039780298E-2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85392</v>
      </c>
      <c r="D290" s="508">
        <f>LN_IA8+LN_IF11+LN_IG6</f>
        <v>83852</v>
      </c>
      <c r="E290" s="528">
        <f t="shared" si="28"/>
        <v>-1540</v>
      </c>
      <c r="F290" s="458">
        <f t="shared" si="29"/>
        <v>-1.8034476297545437E-2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947162598</v>
      </c>
      <c r="D291" s="516">
        <f>LN_IIB11-LN_IIB12</f>
        <v>952147174</v>
      </c>
      <c r="E291" s="441">
        <f t="shared" si="28"/>
        <v>4984576</v>
      </c>
      <c r="F291" s="503">
        <f t="shared" si="29"/>
        <v>5.262640237827465E-3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7.1837121212121211</v>
      </c>
      <c r="D294" s="466">
        <f>IF(LN_IA4=0,0,LN_IA8/LN_IA4)</f>
        <v>6.6757352941176471</v>
      </c>
      <c r="E294" s="466">
        <f t="shared" ref="E294:E300" si="30">D294-C294</f>
        <v>-0.507976827094474</v>
      </c>
      <c r="F294" s="503">
        <f t="shared" ref="F294:F300" si="31">IF(C294=0,0,E294/C294)</f>
        <v>-7.0712302848901204E-2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4.270260684518532</v>
      </c>
      <c r="D295" s="466">
        <f>IF(LN_IB4=0,0,(LN_IB10)/(LN_IB4))</f>
        <v>3.8795223041798383</v>
      </c>
      <c r="E295" s="466">
        <f t="shared" si="30"/>
        <v>-0.39073838033869368</v>
      </c>
      <c r="F295" s="503">
        <f t="shared" si="31"/>
        <v>-9.1502231176490589E-2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3.9171974522292992</v>
      </c>
      <c r="D296" s="466">
        <f>IF(LN_IC4=0,0,LN_IC11/LN_IC4)</f>
        <v>4.7164750957854409</v>
      </c>
      <c r="E296" s="466">
        <f t="shared" si="30"/>
        <v>0.79927764355614173</v>
      </c>
      <c r="F296" s="503">
        <f t="shared" si="31"/>
        <v>0.20404323583465733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4.5600961538461542</v>
      </c>
      <c r="D297" s="466">
        <f>IF(LN_ID4=0,0,LN_ID11/LN_ID4)</f>
        <v>4.3200827545441109</v>
      </c>
      <c r="E297" s="466">
        <f t="shared" si="30"/>
        <v>-0.24001339930204324</v>
      </c>
      <c r="F297" s="503">
        <f t="shared" si="31"/>
        <v>-5.2633407543305206E-2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2.625</v>
      </c>
      <c r="D299" s="466">
        <f>IF(LN_IG3=0,0,LN_IG6/LN_IG3)</f>
        <v>4</v>
      </c>
      <c r="E299" s="466">
        <f t="shared" si="30"/>
        <v>1.375</v>
      </c>
      <c r="F299" s="503">
        <f t="shared" si="31"/>
        <v>0.52380952380952384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5.5247035074438555</v>
      </c>
      <c r="D300" s="466">
        <f>IF(LN_IIA4=0,0,LN_IIA14/LN_IIA4)</f>
        <v>5.1286246792854726</v>
      </c>
      <c r="E300" s="466">
        <f t="shared" si="30"/>
        <v>-0.39607882815838291</v>
      </c>
      <c r="F300" s="503">
        <f t="shared" si="31"/>
        <v>-7.1692322968049893E-2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1759987340</v>
      </c>
      <c r="D304" s="441">
        <f>LN_IIA11</f>
        <v>1767446590</v>
      </c>
      <c r="E304" s="441">
        <f t="shared" ref="E304:E316" si="32">D304-C304</f>
        <v>7459250</v>
      </c>
      <c r="F304" s="449">
        <f>IF(C304=0,0,E304/C304)</f>
        <v>4.2382407137087699E-3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947162598</v>
      </c>
      <c r="D305" s="441">
        <f>LN_IIB14</f>
        <v>952147174</v>
      </c>
      <c r="E305" s="441">
        <f t="shared" si="32"/>
        <v>4984576</v>
      </c>
      <c r="F305" s="449">
        <f>IF(C305=0,0,E305/C305)</f>
        <v>5.262640237827465E-3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50129100</v>
      </c>
      <c r="D306" s="441">
        <f>LN_IH6</f>
        <v>53371732</v>
      </c>
      <c r="E306" s="441">
        <f t="shared" si="32"/>
        <v>3242632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194273125</v>
      </c>
      <c r="D307" s="441">
        <f>LN_IB32-LN_IB33</f>
        <v>199393778</v>
      </c>
      <c r="E307" s="441">
        <f t="shared" si="32"/>
        <v>5120653</v>
      </c>
      <c r="F307" s="449">
        <f t="shared" ref="F307:F316" si="33">IF(C307=0,0,E307/C307)</f>
        <v>2.6358010146797197E-2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1191564823</v>
      </c>
      <c r="D309" s="441">
        <f>LN_III2+LN_III3+LN_III4+LN_III5</f>
        <v>1204912684</v>
      </c>
      <c r="E309" s="441">
        <f t="shared" si="32"/>
        <v>13347861</v>
      </c>
      <c r="F309" s="449">
        <f t="shared" si="33"/>
        <v>1.1201959593263354E-2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568422517</v>
      </c>
      <c r="D310" s="441">
        <f>LN_III1-LN_III6</f>
        <v>562533906</v>
      </c>
      <c r="E310" s="441">
        <f t="shared" si="32"/>
        <v>-5888611</v>
      </c>
      <c r="F310" s="449">
        <f t="shared" si="33"/>
        <v>-1.0359566737571728E-2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568422517</v>
      </c>
      <c r="D312" s="441">
        <f>LN_III7+LN_III8</f>
        <v>562533906</v>
      </c>
      <c r="E312" s="441">
        <f t="shared" si="32"/>
        <v>-5888611</v>
      </c>
      <c r="F312" s="449">
        <f t="shared" si="33"/>
        <v>-1.0359566737571728E-2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0.32296966238404873</v>
      </c>
      <c r="D313" s="532">
        <f>IF(LN_III1=0,0,LN_III9/LN_III1)</f>
        <v>0.31827491092672849</v>
      </c>
      <c r="E313" s="532">
        <f t="shared" si="32"/>
        <v>-4.6947514573202342E-3</v>
      </c>
      <c r="F313" s="449">
        <f t="shared" si="33"/>
        <v>-1.4536199538573456E-2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16190178.502616217</v>
      </c>
      <c r="D314" s="441">
        <f>D313*LN_III5</f>
        <v>16986883.248305224</v>
      </c>
      <c r="E314" s="441">
        <f t="shared" si="32"/>
        <v>796704.74568900652</v>
      </c>
      <c r="F314" s="449">
        <f t="shared" si="33"/>
        <v>4.9209139081466256E-2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87796865.22508812</v>
      </c>
      <c r="D315" s="441">
        <f>D313*LN_IH8-LN_IH9</f>
        <v>72350224.346976489</v>
      </c>
      <c r="E315" s="441">
        <f t="shared" si="32"/>
        <v>-15446640.878111631</v>
      </c>
      <c r="F315" s="449">
        <f t="shared" si="33"/>
        <v>-0.17593613209891376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103987043.72770433</v>
      </c>
      <c r="D318" s="441">
        <f>D314+D315+D316</f>
        <v>89337107.59528172</v>
      </c>
      <c r="E318" s="441">
        <f>D318-C318</f>
        <v>-14649936.132422611</v>
      </c>
      <c r="F318" s="449">
        <f>IF(C318=0,0,E318/C318)</f>
        <v>-0.1408823215590613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34916545.185256891</v>
      </c>
      <c r="D322" s="441">
        <f>LN_ID22</f>
        <v>33771984.94362019</v>
      </c>
      <c r="E322" s="441">
        <f>LN_IV2-C322</f>
        <v>-1144560.2416367009</v>
      </c>
      <c r="F322" s="449">
        <f>IF(C322=0,0,E322/C322)</f>
        <v>-3.2779882304048179E-2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-6359281.6476308154</v>
      </c>
      <c r="D324" s="441">
        <f>LN_IC10+LN_IC22</f>
        <v>1410036.8536374276</v>
      </c>
      <c r="E324" s="441">
        <f>LN_IV1-C324</f>
        <v>7769318.5012682434</v>
      </c>
      <c r="F324" s="449">
        <f>IF(C324=0,0,E324/C324)</f>
        <v>-1.2217289517539682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28557263.537626076</v>
      </c>
      <c r="D325" s="516">
        <f>LN_IV1+LN_IV2+LN_IV3</f>
        <v>35182021.797257617</v>
      </c>
      <c r="E325" s="441">
        <f>LN_IV4-C325</f>
        <v>6624758.2596315406</v>
      </c>
      <c r="F325" s="449">
        <f>IF(C325=0,0,E325/C325)</f>
        <v>0.23198155001451681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-26136895</v>
      </c>
      <c r="D330" s="516">
        <v>-18891199</v>
      </c>
      <c r="E330" s="518">
        <f t="shared" si="34"/>
        <v>7245696</v>
      </c>
      <c r="F330" s="543">
        <f t="shared" si="35"/>
        <v>-0.27722099354188784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466074249</v>
      </c>
      <c r="D331" s="516">
        <v>472738316</v>
      </c>
      <c r="E331" s="518">
        <f t="shared" si="34"/>
        <v>6664067</v>
      </c>
      <c r="F331" s="542">
        <f t="shared" si="35"/>
        <v>1.4298294776633325E-2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1759987341</v>
      </c>
      <c r="D333" s="516">
        <v>1767446590</v>
      </c>
      <c r="E333" s="518">
        <f t="shared" si="34"/>
        <v>7459249</v>
      </c>
      <c r="F333" s="542">
        <f t="shared" si="35"/>
        <v>4.2382401431147569E-3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750000</v>
      </c>
      <c r="D334" s="516">
        <v>522500</v>
      </c>
      <c r="E334" s="516">
        <f t="shared" si="34"/>
        <v>-227500</v>
      </c>
      <c r="F334" s="543">
        <f t="shared" si="35"/>
        <v>-0.30333333333333334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50879100</v>
      </c>
      <c r="D335" s="516">
        <v>53894232</v>
      </c>
      <c r="E335" s="516">
        <f t="shared" si="34"/>
        <v>3015132</v>
      </c>
      <c r="F335" s="542">
        <f t="shared" si="35"/>
        <v>5.9260718055154281E-2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FILING&amp;RBRIDGEPORT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214836674</v>
      </c>
      <c r="D14" s="589">
        <v>202622724</v>
      </c>
      <c r="E14" s="590">
        <f t="shared" ref="E14:E22" si="0">D14-C14</f>
        <v>-12213950</v>
      </c>
    </row>
    <row r="15" spans="1:5" s="421" customFormat="1" x14ac:dyDescent="0.2">
      <c r="A15" s="588">
        <v>2</v>
      </c>
      <c r="B15" s="587" t="s">
        <v>635</v>
      </c>
      <c r="C15" s="589">
        <v>438394231</v>
      </c>
      <c r="D15" s="591">
        <v>436901713</v>
      </c>
      <c r="E15" s="590">
        <f t="shared" si="0"/>
        <v>-1492518</v>
      </c>
    </row>
    <row r="16" spans="1:5" s="421" customFormat="1" x14ac:dyDescent="0.2">
      <c r="A16" s="588">
        <v>3</v>
      </c>
      <c r="B16" s="587" t="s">
        <v>777</v>
      </c>
      <c r="C16" s="589">
        <v>222828904</v>
      </c>
      <c r="D16" s="591">
        <v>233980593</v>
      </c>
      <c r="E16" s="590">
        <f t="shared" si="0"/>
        <v>11151689</v>
      </c>
    </row>
    <row r="17" spans="1:5" s="421" customFormat="1" x14ac:dyDescent="0.2">
      <c r="A17" s="588">
        <v>4</v>
      </c>
      <c r="B17" s="587" t="s">
        <v>115</v>
      </c>
      <c r="C17" s="589">
        <v>222828904</v>
      </c>
      <c r="D17" s="591">
        <v>233980593</v>
      </c>
      <c r="E17" s="590">
        <f t="shared" si="0"/>
        <v>11151689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410349</v>
      </c>
      <c r="D19" s="591">
        <v>911152</v>
      </c>
      <c r="E19" s="590">
        <f t="shared" si="0"/>
        <v>500803</v>
      </c>
    </row>
    <row r="20" spans="1:5" s="421" customFormat="1" x14ac:dyDescent="0.2">
      <c r="A20" s="588">
        <v>7</v>
      </c>
      <c r="B20" s="587" t="s">
        <v>758</v>
      </c>
      <c r="C20" s="589">
        <v>20207327</v>
      </c>
      <c r="D20" s="591">
        <v>10924791</v>
      </c>
      <c r="E20" s="590">
        <f t="shared" si="0"/>
        <v>-9282536</v>
      </c>
    </row>
    <row r="21" spans="1:5" s="421" customFormat="1" x14ac:dyDescent="0.2">
      <c r="A21" s="588"/>
      <c r="B21" s="592" t="s">
        <v>778</v>
      </c>
      <c r="C21" s="593">
        <f>SUM(C15+C16+C19)</f>
        <v>661633484</v>
      </c>
      <c r="D21" s="593">
        <f>SUM(D15+D16+D19)</f>
        <v>671793458</v>
      </c>
      <c r="E21" s="593">
        <f t="shared" si="0"/>
        <v>10159974</v>
      </c>
    </row>
    <row r="22" spans="1:5" s="421" customFormat="1" x14ac:dyDescent="0.2">
      <c r="A22" s="588"/>
      <c r="B22" s="592" t="s">
        <v>465</v>
      </c>
      <c r="C22" s="593">
        <f>SUM(C14+C21)</f>
        <v>876470158</v>
      </c>
      <c r="D22" s="593">
        <f>SUM(D14+D21)</f>
        <v>874416182</v>
      </c>
      <c r="E22" s="593">
        <f t="shared" si="0"/>
        <v>-2053976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333257720</v>
      </c>
      <c r="D25" s="589">
        <v>334645820</v>
      </c>
      <c r="E25" s="590">
        <f t="shared" ref="E25:E33" si="1">D25-C25</f>
        <v>1388100</v>
      </c>
    </row>
    <row r="26" spans="1:5" s="421" customFormat="1" x14ac:dyDescent="0.2">
      <c r="A26" s="588">
        <v>2</v>
      </c>
      <c r="B26" s="587" t="s">
        <v>635</v>
      </c>
      <c r="C26" s="589">
        <v>241849912</v>
      </c>
      <c r="D26" s="591">
        <v>252478826</v>
      </c>
      <c r="E26" s="590">
        <f t="shared" si="1"/>
        <v>10628914</v>
      </c>
    </row>
    <row r="27" spans="1:5" s="421" customFormat="1" x14ac:dyDescent="0.2">
      <c r="A27" s="588">
        <v>3</v>
      </c>
      <c r="B27" s="587" t="s">
        <v>777</v>
      </c>
      <c r="C27" s="589">
        <v>307573351</v>
      </c>
      <c r="D27" s="591">
        <v>304832821</v>
      </c>
      <c r="E27" s="590">
        <f t="shared" si="1"/>
        <v>-2740530</v>
      </c>
    </row>
    <row r="28" spans="1:5" s="421" customFormat="1" x14ac:dyDescent="0.2">
      <c r="A28" s="588">
        <v>4</v>
      </c>
      <c r="B28" s="587" t="s">
        <v>115</v>
      </c>
      <c r="C28" s="589">
        <v>307573351</v>
      </c>
      <c r="D28" s="591">
        <v>304832821</v>
      </c>
      <c r="E28" s="590">
        <f t="shared" si="1"/>
        <v>-2740530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836199</v>
      </c>
      <c r="D30" s="591">
        <v>1072941</v>
      </c>
      <c r="E30" s="590">
        <f t="shared" si="1"/>
        <v>236742</v>
      </c>
    </row>
    <row r="31" spans="1:5" s="421" customFormat="1" x14ac:dyDescent="0.2">
      <c r="A31" s="588">
        <v>7</v>
      </c>
      <c r="B31" s="587" t="s">
        <v>758</v>
      </c>
      <c r="C31" s="590">
        <v>33171524</v>
      </c>
      <c r="D31" s="594">
        <v>38794461</v>
      </c>
      <c r="E31" s="590">
        <f t="shared" si="1"/>
        <v>5622937</v>
      </c>
    </row>
    <row r="32" spans="1:5" s="421" customFormat="1" x14ac:dyDescent="0.2">
      <c r="A32" s="588"/>
      <c r="B32" s="592" t="s">
        <v>780</v>
      </c>
      <c r="C32" s="593">
        <f>SUM(C26+C27+C30)</f>
        <v>550259462</v>
      </c>
      <c r="D32" s="593">
        <f>SUM(D26+D27+D30)</f>
        <v>558384588</v>
      </c>
      <c r="E32" s="593">
        <f t="shared" si="1"/>
        <v>8125126</v>
      </c>
    </row>
    <row r="33" spans="1:5" s="421" customFormat="1" x14ac:dyDescent="0.2">
      <c r="A33" s="588"/>
      <c r="B33" s="592" t="s">
        <v>467</v>
      </c>
      <c r="C33" s="593">
        <f>SUM(C25+C32)</f>
        <v>883517182</v>
      </c>
      <c r="D33" s="593">
        <f>SUM(D25+D32)</f>
        <v>893030408</v>
      </c>
      <c r="E33" s="593">
        <f t="shared" si="1"/>
        <v>9513226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548094394</v>
      </c>
      <c r="D36" s="590">
        <f t="shared" si="2"/>
        <v>537268544</v>
      </c>
      <c r="E36" s="590">
        <f t="shared" ref="E36:E44" si="3">D36-C36</f>
        <v>-10825850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680244143</v>
      </c>
      <c r="D37" s="590">
        <f t="shared" si="2"/>
        <v>689380539</v>
      </c>
      <c r="E37" s="590">
        <f t="shared" si="3"/>
        <v>9136396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530402255</v>
      </c>
      <c r="D38" s="590">
        <f t="shared" si="2"/>
        <v>538813414</v>
      </c>
      <c r="E38" s="590">
        <f t="shared" si="3"/>
        <v>8411159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530402255</v>
      </c>
      <c r="D39" s="590">
        <f t="shared" si="2"/>
        <v>538813414</v>
      </c>
      <c r="E39" s="590">
        <f t="shared" si="3"/>
        <v>8411159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1246548</v>
      </c>
      <c r="D41" s="590">
        <f t="shared" si="2"/>
        <v>1984093</v>
      </c>
      <c r="E41" s="590">
        <f t="shared" si="3"/>
        <v>737545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53378851</v>
      </c>
      <c r="D42" s="590">
        <f t="shared" si="2"/>
        <v>49719252</v>
      </c>
      <c r="E42" s="590">
        <f t="shared" si="3"/>
        <v>-3659599</v>
      </c>
    </row>
    <row r="43" spans="1:5" s="421" customFormat="1" x14ac:dyDescent="0.2">
      <c r="A43" s="588"/>
      <c r="B43" s="592" t="s">
        <v>788</v>
      </c>
      <c r="C43" s="593">
        <f>SUM(C37+C38+C41)</f>
        <v>1211892946</v>
      </c>
      <c r="D43" s="593">
        <f>SUM(D37+D38+D41)</f>
        <v>1230178046</v>
      </c>
      <c r="E43" s="593">
        <f t="shared" si="3"/>
        <v>18285100</v>
      </c>
    </row>
    <row r="44" spans="1:5" s="421" customFormat="1" x14ac:dyDescent="0.2">
      <c r="A44" s="588"/>
      <c r="B44" s="592" t="s">
        <v>725</v>
      </c>
      <c r="C44" s="593">
        <f>SUM(C36+C43)</f>
        <v>1759987340</v>
      </c>
      <c r="D44" s="593">
        <f>SUM(D36+D43)</f>
        <v>1767446590</v>
      </c>
      <c r="E44" s="593">
        <f t="shared" si="3"/>
        <v>7459250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103455045</v>
      </c>
      <c r="D47" s="589">
        <v>94956952</v>
      </c>
      <c r="E47" s="590">
        <f t="shared" ref="E47:E55" si="4">D47-C47</f>
        <v>-8498093</v>
      </c>
    </row>
    <row r="48" spans="1:5" s="421" customFormat="1" x14ac:dyDescent="0.2">
      <c r="A48" s="588">
        <v>2</v>
      </c>
      <c r="B48" s="587" t="s">
        <v>635</v>
      </c>
      <c r="C48" s="589">
        <v>141330892</v>
      </c>
      <c r="D48" s="591">
        <v>134836551</v>
      </c>
      <c r="E48" s="590">
        <f t="shared" si="4"/>
        <v>-6494341</v>
      </c>
    </row>
    <row r="49" spans="1:5" s="421" customFormat="1" x14ac:dyDescent="0.2">
      <c r="A49" s="588">
        <v>3</v>
      </c>
      <c r="B49" s="587" t="s">
        <v>777</v>
      </c>
      <c r="C49" s="589">
        <v>40320958</v>
      </c>
      <c r="D49" s="591">
        <v>51084429</v>
      </c>
      <c r="E49" s="590">
        <f t="shared" si="4"/>
        <v>10763471</v>
      </c>
    </row>
    <row r="50" spans="1:5" s="421" customFormat="1" x14ac:dyDescent="0.2">
      <c r="A50" s="588">
        <v>4</v>
      </c>
      <c r="B50" s="587" t="s">
        <v>115</v>
      </c>
      <c r="C50" s="589">
        <v>40320958</v>
      </c>
      <c r="D50" s="591">
        <v>51084429</v>
      </c>
      <c r="E50" s="590">
        <f t="shared" si="4"/>
        <v>10763471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91862</v>
      </c>
      <c r="D52" s="591">
        <v>168167</v>
      </c>
      <c r="E52" s="590">
        <f t="shared" si="4"/>
        <v>76305</v>
      </c>
    </row>
    <row r="53" spans="1:5" s="421" customFormat="1" x14ac:dyDescent="0.2">
      <c r="A53" s="588">
        <v>7</v>
      </c>
      <c r="B53" s="587" t="s">
        <v>758</v>
      </c>
      <c r="C53" s="589">
        <v>10449109</v>
      </c>
      <c r="D53" s="591">
        <v>5502869</v>
      </c>
      <c r="E53" s="590">
        <f t="shared" si="4"/>
        <v>-4946240</v>
      </c>
    </row>
    <row r="54" spans="1:5" s="421" customFormat="1" x14ac:dyDescent="0.2">
      <c r="A54" s="588"/>
      <c r="B54" s="592" t="s">
        <v>790</v>
      </c>
      <c r="C54" s="593">
        <f>SUM(C48+C49+C52)</f>
        <v>181743712</v>
      </c>
      <c r="D54" s="593">
        <f>SUM(D48+D49+D52)</f>
        <v>186089147</v>
      </c>
      <c r="E54" s="593">
        <f t="shared" si="4"/>
        <v>4345435</v>
      </c>
    </row>
    <row r="55" spans="1:5" s="421" customFormat="1" x14ac:dyDescent="0.2">
      <c r="A55" s="588"/>
      <c r="B55" s="592" t="s">
        <v>466</v>
      </c>
      <c r="C55" s="593">
        <f>SUM(C47+C54)</f>
        <v>285198757</v>
      </c>
      <c r="D55" s="593">
        <f>SUM(D47+D54)</f>
        <v>281046099</v>
      </c>
      <c r="E55" s="593">
        <f t="shared" si="4"/>
        <v>-4152658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124025751</v>
      </c>
      <c r="D58" s="589">
        <v>118641692</v>
      </c>
      <c r="E58" s="590">
        <f t="shared" ref="E58:E66" si="5">D58-C58</f>
        <v>-5384059</v>
      </c>
    </row>
    <row r="59" spans="1:5" s="421" customFormat="1" x14ac:dyDescent="0.2">
      <c r="A59" s="588">
        <v>2</v>
      </c>
      <c r="B59" s="587" t="s">
        <v>635</v>
      </c>
      <c r="C59" s="589">
        <v>39619572</v>
      </c>
      <c r="D59" s="591">
        <v>43767919</v>
      </c>
      <c r="E59" s="590">
        <f t="shared" si="5"/>
        <v>4148347</v>
      </c>
    </row>
    <row r="60" spans="1:5" s="421" customFormat="1" x14ac:dyDescent="0.2">
      <c r="A60" s="588">
        <v>3</v>
      </c>
      <c r="B60" s="587" t="s">
        <v>777</v>
      </c>
      <c r="C60" s="589">
        <f>C61+C62</f>
        <v>43186014</v>
      </c>
      <c r="D60" s="591">
        <f>D61+D62</f>
        <v>48056138</v>
      </c>
      <c r="E60" s="590">
        <f t="shared" si="5"/>
        <v>4870124</v>
      </c>
    </row>
    <row r="61" spans="1:5" s="421" customFormat="1" x14ac:dyDescent="0.2">
      <c r="A61" s="588">
        <v>4</v>
      </c>
      <c r="B61" s="587" t="s">
        <v>115</v>
      </c>
      <c r="C61" s="589">
        <v>43186014</v>
      </c>
      <c r="D61" s="591">
        <v>48056138</v>
      </c>
      <c r="E61" s="590">
        <f t="shared" si="5"/>
        <v>4870124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181050</v>
      </c>
      <c r="D63" s="591">
        <v>117668</v>
      </c>
      <c r="E63" s="590">
        <f t="shared" si="5"/>
        <v>-63382</v>
      </c>
    </row>
    <row r="64" spans="1:5" s="421" customFormat="1" x14ac:dyDescent="0.2">
      <c r="A64" s="588">
        <v>7</v>
      </c>
      <c r="B64" s="587" t="s">
        <v>758</v>
      </c>
      <c r="C64" s="589">
        <v>16413766</v>
      </c>
      <c r="D64" s="591">
        <v>5014778</v>
      </c>
      <c r="E64" s="590">
        <f t="shared" si="5"/>
        <v>-11398988</v>
      </c>
    </row>
    <row r="65" spans="1:5" s="421" customFormat="1" x14ac:dyDescent="0.2">
      <c r="A65" s="588"/>
      <c r="B65" s="592" t="s">
        <v>792</v>
      </c>
      <c r="C65" s="593">
        <f>SUM(C59+C60+C63)</f>
        <v>82986636</v>
      </c>
      <c r="D65" s="593">
        <f>SUM(D59+D60+D63)</f>
        <v>91941725</v>
      </c>
      <c r="E65" s="593">
        <f t="shared" si="5"/>
        <v>8955089</v>
      </c>
    </row>
    <row r="66" spans="1:5" s="421" customFormat="1" x14ac:dyDescent="0.2">
      <c r="A66" s="588"/>
      <c r="B66" s="592" t="s">
        <v>468</v>
      </c>
      <c r="C66" s="593">
        <f>SUM(C58+C65)</f>
        <v>207012387</v>
      </c>
      <c r="D66" s="593">
        <f>SUM(D58+D65)</f>
        <v>210583417</v>
      </c>
      <c r="E66" s="593">
        <f t="shared" si="5"/>
        <v>3571030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227480796</v>
      </c>
      <c r="D69" s="590">
        <f t="shared" si="6"/>
        <v>213598644</v>
      </c>
      <c r="E69" s="590">
        <f t="shared" ref="E69:E77" si="7">D69-C69</f>
        <v>-13882152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180950464</v>
      </c>
      <c r="D70" s="590">
        <f t="shared" si="6"/>
        <v>178604470</v>
      </c>
      <c r="E70" s="590">
        <f t="shared" si="7"/>
        <v>-2345994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83506972</v>
      </c>
      <c r="D71" s="590">
        <f t="shared" si="6"/>
        <v>99140567</v>
      </c>
      <c r="E71" s="590">
        <f t="shared" si="7"/>
        <v>15633595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83506972</v>
      </c>
      <c r="D72" s="590">
        <f t="shared" si="6"/>
        <v>99140567</v>
      </c>
      <c r="E72" s="590">
        <f t="shared" si="7"/>
        <v>15633595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272912</v>
      </c>
      <c r="D74" s="590">
        <f t="shared" si="6"/>
        <v>285835</v>
      </c>
      <c r="E74" s="590">
        <f t="shared" si="7"/>
        <v>12923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26862875</v>
      </c>
      <c r="D75" s="590">
        <f t="shared" si="6"/>
        <v>10517647</v>
      </c>
      <c r="E75" s="590">
        <f t="shared" si="7"/>
        <v>-16345228</v>
      </c>
    </row>
    <row r="76" spans="1:5" s="421" customFormat="1" x14ac:dyDescent="0.2">
      <c r="A76" s="588"/>
      <c r="B76" s="592" t="s">
        <v>793</v>
      </c>
      <c r="C76" s="593">
        <f>SUM(C70+C71+C74)</f>
        <v>264730348</v>
      </c>
      <c r="D76" s="593">
        <f>SUM(D70+D71+D74)</f>
        <v>278030872</v>
      </c>
      <c r="E76" s="593">
        <f t="shared" si="7"/>
        <v>13300524</v>
      </c>
    </row>
    <row r="77" spans="1:5" s="421" customFormat="1" x14ac:dyDescent="0.2">
      <c r="A77" s="588"/>
      <c r="B77" s="592" t="s">
        <v>726</v>
      </c>
      <c r="C77" s="593">
        <f>SUM(C69+C76)</f>
        <v>492211144</v>
      </c>
      <c r="D77" s="593">
        <f>SUM(D69+D76)</f>
        <v>491629516</v>
      </c>
      <c r="E77" s="593">
        <f t="shared" si="7"/>
        <v>-581628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0.12206717009680308</v>
      </c>
      <c r="D83" s="599">
        <f t="shared" si="8"/>
        <v>0.11464149759682413</v>
      </c>
      <c r="E83" s="599">
        <f t="shared" ref="E83:E91" si="9">D83-C83</f>
        <v>-7.4256724999789553E-3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0.2490894229955086</v>
      </c>
      <c r="D84" s="599">
        <f t="shared" si="8"/>
        <v>0.24719372877909709</v>
      </c>
      <c r="E84" s="599">
        <f t="shared" si="9"/>
        <v>-1.8956942164115032E-3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0.12660824253429004</v>
      </c>
      <c r="D85" s="599">
        <f t="shared" si="8"/>
        <v>0.13238340231825618</v>
      </c>
      <c r="E85" s="599">
        <f t="shared" si="9"/>
        <v>5.7751597839661439E-3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0.12660824253429004</v>
      </c>
      <c r="D86" s="599">
        <f t="shared" si="8"/>
        <v>0.13238340231825618</v>
      </c>
      <c r="E86" s="599">
        <f t="shared" si="9"/>
        <v>5.7751597839661439E-3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2.3315451803193084E-4</v>
      </c>
      <c r="D88" s="599">
        <f t="shared" si="8"/>
        <v>5.1551883103862276E-4</v>
      </c>
      <c r="E88" s="599">
        <f t="shared" si="9"/>
        <v>2.8236431300669192E-4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1.1481518384103832E-2</v>
      </c>
      <c r="D89" s="599">
        <f t="shared" si="8"/>
        <v>6.181115209823681E-3</v>
      </c>
      <c r="E89" s="599">
        <f t="shared" si="9"/>
        <v>-5.3004031742801506E-3</v>
      </c>
    </row>
    <row r="90" spans="1:5" s="421" customFormat="1" x14ac:dyDescent="0.2">
      <c r="A90" s="588"/>
      <c r="B90" s="592" t="s">
        <v>796</v>
      </c>
      <c r="C90" s="600">
        <f>SUM(C84+C85+C88)</f>
        <v>0.37593082004783057</v>
      </c>
      <c r="D90" s="600">
        <f>SUM(D84+D85+D88)</f>
        <v>0.38009264992839187</v>
      </c>
      <c r="E90" s="601">
        <f t="shared" si="9"/>
        <v>4.1618298805612963E-3</v>
      </c>
    </row>
    <row r="91" spans="1:5" s="421" customFormat="1" x14ac:dyDescent="0.2">
      <c r="A91" s="588"/>
      <c r="B91" s="592" t="s">
        <v>797</v>
      </c>
      <c r="C91" s="600">
        <f>SUM(C83+C90)</f>
        <v>0.49799799014463364</v>
      </c>
      <c r="D91" s="600">
        <f>SUM(D83+D90)</f>
        <v>0.49473414752521599</v>
      </c>
      <c r="E91" s="601">
        <f t="shared" si="9"/>
        <v>-3.2638426194176451E-3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0.18935233931853168</v>
      </c>
      <c r="D95" s="599">
        <f t="shared" si="10"/>
        <v>0.18933857571334023</v>
      </c>
      <c r="E95" s="599">
        <f t="shared" ref="E95:E103" si="11">D95-C95</f>
        <v>-1.3763605191452477E-5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0.13741571118346793</v>
      </c>
      <c r="D96" s="599">
        <f t="shared" si="10"/>
        <v>0.14284947982501695</v>
      </c>
      <c r="E96" s="599">
        <f t="shared" si="11"/>
        <v>5.4337686415490138E-3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0.17475884286758564</v>
      </c>
      <c r="D97" s="599">
        <f t="shared" si="10"/>
        <v>0.17247073983717948</v>
      </c>
      <c r="E97" s="599">
        <f t="shared" si="11"/>
        <v>-2.2881030304061634E-3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0.17475884286758564</v>
      </c>
      <c r="D98" s="599">
        <f t="shared" si="10"/>
        <v>0.17247073983717948</v>
      </c>
      <c r="E98" s="599">
        <f t="shared" si="11"/>
        <v>-2.2881030304061634E-3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4.7511648578108521E-4</v>
      </c>
      <c r="D100" s="599">
        <f t="shared" si="10"/>
        <v>6.0705709924733847E-4</v>
      </c>
      <c r="E100" s="599">
        <f t="shared" si="11"/>
        <v>1.3194061346625326E-4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1.8847592392340733E-2</v>
      </c>
      <c r="D101" s="599">
        <f t="shared" si="10"/>
        <v>2.194943893608689E-2</v>
      </c>
      <c r="E101" s="599">
        <f t="shared" si="11"/>
        <v>3.1018465437461576E-3</v>
      </c>
    </row>
    <row r="102" spans="1:5" s="421" customFormat="1" x14ac:dyDescent="0.2">
      <c r="A102" s="588"/>
      <c r="B102" s="592" t="s">
        <v>799</v>
      </c>
      <c r="C102" s="600">
        <f>SUM(C96+C97+C100)</f>
        <v>0.31264967053683462</v>
      </c>
      <c r="D102" s="600">
        <f>SUM(D96+D97+D100)</f>
        <v>0.31592727676144378</v>
      </c>
      <c r="E102" s="601">
        <f t="shared" si="11"/>
        <v>3.2776062246091531E-3</v>
      </c>
    </row>
    <row r="103" spans="1:5" s="421" customFormat="1" x14ac:dyDescent="0.2">
      <c r="A103" s="588"/>
      <c r="B103" s="592" t="s">
        <v>800</v>
      </c>
      <c r="C103" s="600">
        <f>SUM(C95+C102)</f>
        <v>0.50200200985536636</v>
      </c>
      <c r="D103" s="600">
        <f>SUM(D95+D102)</f>
        <v>0.50526585247478395</v>
      </c>
      <c r="E103" s="601">
        <f t="shared" si="11"/>
        <v>3.2638426194175896E-3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0.21018428018362786</v>
      </c>
      <c r="D109" s="599">
        <f t="shared" si="12"/>
        <v>0.19314737807564833</v>
      </c>
      <c r="E109" s="599">
        <f t="shared" ref="E109:E117" si="13">D109-C109</f>
        <v>-1.7036902107979535E-2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0.28713468543491572</v>
      </c>
      <c r="D110" s="599">
        <f t="shared" si="12"/>
        <v>0.27426455615817824</v>
      </c>
      <c r="E110" s="599">
        <f t="shared" si="13"/>
        <v>-1.2870129276737474E-2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8.1918011185866196E-2</v>
      </c>
      <c r="D111" s="599">
        <f t="shared" si="12"/>
        <v>0.10390838494733502</v>
      </c>
      <c r="E111" s="599">
        <f t="shared" si="13"/>
        <v>2.1990373761468826E-2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8.1918011185866196E-2</v>
      </c>
      <c r="D112" s="599">
        <f t="shared" si="12"/>
        <v>0.10390838494733502</v>
      </c>
      <c r="E112" s="599">
        <f t="shared" si="13"/>
        <v>2.1990373761468826E-2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1.866312884618476E-4</v>
      </c>
      <c r="D114" s="599">
        <f t="shared" si="12"/>
        <v>3.4206042258862261E-4</v>
      </c>
      <c r="E114" s="599">
        <f t="shared" si="13"/>
        <v>1.5542913412677501E-4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2.1228915938563145E-2</v>
      </c>
      <c r="D115" s="599">
        <f t="shared" si="12"/>
        <v>1.1193121692067E-2</v>
      </c>
      <c r="E115" s="599">
        <f t="shared" si="13"/>
        <v>-1.0035794246496145E-2</v>
      </c>
    </row>
    <row r="116" spans="1:5" s="421" customFormat="1" x14ac:dyDescent="0.2">
      <c r="A116" s="588"/>
      <c r="B116" s="592" t="s">
        <v>796</v>
      </c>
      <c r="C116" s="600">
        <f>SUM(C110+C111+C114)</f>
        <v>0.36923932790924374</v>
      </c>
      <c r="D116" s="600">
        <f>SUM(D110+D111+D114)</f>
        <v>0.37851500152810186</v>
      </c>
      <c r="E116" s="601">
        <f t="shared" si="13"/>
        <v>9.2756736188581157E-3</v>
      </c>
    </row>
    <row r="117" spans="1:5" s="421" customFormat="1" x14ac:dyDescent="0.2">
      <c r="A117" s="588"/>
      <c r="B117" s="592" t="s">
        <v>797</v>
      </c>
      <c r="C117" s="600">
        <f>SUM(C109+C116)</f>
        <v>0.57942360809287163</v>
      </c>
      <c r="D117" s="600">
        <f>SUM(D109+D116)</f>
        <v>0.57166237960375021</v>
      </c>
      <c r="E117" s="601">
        <f t="shared" si="13"/>
        <v>-7.7612284891214189E-3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0.2519767228187747</v>
      </c>
      <c r="D121" s="599">
        <f t="shared" si="14"/>
        <v>0.24132337082869532</v>
      </c>
      <c r="E121" s="599">
        <f t="shared" ref="E121:E129" si="15">D121-C121</f>
        <v>-1.0653351990079385E-2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8.0493041417201233E-2</v>
      </c>
      <c r="D122" s="599">
        <f t="shared" si="14"/>
        <v>8.9026223152964643E-2</v>
      </c>
      <c r="E122" s="599">
        <f t="shared" si="15"/>
        <v>8.5331817357634093E-3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8.7738797722141784E-2</v>
      </c>
      <c r="D123" s="599">
        <f t="shared" si="14"/>
        <v>9.774868358392054E-2</v>
      </c>
      <c r="E123" s="599">
        <f t="shared" si="15"/>
        <v>1.0009885861778756E-2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8.7738797722141784E-2</v>
      </c>
      <c r="D124" s="599">
        <f t="shared" si="14"/>
        <v>9.774868358392054E-2</v>
      </c>
      <c r="E124" s="599">
        <f t="shared" si="15"/>
        <v>1.0009885861778756E-2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3.6782994901066277E-4</v>
      </c>
      <c r="D126" s="599">
        <f t="shared" si="14"/>
        <v>2.3934283066926357E-4</v>
      </c>
      <c r="E126" s="599">
        <f t="shared" si="15"/>
        <v>-1.284871183413992E-4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3.3347001993112128E-2</v>
      </c>
      <c r="D127" s="599">
        <f t="shared" si="14"/>
        <v>1.0200319217611824E-2</v>
      </c>
      <c r="E127" s="599">
        <f t="shared" si="15"/>
        <v>-2.3146682775500305E-2</v>
      </c>
    </row>
    <row r="128" spans="1:5" s="421" customFormat="1" x14ac:dyDescent="0.2">
      <c r="A128" s="588"/>
      <c r="B128" s="592" t="s">
        <v>799</v>
      </c>
      <c r="C128" s="600">
        <f>SUM(C122+C123+C126)</f>
        <v>0.16859966908835369</v>
      </c>
      <c r="D128" s="600">
        <f>SUM(D122+D123+D126)</f>
        <v>0.18701424956755444</v>
      </c>
      <c r="E128" s="601">
        <f t="shared" si="15"/>
        <v>1.8414580479200748E-2</v>
      </c>
    </row>
    <row r="129" spans="1:5" s="421" customFormat="1" x14ac:dyDescent="0.2">
      <c r="A129" s="588"/>
      <c r="B129" s="592" t="s">
        <v>800</v>
      </c>
      <c r="C129" s="600">
        <f>SUM(C121+C128)</f>
        <v>0.42057639190712837</v>
      </c>
      <c r="D129" s="600">
        <f>SUM(D121+D128)</f>
        <v>0.42833762039624979</v>
      </c>
      <c r="E129" s="601">
        <f t="shared" si="15"/>
        <v>7.7612284891214189E-3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5639</v>
      </c>
      <c r="D137" s="606">
        <v>5694</v>
      </c>
      <c r="E137" s="607">
        <f t="shared" ref="E137:E145" si="16">D137-C137</f>
        <v>55</v>
      </c>
    </row>
    <row r="138" spans="1:5" s="421" customFormat="1" x14ac:dyDescent="0.2">
      <c r="A138" s="588">
        <v>2</v>
      </c>
      <c r="B138" s="587" t="s">
        <v>635</v>
      </c>
      <c r="C138" s="606">
        <v>7920</v>
      </c>
      <c r="D138" s="606">
        <v>8160</v>
      </c>
      <c r="E138" s="607">
        <f t="shared" si="16"/>
        <v>240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6240</v>
      </c>
      <c r="D139" s="606">
        <f>D140+D141</f>
        <v>6767</v>
      </c>
      <c r="E139" s="607">
        <f t="shared" si="16"/>
        <v>527</v>
      </c>
    </row>
    <row r="140" spans="1:5" s="421" customFormat="1" x14ac:dyDescent="0.2">
      <c r="A140" s="588">
        <v>4</v>
      </c>
      <c r="B140" s="587" t="s">
        <v>115</v>
      </c>
      <c r="C140" s="606">
        <v>6240</v>
      </c>
      <c r="D140" s="606">
        <v>6767</v>
      </c>
      <c r="E140" s="607">
        <f t="shared" si="16"/>
        <v>527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16</v>
      </c>
      <c r="D142" s="606">
        <v>36</v>
      </c>
      <c r="E142" s="607">
        <f t="shared" si="16"/>
        <v>20</v>
      </c>
    </row>
    <row r="143" spans="1:5" s="421" customFormat="1" x14ac:dyDescent="0.2">
      <c r="A143" s="588">
        <v>7</v>
      </c>
      <c r="B143" s="587" t="s">
        <v>758</v>
      </c>
      <c r="C143" s="606">
        <v>785</v>
      </c>
      <c r="D143" s="606">
        <v>261</v>
      </c>
      <c r="E143" s="607">
        <f t="shared" si="16"/>
        <v>-524</v>
      </c>
    </row>
    <row r="144" spans="1:5" s="421" customFormat="1" x14ac:dyDescent="0.2">
      <c r="A144" s="588"/>
      <c r="B144" s="592" t="s">
        <v>807</v>
      </c>
      <c r="C144" s="608">
        <f>SUM(C138+C139+C142)</f>
        <v>14176</v>
      </c>
      <c r="D144" s="608">
        <f>SUM(D138+D139+D142)</f>
        <v>14963</v>
      </c>
      <c r="E144" s="609">
        <f t="shared" si="16"/>
        <v>787</v>
      </c>
    </row>
    <row r="145" spans="1:5" s="421" customFormat="1" x14ac:dyDescent="0.2">
      <c r="A145" s="588"/>
      <c r="B145" s="592" t="s">
        <v>138</v>
      </c>
      <c r="C145" s="608">
        <f>SUM(C137+C144)</f>
        <v>19815</v>
      </c>
      <c r="D145" s="608">
        <f>SUM(D137+D144)</f>
        <v>20657</v>
      </c>
      <c r="E145" s="609">
        <f t="shared" si="16"/>
        <v>842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24080</v>
      </c>
      <c r="D149" s="610">
        <v>22090</v>
      </c>
      <c r="E149" s="607">
        <f t="shared" ref="E149:E157" si="17">D149-C149</f>
        <v>-1990</v>
      </c>
    </row>
    <row r="150" spans="1:5" s="421" customFormat="1" x14ac:dyDescent="0.2">
      <c r="A150" s="588">
        <v>2</v>
      </c>
      <c r="B150" s="587" t="s">
        <v>635</v>
      </c>
      <c r="C150" s="610">
        <v>56895</v>
      </c>
      <c r="D150" s="610">
        <v>54474</v>
      </c>
      <c r="E150" s="607">
        <f t="shared" si="17"/>
        <v>-2421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28455</v>
      </c>
      <c r="D151" s="610">
        <f>D152+D153</f>
        <v>29234</v>
      </c>
      <c r="E151" s="607">
        <f t="shared" si="17"/>
        <v>779</v>
      </c>
    </row>
    <row r="152" spans="1:5" s="421" customFormat="1" x14ac:dyDescent="0.2">
      <c r="A152" s="588">
        <v>4</v>
      </c>
      <c r="B152" s="587" t="s">
        <v>115</v>
      </c>
      <c r="C152" s="610">
        <v>28455</v>
      </c>
      <c r="D152" s="610">
        <v>29234</v>
      </c>
      <c r="E152" s="607">
        <f t="shared" si="17"/>
        <v>779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42</v>
      </c>
      <c r="D154" s="610">
        <v>144</v>
      </c>
      <c r="E154" s="607">
        <f t="shared" si="17"/>
        <v>102</v>
      </c>
    </row>
    <row r="155" spans="1:5" s="421" customFormat="1" x14ac:dyDescent="0.2">
      <c r="A155" s="588">
        <v>7</v>
      </c>
      <c r="B155" s="587" t="s">
        <v>758</v>
      </c>
      <c r="C155" s="610">
        <v>3075</v>
      </c>
      <c r="D155" s="610">
        <v>1231</v>
      </c>
      <c r="E155" s="607">
        <f t="shared" si="17"/>
        <v>-1844</v>
      </c>
    </row>
    <row r="156" spans="1:5" s="421" customFormat="1" x14ac:dyDescent="0.2">
      <c r="A156" s="588"/>
      <c r="B156" s="592" t="s">
        <v>808</v>
      </c>
      <c r="C156" s="608">
        <f>SUM(C150+C151+C154)</f>
        <v>85392</v>
      </c>
      <c r="D156" s="608">
        <f>SUM(D150+D151+D154)</f>
        <v>83852</v>
      </c>
      <c r="E156" s="609">
        <f t="shared" si="17"/>
        <v>-1540</v>
      </c>
    </row>
    <row r="157" spans="1:5" s="421" customFormat="1" x14ac:dyDescent="0.2">
      <c r="A157" s="588"/>
      <c r="B157" s="592" t="s">
        <v>140</v>
      </c>
      <c r="C157" s="608">
        <f>SUM(C149+C156)</f>
        <v>109472</v>
      </c>
      <c r="D157" s="608">
        <f>SUM(D149+D156)</f>
        <v>105942</v>
      </c>
      <c r="E157" s="609">
        <f t="shared" si="17"/>
        <v>-3530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4.270260684518532</v>
      </c>
      <c r="D161" s="612">
        <f t="shared" si="18"/>
        <v>3.8795223041798383</v>
      </c>
      <c r="E161" s="613">
        <f t="shared" ref="E161:E169" si="19">D161-C161</f>
        <v>-0.39073838033869368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7.1837121212121211</v>
      </c>
      <c r="D162" s="612">
        <f t="shared" si="18"/>
        <v>6.6757352941176471</v>
      </c>
      <c r="E162" s="613">
        <f t="shared" si="19"/>
        <v>-0.507976827094474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4.5600961538461542</v>
      </c>
      <c r="D163" s="612">
        <f t="shared" si="18"/>
        <v>4.3200827545441109</v>
      </c>
      <c r="E163" s="613">
        <f t="shared" si="19"/>
        <v>-0.24001339930204324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4.5600961538461542</v>
      </c>
      <c r="D164" s="612">
        <f t="shared" si="18"/>
        <v>4.3200827545441109</v>
      </c>
      <c r="E164" s="613">
        <f t="shared" si="19"/>
        <v>-0.24001339930204324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2.625</v>
      </c>
      <c r="D166" s="612">
        <f t="shared" si="18"/>
        <v>4</v>
      </c>
      <c r="E166" s="613">
        <f t="shared" si="19"/>
        <v>1.375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3.9171974522292992</v>
      </c>
      <c r="D167" s="612">
        <f t="shared" si="18"/>
        <v>4.7164750957854409</v>
      </c>
      <c r="E167" s="613">
        <f t="shared" si="19"/>
        <v>0.79927764355614173</v>
      </c>
    </row>
    <row r="168" spans="1:5" s="421" customFormat="1" x14ac:dyDescent="0.2">
      <c r="A168" s="588"/>
      <c r="B168" s="592" t="s">
        <v>810</v>
      </c>
      <c r="C168" s="614">
        <f t="shared" si="18"/>
        <v>6.023702031602709</v>
      </c>
      <c r="D168" s="614">
        <f t="shared" si="18"/>
        <v>5.6039564258504306</v>
      </c>
      <c r="E168" s="615">
        <f t="shared" si="19"/>
        <v>-0.41974560575227837</v>
      </c>
    </row>
    <row r="169" spans="1:5" s="421" customFormat="1" x14ac:dyDescent="0.2">
      <c r="A169" s="588"/>
      <c r="B169" s="592" t="s">
        <v>744</v>
      </c>
      <c r="C169" s="614">
        <f t="shared" si="18"/>
        <v>5.5247035074438555</v>
      </c>
      <c r="D169" s="614">
        <f t="shared" si="18"/>
        <v>5.1286246792854726</v>
      </c>
      <c r="E169" s="615">
        <f t="shared" si="19"/>
        <v>-0.39607882815838291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1.28301</v>
      </c>
      <c r="D173" s="617">
        <f t="shared" si="20"/>
        <v>1.2920799999999999</v>
      </c>
      <c r="E173" s="618">
        <f t="shared" ref="E173:E181" si="21">D173-C173</f>
        <v>9.0699999999999115E-3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1.6468</v>
      </c>
      <c r="D174" s="617">
        <f t="shared" si="20"/>
        <v>1.6724600000000001</v>
      </c>
      <c r="E174" s="618">
        <f t="shared" si="21"/>
        <v>2.5660000000000016E-2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1.0688200000000001</v>
      </c>
      <c r="D175" s="617">
        <f t="shared" si="20"/>
        <v>1.12961</v>
      </c>
      <c r="E175" s="618">
        <f t="shared" si="21"/>
        <v>6.07899999999999E-2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1.0688200000000001</v>
      </c>
      <c r="D176" s="617">
        <f t="shared" si="20"/>
        <v>1.12961</v>
      </c>
      <c r="E176" s="618">
        <f t="shared" si="21"/>
        <v>6.07899999999999E-2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0.86004999999999998</v>
      </c>
      <c r="D178" s="617">
        <f t="shared" si="20"/>
        <v>0.92449999999999988</v>
      </c>
      <c r="E178" s="618">
        <f t="shared" si="21"/>
        <v>6.4449999999999896E-2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1.03671</v>
      </c>
      <c r="D179" s="617">
        <f t="shared" si="20"/>
        <v>1.2895000000000001</v>
      </c>
      <c r="E179" s="618">
        <f t="shared" si="21"/>
        <v>0.25279000000000007</v>
      </c>
    </row>
    <row r="180" spans="1:5" s="421" customFormat="1" x14ac:dyDescent="0.2">
      <c r="A180" s="588"/>
      <c r="B180" s="592" t="s">
        <v>812</v>
      </c>
      <c r="C180" s="619">
        <f t="shared" si="20"/>
        <v>1.3914964446952598</v>
      </c>
      <c r="D180" s="619">
        <f t="shared" si="20"/>
        <v>1.425157152309029</v>
      </c>
      <c r="E180" s="620">
        <f t="shared" si="21"/>
        <v>3.3660707613769159E-2</v>
      </c>
    </row>
    <row r="181" spans="1:5" s="421" customFormat="1" x14ac:dyDescent="0.2">
      <c r="A181" s="588"/>
      <c r="B181" s="592" t="s">
        <v>723</v>
      </c>
      <c r="C181" s="619">
        <f t="shared" si="20"/>
        <v>1.3606231132980067</v>
      </c>
      <c r="D181" s="619">
        <f t="shared" si="20"/>
        <v>1.3884750927046521</v>
      </c>
      <c r="E181" s="620">
        <f t="shared" si="21"/>
        <v>2.7851979406645411E-2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814</v>
      </c>
      <c r="C185" s="589">
        <v>481291196</v>
      </c>
      <c r="D185" s="589">
        <v>476784876</v>
      </c>
      <c r="E185" s="590">
        <f>D185-C185</f>
        <v>-4506320</v>
      </c>
    </row>
    <row r="186" spans="1:5" s="421" customFormat="1" ht="25.5" x14ac:dyDescent="0.2">
      <c r="A186" s="588">
        <v>2</v>
      </c>
      <c r="B186" s="587" t="s">
        <v>815</v>
      </c>
      <c r="C186" s="589">
        <v>287018071</v>
      </c>
      <c r="D186" s="589">
        <v>277391098</v>
      </c>
      <c r="E186" s="590">
        <f>D186-C186</f>
        <v>-9626973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194273125</v>
      </c>
      <c r="D188" s="622">
        <f>+D185-D186</f>
        <v>199393778</v>
      </c>
      <c r="E188" s="590">
        <f t="shared" ref="E188:E197" si="22">D188-C188</f>
        <v>5120653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0.40364986231744826</v>
      </c>
      <c r="D189" s="623">
        <f>IF(D185=0,0,+D188/D185)</f>
        <v>0.41820491386559838</v>
      </c>
      <c r="E189" s="599">
        <f t="shared" si="22"/>
        <v>1.4555051548150122E-2</v>
      </c>
    </row>
    <row r="190" spans="1:5" s="421" customFormat="1" x14ac:dyDescent="0.2">
      <c r="A190" s="588">
        <v>5</v>
      </c>
      <c r="B190" s="587" t="s">
        <v>762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748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13728345</v>
      </c>
      <c r="D193" s="589">
        <v>16129090</v>
      </c>
      <c r="E193" s="622">
        <f t="shared" si="22"/>
        <v>2400745</v>
      </c>
    </row>
    <row r="194" spans="1:5" s="421" customFormat="1" x14ac:dyDescent="0.2">
      <c r="A194" s="588">
        <v>9</v>
      </c>
      <c r="B194" s="587" t="s">
        <v>818</v>
      </c>
      <c r="C194" s="589">
        <v>36400755</v>
      </c>
      <c r="D194" s="589">
        <v>37242642</v>
      </c>
      <c r="E194" s="622">
        <f t="shared" si="22"/>
        <v>841887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50129100</v>
      </c>
      <c r="D195" s="589">
        <f>+D193+D194</f>
        <v>53371732</v>
      </c>
      <c r="E195" s="625">
        <f t="shared" si="22"/>
        <v>3242632</v>
      </c>
    </row>
    <row r="196" spans="1:5" s="421" customFormat="1" x14ac:dyDescent="0.2">
      <c r="A196" s="588">
        <v>11</v>
      </c>
      <c r="B196" s="587" t="s">
        <v>820</v>
      </c>
      <c r="C196" s="589">
        <v>6414248</v>
      </c>
      <c r="D196" s="589">
        <v>6473222</v>
      </c>
      <c r="E196" s="622">
        <f t="shared" si="22"/>
        <v>58974</v>
      </c>
    </row>
    <row r="197" spans="1:5" s="421" customFormat="1" x14ac:dyDescent="0.2">
      <c r="A197" s="588">
        <v>12</v>
      </c>
      <c r="B197" s="587" t="s">
        <v>710</v>
      </c>
      <c r="C197" s="589">
        <v>443456000</v>
      </c>
      <c r="D197" s="589">
        <v>470194000</v>
      </c>
      <c r="E197" s="622">
        <f t="shared" si="22"/>
        <v>26738000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7234.8933900000002</v>
      </c>
      <c r="D203" s="629">
        <v>7357.1035199999997</v>
      </c>
      <c r="E203" s="630">
        <f t="shared" ref="E203:E211" si="23">D203-C203</f>
        <v>122.21012999999948</v>
      </c>
    </row>
    <row r="204" spans="1:5" s="421" customFormat="1" x14ac:dyDescent="0.2">
      <c r="A204" s="588">
        <v>2</v>
      </c>
      <c r="B204" s="587" t="s">
        <v>635</v>
      </c>
      <c r="C204" s="629">
        <v>13042.656000000001</v>
      </c>
      <c r="D204" s="629">
        <v>13647.2736</v>
      </c>
      <c r="E204" s="630">
        <f t="shared" si="23"/>
        <v>604.61759999999958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6669.4368000000004</v>
      </c>
      <c r="D205" s="629">
        <f>D206+D207</f>
        <v>7644.0708700000005</v>
      </c>
      <c r="E205" s="630">
        <f t="shared" si="23"/>
        <v>974.63407000000007</v>
      </c>
    </row>
    <row r="206" spans="1:5" s="421" customFormat="1" x14ac:dyDescent="0.2">
      <c r="A206" s="588">
        <v>4</v>
      </c>
      <c r="B206" s="587" t="s">
        <v>115</v>
      </c>
      <c r="C206" s="629">
        <v>6669.4368000000004</v>
      </c>
      <c r="D206" s="629">
        <v>7644.0708700000005</v>
      </c>
      <c r="E206" s="630">
        <f t="shared" si="23"/>
        <v>974.63407000000007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13.7608</v>
      </c>
      <c r="D208" s="629">
        <v>33.281999999999996</v>
      </c>
      <c r="E208" s="630">
        <f t="shared" si="23"/>
        <v>19.521199999999997</v>
      </c>
    </row>
    <row r="209" spans="1:5" s="421" customFormat="1" x14ac:dyDescent="0.2">
      <c r="A209" s="588">
        <v>7</v>
      </c>
      <c r="B209" s="587" t="s">
        <v>758</v>
      </c>
      <c r="C209" s="629">
        <v>813.81735000000003</v>
      </c>
      <c r="D209" s="629">
        <v>336.55950000000001</v>
      </c>
      <c r="E209" s="630">
        <f t="shared" si="23"/>
        <v>-477.25785000000002</v>
      </c>
    </row>
    <row r="210" spans="1:5" s="421" customFormat="1" x14ac:dyDescent="0.2">
      <c r="A210" s="588"/>
      <c r="B210" s="592" t="s">
        <v>823</v>
      </c>
      <c r="C210" s="631">
        <f>C204+C205+C208</f>
        <v>19725.853600000002</v>
      </c>
      <c r="D210" s="631">
        <f>D204+D205+D208</f>
        <v>21324.626469999999</v>
      </c>
      <c r="E210" s="632">
        <f t="shared" si="23"/>
        <v>1598.7728699999971</v>
      </c>
    </row>
    <row r="211" spans="1:5" s="421" customFormat="1" x14ac:dyDescent="0.2">
      <c r="A211" s="588"/>
      <c r="B211" s="592" t="s">
        <v>724</v>
      </c>
      <c r="C211" s="631">
        <f>C210+C203</f>
        <v>26960.746990000003</v>
      </c>
      <c r="D211" s="631">
        <f>D210+D203</f>
        <v>28681.72999</v>
      </c>
      <c r="E211" s="632">
        <f t="shared" si="23"/>
        <v>1720.9829999999965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8747.2974147793775</v>
      </c>
      <c r="D215" s="633">
        <f>IF(D14*D137=0,0,D25/D14*D137)</f>
        <v>9404.0454173343369</v>
      </c>
      <c r="E215" s="633">
        <f t="shared" ref="E215:E223" si="24">D215-C215</f>
        <v>656.74800255495938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4369.2438622441632</v>
      </c>
      <c r="D216" s="633">
        <f>IF(D15*D138=0,0,D26/D15*D138)</f>
        <v>4715.5393509752612</v>
      </c>
      <c r="E216" s="633">
        <f t="shared" si="24"/>
        <v>346.29548873109798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8613.1452239248101</v>
      </c>
      <c r="D217" s="633">
        <f>D218+D219</f>
        <v>8816.1315998844402</v>
      </c>
      <c r="E217" s="633">
        <f t="shared" si="24"/>
        <v>202.9863759596301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8613.1452239248101</v>
      </c>
      <c r="D218" s="633">
        <f t="shared" si="25"/>
        <v>8816.1315998844402</v>
      </c>
      <c r="E218" s="633">
        <f t="shared" si="24"/>
        <v>202.9863759596301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32.604402593889589</v>
      </c>
      <c r="D220" s="633">
        <f t="shared" si="25"/>
        <v>42.39235166031574</v>
      </c>
      <c r="E220" s="633">
        <f t="shared" si="24"/>
        <v>9.787949066426151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1288.6239897043286</v>
      </c>
      <c r="D221" s="633">
        <f t="shared" si="25"/>
        <v>926.82361804450079</v>
      </c>
      <c r="E221" s="633">
        <f t="shared" si="24"/>
        <v>-361.80037165982776</v>
      </c>
    </row>
    <row r="222" spans="1:5" s="421" customFormat="1" x14ac:dyDescent="0.2">
      <c r="A222" s="588"/>
      <c r="B222" s="592" t="s">
        <v>825</v>
      </c>
      <c r="C222" s="634">
        <f>C216+C218+C219+C220</f>
        <v>13014.993488762862</v>
      </c>
      <c r="D222" s="634">
        <f>D216+D218+D219+D220</f>
        <v>13574.063302520017</v>
      </c>
      <c r="E222" s="634">
        <f t="shared" si="24"/>
        <v>559.06981375715441</v>
      </c>
    </row>
    <row r="223" spans="1:5" s="421" customFormat="1" x14ac:dyDescent="0.2">
      <c r="A223" s="588"/>
      <c r="B223" s="592" t="s">
        <v>826</v>
      </c>
      <c r="C223" s="634">
        <f>C215+C222</f>
        <v>21762.290903542242</v>
      </c>
      <c r="D223" s="634">
        <f>D215+D222</f>
        <v>22978.108719854354</v>
      </c>
      <c r="E223" s="634">
        <f t="shared" si="24"/>
        <v>1215.817816312112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14299.456733252568</v>
      </c>
      <c r="D227" s="636">
        <f t="shared" si="26"/>
        <v>12906.839184994913</v>
      </c>
      <c r="E227" s="636">
        <f t="shared" ref="E227:E235" si="27">D227-C227</f>
        <v>-1392.6175482576546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10836.05149135268</v>
      </c>
      <c r="D228" s="636">
        <f t="shared" si="26"/>
        <v>9880.1090204566572</v>
      </c>
      <c r="E228" s="636">
        <f t="shared" si="27"/>
        <v>-955.94247089602322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6045.6316191496107</v>
      </c>
      <c r="D229" s="636">
        <f t="shared" si="26"/>
        <v>6682.8827033101534</v>
      </c>
      <c r="E229" s="636">
        <f t="shared" si="27"/>
        <v>637.25108416054263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6045.6316191496107</v>
      </c>
      <c r="D230" s="636">
        <f t="shared" si="26"/>
        <v>6682.8827033101534</v>
      </c>
      <c r="E230" s="636">
        <f t="shared" si="27"/>
        <v>637.25108416054263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6675.6293238765193</v>
      </c>
      <c r="D232" s="636">
        <f t="shared" si="26"/>
        <v>5052.7912985998446</v>
      </c>
      <c r="E232" s="636">
        <f t="shared" si="27"/>
        <v>-1622.8380252766747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12839.624271957337</v>
      </c>
      <c r="D233" s="636">
        <f t="shared" si="26"/>
        <v>16350.360040349477</v>
      </c>
      <c r="E233" s="636">
        <f t="shared" si="27"/>
        <v>3510.73576839214</v>
      </c>
    </row>
    <row r="234" spans="1:5" x14ac:dyDescent="0.2">
      <c r="A234" s="588"/>
      <c r="B234" s="592" t="s">
        <v>828</v>
      </c>
      <c r="C234" s="637">
        <f t="shared" si="26"/>
        <v>9213.4776869681318</v>
      </c>
      <c r="D234" s="637">
        <f t="shared" si="26"/>
        <v>8726.4903449443627</v>
      </c>
      <c r="E234" s="637">
        <f t="shared" si="27"/>
        <v>-486.98734202376909</v>
      </c>
    </row>
    <row r="235" spans="1:5" s="421" customFormat="1" x14ac:dyDescent="0.2">
      <c r="A235" s="588"/>
      <c r="B235" s="592" t="s">
        <v>829</v>
      </c>
      <c r="C235" s="637">
        <f t="shared" si="26"/>
        <v>10578.295813012262</v>
      </c>
      <c r="D235" s="637">
        <f t="shared" si="26"/>
        <v>9798.7847698861915</v>
      </c>
      <c r="E235" s="637">
        <f t="shared" si="27"/>
        <v>-779.51104312607094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14178.750889440078</v>
      </c>
      <c r="D239" s="636">
        <f t="shared" si="28"/>
        <v>12616.02711757533</v>
      </c>
      <c r="E239" s="638">
        <f t="shared" ref="E239:E247" si="29">D239-C239</f>
        <v>-1562.7237718647484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9067.8326156989333</v>
      </c>
      <c r="D240" s="636">
        <f t="shared" si="28"/>
        <v>9281.6358304693149</v>
      </c>
      <c r="E240" s="638">
        <f t="shared" si="29"/>
        <v>213.8032147703816</v>
      </c>
    </row>
    <row r="241" spans="1:5" x14ac:dyDescent="0.2">
      <c r="A241" s="588">
        <v>3</v>
      </c>
      <c r="B241" s="587" t="s">
        <v>777</v>
      </c>
      <c r="C241" s="636">
        <f t="shared" si="28"/>
        <v>5013.9656161888252</v>
      </c>
      <c r="D241" s="636">
        <f t="shared" si="28"/>
        <v>5450.9324702718714</v>
      </c>
      <c r="E241" s="638">
        <f t="shared" si="29"/>
        <v>436.9668540830462</v>
      </c>
    </row>
    <row r="242" spans="1:5" x14ac:dyDescent="0.2">
      <c r="A242" s="588">
        <v>4</v>
      </c>
      <c r="B242" s="587" t="s">
        <v>115</v>
      </c>
      <c r="C242" s="636">
        <f t="shared" si="28"/>
        <v>5013.9656161888252</v>
      </c>
      <c r="D242" s="636">
        <f t="shared" si="28"/>
        <v>5450.9324702718714</v>
      </c>
      <c r="E242" s="638">
        <f t="shared" si="29"/>
        <v>436.9668540830462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5552.9310644057223</v>
      </c>
      <c r="D244" s="636">
        <f t="shared" si="28"/>
        <v>2775.6893729995918</v>
      </c>
      <c r="E244" s="638">
        <f t="shared" si="29"/>
        <v>-2777.2416914061305</v>
      </c>
    </row>
    <row r="245" spans="1:5" x14ac:dyDescent="0.2">
      <c r="A245" s="588">
        <v>7</v>
      </c>
      <c r="B245" s="587" t="s">
        <v>758</v>
      </c>
      <c r="C245" s="636">
        <f t="shared" si="28"/>
        <v>12737.436312796021</v>
      </c>
      <c r="D245" s="636">
        <f t="shared" si="28"/>
        <v>5410.7145117650844</v>
      </c>
      <c r="E245" s="638">
        <f t="shared" si="29"/>
        <v>-7326.7218010309361</v>
      </c>
    </row>
    <row r="246" spans="1:5" ht="25.5" x14ac:dyDescent="0.2">
      <c r="A246" s="588"/>
      <c r="B246" s="592" t="s">
        <v>831</v>
      </c>
      <c r="C246" s="637">
        <f t="shared" si="28"/>
        <v>6376.2333858753454</v>
      </c>
      <c r="D246" s="637">
        <f t="shared" si="28"/>
        <v>6773.3384581263208</v>
      </c>
      <c r="E246" s="639">
        <f t="shared" si="29"/>
        <v>397.10507225097535</v>
      </c>
    </row>
    <row r="247" spans="1:5" x14ac:dyDescent="0.2">
      <c r="A247" s="588"/>
      <c r="B247" s="592" t="s">
        <v>832</v>
      </c>
      <c r="C247" s="637">
        <f t="shared" si="28"/>
        <v>9512.4354286756025</v>
      </c>
      <c r="D247" s="637">
        <f t="shared" si="28"/>
        <v>9164.5234848264208</v>
      </c>
      <c r="E247" s="639">
        <f t="shared" si="29"/>
        <v>-347.91194384918163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34916545.185256891</v>
      </c>
      <c r="D251" s="622">
        <f>((IF((IF(D15=0,0,D26/D15)*D138)=0,0,D59/(IF(D15=0,0,D26/D15)*D138)))-(IF((IF(D17=0,0,D28/D17)*D140)=0,0,D61/(IF(D17=0,0,D28/D17)*D140))))*(IF(D17=0,0,D28/D17)*D140)</f>
        <v>33771984.94362019</v>
      </c>
      <c r="E251" s="622">
        <f>D251-C251</f>
        <v>-1144560.2416367009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-6359281.6476308154</v>
      </c>
      <c r="D253" s="622">
        <f>IF(D233=0,0,(D228-D233)*D209+IF(D221=0,0,(D240-D245)*D221))</f>
        <v>1410036.8536374276</v>
      </c>
      <c r="E253" s="622">
        <f>D253-C253</f>
        <v>7769318.5012682434</v>
      </c>
    </row>
    <row r="254" spans="1:5" ht="15" customHeight="1" x14ac:dyDescent="0.2">
      <c r="A254" s="588"/>
      <c r="B254" s="592" t="s">
        <v>759</v>
      </c>
      <c r="C254" s="640">
        <f>+C251+C252+C253</f>
        <v>28557263.537626076</v>
      </c>
      <c r="D254" s="640">
        <f>+D251+D252+D253</f>
        <v>35182021.797257617</v>
      </c>
      <c r="E254" s="640">
        <f>D254-C254</f>
        <v>6624758.2596315406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1759987340</v>
      </c>
      <c r="D258" s="625">
        <f>+D44</f>
        <v>1767446590</v>
      </c>
      <c r="E258" s="622">
        <f t="shared" ref="E258:E271" si="30">D258-C258</f>
        <v>7459250</v>
      </c>
    </row>
    <row r="259" spans="1:5" x14ac:dyDescent="0.2">
      <c r="A259" s="588">
        <v>2</v>
      </c>
      <c r="B259" s="587" t="s">
        <v>742</v>
      </c>
      <c r="C259" s="622">
        <f>+(C43-C76)</f>
        <v>947162598</v>
      </c>
      <c r="D259" s="625">
        <f>+(D43-D76)</f>
        <v>952147174</v>
      </c>
      <c r="E259" s="622">
        <f t="shared" si="30"/>
        <v>4984576</v>
      </c>
    </row>
    <row r="260" spans="1:5" x14ac:dyDescent="0.2">
      <c r="A260" s="588">
        <v>3</v>
      </c>
      <c r="B260" s="587" t="s">
        <v>746</v>
      </c>
      <c r="C260" s="622">
        <f>C195</f>
        <v>50129100</v>
      </c>
      <c r="D260" s="622">
        <f>D195</f>
        <v>53371732</v>
      </c>
      <c r="E260" s="622">
        <f t="shared" si="30"/>
        <v>3242632</v>
      </c>
    </row>
    <row r="261" spans="1:5" x14ac:dyDescent="0.2">
      <c r="A261" s="588">
        <v>4</v>
      </c>
      <c r="B261" s="587" t="s">
        <v>747</v>
      </c>
      <c r="C261" s="622">
        <f>C188</f>
        <v>194273125</v>
      </c>
      <c r="D261" s="622">
        <f>D188</f>
        <v>199393778</v>
      </c>
      <c r="E261" s="622">
        <f t="shared" si="30"/>
        <v>5120653</v>
      </c>
    </row>
    <row r="262" spans="1:5" x14ac:dyDescent="0.2">
      <c r="A262" s="588">
        <v>5</v>
      </c>
      <c r="B262" s="587" t="s">
        <v>748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749</v>
      </c>
      <c r="C263" s="622">
        <f>+C259+C260+C261+C262</f>
        <v>1191564823</v>
      </c>
      <c r="D263" s="622">
        <f>+D259+D260+D261+D262</f>
        <v>1204912684</v>
      </c>
      <c r="E263" s="622">
        <f t="shared" si="30"/>
        <v>13347861</v>
      </c>
    </row>
    <row r="264" spans="1:5" x14ac:dyDescent="0.2">
      <c r="A264" s="588">
        <v>7</v>
      </c>
      <c r="B264" s="587" t="s">
        <v>654</v>
      </c>
      <c r="C264" s="622">
        <f>+C258-C263</f>
        <v>568422517</v>
      </c>
      <c r="D264" s="622">
        <f>+D258-D263</f>
        <v>562533906</v>
      </c>
      <c r="E264" s="622">
        <f t="shared" si="30"/>
        <v>-5888611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568422517</v>
      </c>
      <c r="D266" s="622">
        <f>+D264+D265</f>
        <v>562533906</v>
      </c>
      <c r="E266" s="641">
        <f t="shared" si="30"/>
        <v>-5888611</v>
      </c>
    </row>
    <row r="267" spans="1:5" x14ac:dyDescent="0.2">
      <c r="A267" s="588">
        <v>10</v>
      </c>
      <c r="B267" s="587" t="s">
        <v>837</v>
      </c>
      <c r="C267" s="642">
        <f>IF(C258=0,0,C266/C258)</f>
        <v>0.32296966238404873</v>
      </c>
      <c r="D267" s="642">
        <f>IF(D258=0,0,D266/D258)</f>
        <v>0.31827491092672849</v>
      </c>
      <c r="E267" s="643">
        <f t="shared" si="30"/>
        <v>-4.6947514573202342E-3</v>
      </c>
    </row>
    <row r="268" spans="1:5" x14ac:dyDescent="0.2">
      <c r="A268" s="588">
        <v>11</v>
      </c>
      <c r="B268" s="587" t="s">
        <v>716</v>
      </c>
      <c r="C268" s="622">
        <f>+C260*C267</f>
        <v>16190178.502616217</v>
      </c>
      <c r="D268" s="644">
        <f>+D260*D267</f>
        <v>16986883.248305224</v>
      </c>
      <c r="E268" s="622">
        <f t="shared" si="30"/>
        <v>796704.74568900652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87796865.22508812</v>
      </c>
      <c r="D269" s="644">
        <f>((D17+D18+D28+D29)*D267)-(D50+D51+D61+D62)</f>
        <v>72350224.346976489</v>
      </c>
      <c r="E269" s="622">
        <f t="shared" si="30"/>
        <v>-15446640.878111631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840</v>
      </c>
      <c r="C271" s="622">
        <f>+C268+C269+C270</f>
        <v>103987043.72770433</v>
      </c>
      <c r="D271" s="622">
        <f>+D268+D269+D270</f>
        <v>89337107.59528172</v>
      </c>
      <c r="E271" s="625">
        <f t="shared" si="30"/>
        <v>-14649936.132422611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0.48155206964337943</v>
      </c>
      <c r="D276" s="623">
        <f t="shared" si="31"/>
        <v>0.46863920356731559</v>
      </c>
      <c r="E276" s="650">
        <f t="shared" ref="E276:E284" si="32">D276-C276</f>
        <v>-1.2912866076063845E-2</v>
      </c>
    </row>
    <row r="277" spans="1:5" x14ac:dyDescent="0.2">
      <c r="A277" s="588">
        <v>2</v>
      </c>
      <c r="B277" s="587" t="s">
        <v>635</v>
      </c>
      <c r="C277" s="623">
        <f t="shared" si="31"/>
        <v>0.32238310179770591</v>
      </c>
      <c r="D277" s="623">
        <f t="shared" si="31"/>
        <v>0.30861987258905527</v>
      </c>
      <c r="E277" s="650">
        <f t="shared" si="32"/>
        <v>-1.376322920865064E-2</v>
      </c>
    </row>
    <row r="278" spans="1:5" x14ac:dyDescent="0.2">
      <c r="A278" s="588">
        <v>3</v>
      </c>
      <c r="B278" s="587" t="s">
        <v>777</v>
      </c>
      <c r="C278" s="623">
        <f t="shared" si="31"/>
        <v>0.18095030436446433</v>
      </c>
      <c r="D278" s="623">
        <f t="shared" si="31"/>
        <v>0.21832763283919021</v>
      </c>
      <c r="E278" s="650">
        <f t="shared" si="32"/>
        <v>3.7377328474725885E-2</v>
      </c>
    </row>
    <row r="279" spans="1:5" x14ac:dyDescent="0.2">
      <c r="A279" s="588">
        <v>4</v>
      </c>
      <c r="B279" s="587" t="s">
        <v>115</v>
      </c>
      <c r="C279" s="623">
        <f t="shared" si="31"/>
        <v>0.18095030436446433</v>
      </c>
      <c r="D279" s="623">
        <f t="shared" si="31"/>
        <v>0.21832763283919021</v>
      </c>
      <c r="E279" s="650">
        <f t="shared" si="32"/>
        <v>3.7377328474725885E-2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0.2238631018961908</v>
      </c>
      <c r="D281" s="623">
        <f t="shared" si="31"/>
        <v>0.18456525365690907</v>
      </c>
      <c r="E281" s="650">
        <f t="shared" si="32"/>
        <v>-3.929784823928173E-2</v>
      </c>
    </row>
    <row r="282" spans="1:5" x14ac:dyDescent="0.2">
      <c r="A282" s="588">
        <v>7</v>
      </c>
      <c r="B282" s="587" t="s">
        <v>758</v>
      </c>
      <c r="C282" s="623">
        <f t="shared" si="31"/>
        <v>0.51709506160809893</v>
      </c>
      <c r="D282" s="623">
        <f t="shared" si="31"/>
        <v>0.50370473906548874</v>
      </c>
      <c r="E282" s="650">
        <f t="shared" si="32"/>
        <v>-1.3390322542610189E-2</v>
      </c>
    </row>
    <row r="283" spans="1:5" ht="29.25" customHeight="1" x14ac:dyDescent="0.2">
      <c r="A283" s="588"/>
      <c r="B283" s="592" t="s">
        <v>844</v>
      </c>
      <c r="C283" s="651">
        <f t="shared" si="31"/>
        <v>0.27468941097303956</v>
      </c>
      <c r="D283" s="651">
        <f t="shared" si="31"/>
        <v>0.27700351169540566</v>
      </c>
      <c r="E283" s="652">
        <f t="shared" si="32"/>
        <v>2.314100722366097E-3</v>
      </c>
    </row>
    <row r="284" spans="1:5" x14ac:dyDescent="0.2">
      <c r="A284" s="588"/>
      <c r="B284" s="592" t="s">
        <v>845</v>
      </c>
      <c r="C284" s="651">
        <f t="shared" si="31"/>
        <v>0.32539471469375458</v>
      </c>
      <c r="D284" s="651">
        <f t="shared" si="31"/>
        <v>0.32140999307352708</v>
      </c>
      <c r="E284" s="652">
        <f t="shared" si="32"/>
        <v>-3.9847216202275049E-3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0.37216167415416512</v>
      </c>
      <c r="D287" s="623">
        <f t="shared" si="33"/>
        <v>0.35452913172499811</v>
      </c>
      <c r="E287" s="650">
        <f t="shared" ref="E287:E295" si="34">D287-C287</f>
        <v>-1.7632542429167009E-2</v>
      </c>
    </row>
    <row r="288" spans="1:5" x14ac:dyDescent="0.2">
      <c r="A288" s="588">
        <v>2</v>
      </c>
      <c r="B288" s="587" t="s">
        <v>635</v>
      </c>
      <c r="C288" s="623">
        <f t="shared" si="33"/>
        <v>0.16381883984311724</v>
      </c>
      <c r="D288" s="623">
        <f t="shared" si="33"/>
        <v>0.17335282999137519</v>
      </c>
      <c r="E288" s="650">
        <f t="shared" si="34"/>
        <v>9.5339901482579537E-3</v>
      </c>
    </row>
    <row r="289" spans="1:5" x14ac:dyDescent="0.2">
      <c r="A289" s="588">
        <v>3</v>
      </c>
      <c r="B289" s="587" t="s">
        <v>777</v>
      </c>
      <c r="C289" s="623">
        <f t="shared" si="33"/>
        <v>0.14040882885201586</v>
      </c>
      <c r="D289" s="623">
        <f t="shared" si="33"/>
        <v>0.15764751919544778</v>
      </c>
      <c r="E289" s="650">
        <f t="shared" si="34"/>
        <v>1.7238690343431923E-2</v>
      </c>
    </row>
    <row r="290" spans="1:5" x14ac:dyDescent="0.2">
      <c r="A290" s="588">
        <v>4</v>
      </c>
      <c r="B290" s="587" t="s">
        <v>115</v>
      </c>
      <c r="C290" s="623">
        <f t="shared" si="33"/>
        <v>0.14040882885201586</v>
      </c>
      <c r="D290" s="623">
        <f t="shared" si="33"/>
        <v>0.15764751919544778</v>
      </c>
      <c r="E290" s="650">
        <f t="shared" si="34"/>
        <v>1.7238690343431923E-2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0.21651544668195011</v>
      </c>
      <c r="D292" s="623">
        <f t="shared" si="33"/>
        <v>0.10966865838848548</v>
      </c>
      <c r="E292" s="650">
        <f t="shared" si="34"/>
        <v>-0.10684678829346463</v>
      </c>
    </row>
    <row r="293" spans="1:5" x14ac:dyDescent="0.2">
      <c r="A293" s="588">
        <v>7</v>
      </c>
      <c r="B293" s="587" t="s">
        <v>758</v>
      </c>
      <c r="C293" s="623">
        <f t="shared" si="33"/>
        <v>0.49481495031702494</v>
      </c>
      <c r="D293" s="623">
        <f t="shared" si="33"/>
        <v>0.12926530929247865</v>
      </c>
      <c r="E293" s="650">
        <f t="shared" si="34"/>
        <v>-0.36554964102454629</v>
      </c>
    </row>
    <row r="294" spans="1:5" ht="29.25" customHeight="1" x14ac:dyDescent="0.2">
      <c r="A294" s="588"/>
      <c r="B294" s="592" t="s">
        <v>847</v>
      </c>
      <c r="C294" s="651">
        <f t="shared" si="33"/>
        <v>0.1508136465266271</v>
      </c>
      <c r="D294" s="651">
        <f t="shared" si="33"/>
        <v>0.16465663088824364</v>
      </c>
      <c r="E294" s="652">
        <f t="shared" si="34"/>
        <v>1.3842984361616545E-2</v>
      </c>
    </row>
    <row r="295" spans="1:5" x14ac:dyDescent="0.2">
      <c r="A295" s="588"/>
      <c r="B295" s="592" t="s">
        <v>848</v>
      </c>
      <c r="C295" s="651">
        <f t="shared" si="33"/>
        <v>0.23430487965314975</v>
      </c>
      <c r="D295" s="651">
        <f t="shared" si="33"/>
        <v>0.23580766692101263</v>
      </c>
      <c r="E295" s="652">
        <f t="shared" si="34"/>
        <v>1.5027872678628762E-3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492211144</v>
      </c>
      <c r="D301" s="590">
        <f>+D48+D47+D50+D51+D52+D59+D58+D61+D62+D63</f>
        <v>491629516</v>
      </c>
      <c r="E301" s="590">
        <f>D301-C301</f>
        <v>-581628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492211144</v>
      </c>
      <c r="D303" s="593">
        <f>+D301+D302</f>
        <v>491629516</v>
      </c>
      <c r="E303" s="593">
        <f>D303-C303</f>
        <v>-581628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-26136895</v>
      </c>
      <c r="D305" s="654">
        <v>-18891199</v>
      </c>
      <c r="E305" s="655">
        <f>D305-C305</f>
        <v>7245696</v>
      </c>
    </row>
    <row r="306" spans="1:5" x14ac:dyDescent="0.2">
      <c r="A306" s="588">
        <v>4</v>
      </c>
      <c r="B306" s="592" t="s">
        <v>855</v>
      </c>
      <c r="C306" s="593">
        <f>+C303+C305+C194+C190-C191</f>
        <v>502475004</v>
      </c>
      <c r="D306" s="593">
        <f>+D303+D305</f>
        <v>472738317</v>
      </c>
      <c r="E306" s="656">
        <f>D306-C306</f>
        <v>-29736687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466074249</v>
      </c>
      <c r="D308" s="589">
        <v>472738316</v>
      </c>
      <c r="E308" s="590">
        <f>D308-C308</f>
        <v>6664067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36400755</v>
      </c>
      <c r="D310" s="658">
        <f>D306-D308</f>
        <v>1</v>
      </c>
      <c r="E310" s="656">
        <f>D310-C310</f>
        <v>-36400754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1759987340</v>
      </c>
      <c r="D314" s="590">
        <f>+D14+D15+D16+D19+D25+D26+D27+D30</f>
        <v>1767446590</v>
      </c>
      <c r="E314" s="590">
        <f>D314-C314</f>
        <v>7459250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1759987340</v>
      </c>
      <c r="D316" s="657">
        <f>D314+D315</f>
        <v>1767446590</v>
      </c>
      <c r="E316" s="593">
        <f>D316-C316</f>
        <v>7459250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1759987341</v>
      </c>
      <c r="D318" s="589">
        <v>1767446590</v>
      </c>
      <c r="E318" s="590">
        <f>D318-C318</f>
        <v>7459249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-1</v>
      </c>
      <c r="D320" s="657">
        <f>D316-D318</f>
        <v>0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50129100</v>
      </c>
      <c r="D324" s="589">
        <f>+D193+D194</f>
        <v>53371732</v>
      </c>
      <c r="E324" s="590">
        <f>D324-C324</f>
        <v>3242632</v>
      </c>
    </row>
    <row r="325" spans="1:5" x14ac:dyDescent="0.2">
      <c r="A325" s="588">
        <v>2</v>
      </c>
      <c r="B325" s="587" t="s">
        <v>865</v>
      </c>
      <c r="C325" s="589">
        <v>750000</v>
      </c>
      <c r="D325" s="589">
        <v>522500</v>
      </c>
      <c r="E325" s="590">
        <f>D325-C325</f>
        <v>-227500</v>
      </c>
    </row>
    <row r="326" spans="1:5" x14ac:dyDescent="0.2">
      <c r="A326" s="588"/>
      <c r="B326" s="592" t="s">
        <v>866</v>
      </c>
      <c r="C326" s="657">
        <f>C324+C325</f>
        <v>50879100</v>
      </c>
      <c r="D326" s="657">
        <f>D324+D325</f>
        <v>53894232</v>
      </c>
      <c r="E326" s="593">
        <f>D326-C326</f>
        <v>3015132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50879100</v>
      </c>
      <c r="D328" s="589">
        <v>53894232</v>
      </c>
      <c r="E328" s="590">
        <f>D328-C328</f>
        <v>3015132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fitToHeight="0" orientation="portrait" horizontalDpi="1200" verticalDpi="1200" r:id="rId1"/>
  <headerFooter>
    <oddHeader>_x000D_
                &amp;LOFFICE OF HEALTH CARE ACCESS&amp;CTWELVE MONTHS ACTUAL FILING&amp;RBRIDGEPORT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202622724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436901713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233980593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233980593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911152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10924791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671793458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874416182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334645820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252478826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304832821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304832821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1072941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38794461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558384588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893030408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537268544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1230178046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1767446590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94956952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134836551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51084429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51084429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168167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5502869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186089147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281046099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118641692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43767919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48056138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48056138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117668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5014778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91941725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210583417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213598644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278030872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491629516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5694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8160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6767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6767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261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14963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20657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1.2920799999999999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1.6724600000000001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1.12961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1.12961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0.92449999999999999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1.2895000000000001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1.425157152309029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1.3884750927046521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476784876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277391098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199393778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0.41820491386559838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16129090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37242642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53371732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6473222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470194000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491629516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491629516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-18891199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472738317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472738316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1767446590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1767446590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1767446590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53371732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522500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53894232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53894232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FILING&amp;RBRIDGEPORT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2985</v>
      </c>
      <c r="D12" s="185">
        <v>2292</v>
      </c>
      <c r="E12" s="185">
        <f>+D12-C12</f>
        <v>-693</v>
      </c>
      <c r="F12" s="77">
        <f>IF(C12=0,0,+E12/C12)</f>
        <v>-0.2321608040201005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1970</v>
      </c>
      <c r="D13" s="185">
        <v>1918</v>
      </c>
      <c r="E13" s="185">
        <f>+D13-C13</f>
        <v>-52</v>
      </c>
      <c r="F13" s="77">
        <f>IF(C13=0,0,+E13/C13)</f>
        <v>-2.6395939086294416E-2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13728345</v>
      </c>
      <c r="D15" s="76">
        <v>16129090</v>
      </c>
      <c r="E15" s="76">
        <f>+D15-C15</f>
        <v>2400745</v>
      </c>
      <c r="F15" s="77">
        <f>IF(C15=0,0,+E15/C15)</f>
        <v>0.17487504866755607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6968.703045685279</v>
      </c>
      <c r="D16" s="79">
        <f>IF(D13=0,0,+D15/+D13)</f>
        <v>8409.3274244004169</v>
      </c>
      <c r="E16" s="79">
        <f>+D16-C16</f>
        <v>1440.6243787151379</v>
      </c>
      <c r="F16" s="80">
        <f>IF(C16=0,0,+E16/C16)</f>
        <v>0.20672776114446584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0.25112899999999999</v>
      </c>
      <c r="D18" s="704">
        <v>0.25105</v>
      </c>
      <c r="E18" s="704">
        <f>+D18-C18</f>
        <v>-7.899999999999574E-5</v>
      </c>
      <c r="F18" s="77">
        <f>IF(C18=0,0,+E18/C18)</f>
        <v>-3.1457935961197529E-4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3447585.5515049999</v>
      </c>
      <c r="D19" s="79">
        <f>+D15*D18</f>
        <v>4049208.0444999998</v>
      </c>
      <c r="E19" s="79">
        <f>+D19-C19</f>
        <v>601622.49299499998</v>
      </c>
      <c r="F19" s="80">
        <f>IF(C19=0,0,+E19/C19)</f>
        <v>0.17450545722712213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1750.0434271598983</v>
      </c>
      <c r="D20" s="79">
        <f>IF(D13=0,0,+D19/D13)</f>
        <v>2111.1616498957246</v>
      </c>
      <c r="E20" s="79">
        <f>+D20-C20</f>
        <v>361.11822273582629</v>
      </c>
      <c r="F20" s="80">
        <f>IF(C20=0,0,+E20/C20)</f>
        <v>0.20634814949813904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3832447</v>
      </c>
      <c r="D22" s="76">
        <v>4524684</v>
      </c>
      <c r="E22" s="76">
        <f>+D22-C22</f>
        <v>692237</v>
      </c>
      <c r="F22" s="77">
        <f>IF(C22=0,0,+E22/C22)</f>
        <v>0.18062532893475108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5464756</v>
      </c>
      <c r="D23" s="185">
        <v>5356086</v>
      </c>
      <c r="E23" s="185">
        <f>+D23-C23</f>
        <v>-108670</v>
      </c>
      <c r="F23" s="77">
        <f>IF(C23=0,0,+E23/C23)</f>
        <v>-1.9885608799368168E-2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4431142</v>
      </c>
      <c r="D24" s="185">
        <v>6248320</v>
      </c>
      <c r="E24" s="185">
        <f>+D24-C24</f>
        <v>1817178</v>
      </c>
      <c r="F24" s="77">
        <f>IF(C24=0,0,+E24/C24)</f>
        <v>0.41009247728915027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13728345</v>
      </c>
      <c r="D25" s="79">
        <f>+D22+D23+D24</f>
        <v>16129090</v>
      </c>
      <c r="E25" s="79">
        <f>+E22+E23+E24</f>
        <v>2400745</v>
      </c>
      <c r="F25" s="80">
        <f>IF(C25=0,0,+E25/C25)</f>
        <v>0.17487504866755607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2652</v>
      </c>
      <c r="D27" s="185">
        <v>4741</v>
      </c>
      <c r="E27" s="185">
        <f>+D27-C27</f>
        <v>2089</v>
      </c>
      <c r="F27" s="77">
        <f>IF(C27=0,0,+E27/C27)</f>
        <v>0.7877073906485671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643</v>
      </c>
      <c r="D28" s="185">
        <v>953</v>
      </c>
      <c r="E28" s="185">
        <f>+D28-C28</f>
        <v>310</v>
      </c>
      <c r="F28" s="77">
        <f>IF(C28=0,0,+E28/C28)</f>
        <v>0.48211508553654742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9508</v>
      </c>
      <c r="D29" s="185">
        <v>8908</v>
      </c>
      <c r="E29" s="185">
        <f>+D29-C29</f>
        <v>-600</v>
      </c>
      <c r="F29" s="77">
        <f>IF(C29=0,0,+E29/C29)</f>
        <v>-6.3104753891459822E-2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8213</v>
      </c>
      <c r="D30" s="185">
        <v>9392</v>
      </c>
      <c r="E30" s="185">
        <f>+D30-C30</f>
        <v>1179</v>
      </c>
      <c r="F30" s="77">
        <f>IF(C30=0,0,+E30/C30)</f>
        <v>0.14355290393278947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10161748</v>
      </c>
      <c r="D33" s="76">
        <v>10447656</v>
      </c>
      <c r="E33" s="76">
        <f>+D33-C33</f>
        <v>285908</v>
      </c>
      <c r="F33" s="77">
        <f>IF(C33=0,0,+E33/C33)</f>
        <v>2.8135710509648536E-2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14489819</v>
      </c>
      <c r="D34" s="185">
        <v>12367393</v>
      </c>
      <c r="E34" s="185">
        <f>+D34-C34</f>
        <v>-2122426</v>
      </c>
      <c r="F34" s="77">
        <f>IF(C34=0,0,+E34/C34)</f>
        <v>-0.14647705399218583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11749188</v>
      </c>
      <c r="D35" s="185">
        <v>14427593</v>
      </c>
      <c r="E35" s="185">
        <f>+D35-C35</f>
        <v>2678405</v>
      </c>
      <c r="F35" s="77">
        <f>IF(C35=0,0,+E35/C35)</f>
        <v>0.22796511554670842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36400755</v>
      </c>
      <c r="D36" s="79">
        <f>+D33+D34+D35</f>
        <v>37242642</v>
      </c>
      <c r="E36" s="79">
        <f>+E33+E34+E35</f>
        <v>841887</v>
      </c>
      <c r="F36" s="80">
        <f>IF(C36=0,0,+E36/C36)</f>
        <v>2.3128284014988152E-2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13728345</v>
      </c>
      <c r="D39" s="76">
        <f>+D25</f>
        <v>16129090</v>
      </c>
      <c r="E39" s="76">
        <f>+D39-C39</f>
        <v>2400745</v>
      </c>
      <c r="F39" s="77">
        <f>IF(C39=0,0,+E39/C39)</f>
        <v>0.17487504866755607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36400755</v>
      </c>
      <c r="D40" s="185">
        <f>+D36</f>
        <v>37242642</v>
      </c>
      <c r="E40" s="185">
        <f>+D40-C40</f>
        <v>841887</v>
      </c>
      <c r="F40" s="77">
        <f>IF(C40=0,0,+E40/C40)</f>
        <v>2.3128284014988152E-2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50129100</v>
      </c>
      <c r="D41" s="79">
        <f>+D39+D40</f>
        <v>53371732</v>
      </c>
      <c r="E41" s="79">
        <f>+E39+E40</f>
        <v>3242632</v>
      </c>
      <c r="F41" s="80">
        <f>IF(C41=0,0,+E41/C41)</f>
        <v>6.4685621724706807E-2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13994195</v>
      </c>
      <c r="D43" s="76">
        <f t="shared" si="0"/>
        <v>14972340</v>
      </c>
      <c r="E43" s="76">
        <f>+D43-C43</f>
        <v>978145</v>
      </c>
      <c r="F43" s="77">
        <f>IF(C43=0,0,+E43/C43)</f>
        <v>6.9896482077032654E-2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19954575</v>
      </c>
      <c r="D44" s="185">
        <f t="shared" si="0"/>
        <v>17723479</v>
      </c>
      <c r="E44" s="185">
        <f>+D44-C44</f>
        <v>-2231096</v>
      </c>
      <c r="F44" s="77">
        <f>IF(C44=0,0,+E44/C44)</f>
        <v>-0.11180874561347461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16180330</v>
      </c>
      <c r="D45" s="185">
        <f t="shared" si="0"/>
        <v>20675913</v>
      </c>
      <c r="E45" s="185">
        <f>+D45-C45</f>
        <v>4495583</v>
      </c>
      <c r="F45" s="77">
        <f>IF(C45=0,0,+E45/C45)</f>
        <v>0.27784247910889331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50129100</v>
      </c>
      <c r="D46" s="79">
        <f>+D43+D44+D45</f>
        <v>53371732</v>
      </c>
      <c r="E46" s="79">
        <f>+E43+E44+E45</f>
        <v>3242632</v>
      </c>
      <c r="F46" s="80">
        <f>IF(C46=0,0,+E46/C46)</f>
        <v>6.4685621724706807E-2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FILING&amp;RBRIDGEPORT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481291196</v>
      </c>
      <c r="D15" s="76">
        <v>476784876</v>
      </c>
      <c r="E15" s="76">
        <f>+D15-C15</f>
        <v>-4506320</v>
      </c>
      <c r="F15" s="77">
        <f>IF(C15=0,0,E15/C15)</f>
        <v>-9.3629803276102305E-3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194273125</v>
      </c>
      <c r="D17" s="76">
        <v>199393778</v>
      </c>
      <c r="E17" s="76">
        <f>+D17-C17</f>
        <v>5120653</v>
      </c>
      <c r="F17" s="77">
        <f>IF(C17=0,0,E17/C17)</f>
        <v>2.6358010146797197E-2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287018071</v>
      </c>
      <c r="D19" s="79">
        <f>+D15-D17</f>
        <v>277391098</v>
      </c>
      <c r="E19" s="79">
        <f>+D19-C19</f>
        <v>-9626973</v>
      </c>
      <c r="F19" s="80">
        <f>IF(C19=0,0,E19/C19)</f>
        <v>-3.3541347994078048E-2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0.40364986231744826</v>
      </c>
      <c r="D21" s="720">
        <f>IF(D15=0,0,D17/D15)</f>
        <v>0.41820491386559838</v>
      </c>
      <c r="E21" s="720">
        <f>+D21-C21</f>
        <v>1.4555051548150122E-2</v>
      </c>
      <c r="F21" s="80">
        <f>IF(C21=0,0,E21/C21)</f>
        <v>3.6058606497686302E-2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FILING&amp;R&amp;12BRIDGEPORT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opLeftCell="A88" zoomScale="75" workbookViewId="0">
      <selection activeCell="G124" sqref="G124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830654694</v>
      </c>
      <c r="D10" s="744">
        <v>876470158</v>
      </c>
      <c r="E10" s="744">
        <v>874416182</v>
      </c>
    </row>
    <row r="11" spans="1:6" ht="26.1" customHeight="1" x14ac:dyDescent="0.25">
      <c r="A11" s="742">
        <v>2</v>
      </c>
      <c r="B11" s="743" t="s">
        <v>932</v>
      </c>
      <c r="C11" s="744">
        <v>862425043</v>
      </c>
      <c r="D11" s="744">
        <v>883517182</v>
      </c>
      <c r="E11" s="744">
        <v>893030408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1693079737</v>
      </c>
      <c r="D12" s="744">
        <f>+D11+D10</f>
        <v>1759987340</v>
      </c>
      <c r="E12" s="744">
        <f>+E11+E10</f>
        <v>1767446590</v>
      </c>
    </row>
    <row r="13" spans="1:6" ht="26.1" customHeight="1" x14ac:dyDescent="0.25">
      <c r="A13" s="742">
        <v>4</v>
      </c>
      <c r="B13" s="743" t="s">
        <v>507</v>
      </c>
      <c r="C13" s="744">
        <v>439375000</v>
      </c>
      <c r="D13" s="744">
        <v>466074000</v>
      </c>
      <c r="E13" s="744">
        <v>472739000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426496000</v>
      </c>
      <c r="D16" s="744">
        <v>443456000</v>
      </c>
      <c r="E16" s="744">
        <v>470194000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101235</v>
      </c>
      <c r="D19" s="747">
        <v>109472</v>
      </c>
      <c r="E19" s="747">
        <v>105942</v>
      </c>
    </row>
    <row r="20" spans="1:5" ht="26.1" customHeight="1" x14ac:dyDescent="0.25">
      <c r="A20" s="742">
        <v>2</v>
      </c>
      <c r="B20" s="743" t="s">
        <v>381</v>
      </c>
      <c r="C20" s="748">
        <v>18207</v>
      </c>
      <c r="D20" s="748">
        <v>19815</v>
      </c>
      <c r="E20" s="748">
        <v>20657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5.5602240896358541</v>
      </c>
      <c r="D21" s="749">
        <f>IF(D20=0,0,+D19/D20)</f>
        <v>5.5247035074438555</v>
      </c>
      <c r="E21" s="749">
        <f>IF(E20=0,0,+E19/E20)</f>
        <v>5.1286246792854726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206341.97147532762</v>
      </c>
      <c r="D22" s="748">
        <f>IF(D10=0,0,D19*(D12/D10))</f>
        <v>219824.18035102118</v>
      </c>
      <c r="E22" s="748">
        <f>IF(E10=0,0,E19*(E12/E10))</f>
        <v>214139.25141401374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37110.369680953132</v>
      </c>
      <c r="D23" s="748">
        <f>IF(D10=0,0,D20*(D12/D10))</f>
        <v>39789.317210386987</v>
      </c>
      <c r="E23" s="748">
        <f>IF(E10=0,0,E20*(E12/E10))</f>
        <v>41753.738049680782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1.3295131323117482</v>
      </c>
      <c r="D26" s="750">
        <v>1.3606231132980064</v>
      </c>
      <c r="E26" s="750">
        <v>1.3884750927046521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134593.26194957981</v>
      </c>
      <c r="D27" s="748">
        <f>D19*D26</f>
        <v>148950.13345895938</v>
      </c>
      <c r="E27" s="748">
        <f>E19*E26</f>
        <v>147097.82827131625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24206.445599999999</v>
      </c>
      <c r="D28" s="748">
        <f>D20*D26</f>
        <v>26960.746989999996</v>
      </c>
      <c r="E28" s="748">
        <f>E20*E26</f>
        <v>28681.72999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274334.36082354421</v>
      </c>
      <c r="D29" s="748">
        <f>D22*D26</f>
        <v>299097.86064738891</v>
      </c>
      <c r="E29" s="748">
        <f>E22*E26</f>
        <v>297327.0169587775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49338.723835770928</v>
      </c>
      <c r="D30" s="748">
        <f>D23*D26</f>
        <v>54138.264658798689</v>
      </c>
      <c r="E30" s="748">
        <f>E23*E26</f>
        <v>57974.025309296281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16724.252847335407</v>
      </c>
      <c r="D33" s="744">
        <f>IF(D19=0,0,D12/D19)</f>
        <v>16077.054771996492</v>
      </c>
      <c r="E33" s="744">
        <f>IF(E19=0,0,E12/E19)</f>
        <v>16683.152951615033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92990.593562915368</v>
      </c>
      <c r="D34" s="744">
        <f>IF(D20=0,0,D12/D20)</f>
        <v>88820.960888215996</v>
      </c>
      <c r="E34" s="744">
        <f>IF(E20=0,0,E12/E20)</f>
        <v>85561.629955947137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8205.2125648244182</v>
      </c>
      <c r="D35" s="744">
        <f>IF(D22=0,0,D12/D22)</f>
        <v>8006.3409638994435</v>
      </c>
      <c r="E35" s="744">
        <f>IF(E22=0,0,E12/E22)</f>
        <v>8253.725453550056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45622.820563519526</v>
      </c>
      <c r="D36" s="744">
        <f>IF(D23=0,0,D12/D23)</f>
        <v>44232.66000504668</v>
      </c>
      <c r="E36" s="744">
        <f>IF(E23=0,0,E12/E23)</f>
        <v>42330.260057123502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6171.5919650656269</v>
      </c>
      <c r="D37" s="744">
        <f>IF(D29=0,0,D12/D29)</f>
        <v>5884.3193869409724</v>
      </c>
      <c r="E37" s="744">
        <f>IF(E29=0,0,E12/E29)</f>
        <v>5944.4533768858455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34315.434315560975</v>
      </c>
      <c r="D38" s="744">
        <f>IF(D30=0,0,D12/D30)</f>
        <v>32509.119955952676</v>
      </c>
      <c r="E38" s="744">
        <f>IF(E30=0,0,E12/E30)</f>
        <v>30486.870293558615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4025.6215837276791</v>
      </c>
      <c r="D39" s="744">
        <f>IF(D22=0,0,D10/D22)</f>
        <v>3987.1417084345717</v>
      </c>
      <c r="E39" s="744">
        <f>IF(E22=0,0,E10/E22)</f>
        <v>4083.3998261692641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22383.358105600681</v>
      </c>
      <c r="D40" s="744">
        <f>IF(D23=0,0,D10/D23)</f>
        <v>22027.775781264168</v>
      </c>
      <c r="E40" s="744">
        <f>IF(E23=0,0,E10/E23)</f>
        <v>20942.225123881697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4340.1491578999357</v>
      </c>
      <c r="D43" s="744">
        <f>IF(D19=0,0,D13/D19)</f>
        <v>4257.4722303420049</v>
      </c>
      <c r="E43" s="744">
        <f>IF(E19=0,0,E13/E19)</f>
        <v>4462.2434917218852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24132.201900367989</v>
      </c>
      <c r="D44" s="744">
        <f>IF(D20=0,0,D13/D20)</f>
        <v>23521.27176381529</v>
      </c>
      <c r="E44" s="744">
        <f>IF(E20=0,0,E13/E20)</f>
        <v>22885.17209662584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2129.3535040811425</v>
      </c>
      <c r="D45" s="744">
        <f>IF(D22=0,0,D13/D22)</f>
        <v>2120.2126138069093</v>
      </c>
      <c r="E45" s="744">
        <f>IF(E22=0,0,E13/E22)</f>
        <v>2207.6242299269707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11839.682648742486</v>
      </c>
      <c r="D46" s="744">
        <f>IF(D23=0,0,D13/D23)</f>
        <v>11713.546064025737</v>
      </c>
      <c r="E46" s="744">
        <f>IF(E23=0,0,E13/E23)</f>
        <v>11322.076108192048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1601.6039648879869</v>
      </c>
      <c r="D47" s="744">
        <f>IF(D29=0,0,D13/D29)</f>
        <v>1558.2659099974701</v>
      </c>
      <c r="E47" s="744">
        <f>IF(E29=0,0,E13/E29)</f>
        <v>1589.963148439828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8905.2769476264803</v>
      </c>
      <c r="D48" s="744">
        <f>IF(D30=0,0,D13/D30)</f>
        <v>8608.9571384932169</v>
      </c>
      <c r="E48" s="744">
        <f>IF(E30=0,0,E13/E30)</f>
        <v>8154.324242242933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4212.9303106633079</v>
      </c>
      <c r="D51" s="744">
        <f>IF(D19=0,0,D16/D19)</f>
        <v>4050.862320958784</v>
      </c>
      <c r="E51" s="744">
        <f>IF(E19=0,0,E16/E19)</f>
        <v>4438.2209133299357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23424.83660130719</v>
      </c>
      <c r="D52" s="744">
        <f>IF(D20=0,0,D16/D20)</f>
        <v>22379.81327277315</v>
      </c>
      <c r="E52" s="744">
        <f>IF(E20=0,0,E16/E20)</f>
        <v>22761.969308224816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2066.9377003165655</v>
      </c>
      <c r="D53" s="744">
        <f>IF(D22=0,0,D16/D22)</f>
        <v>2017.3212941901002</v>
      </c>
      <c r="E53" s="744">
        <f>IF(E22=0,0,E16/E22)</f>
        <v>2195.7394400848711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11492.636793076699</v>
      </c>
      <c r="D54" s="744">
        <f>IF(D23=0,0,D16/D23)</f>
        <v>11145.102029653224</v>
      </c>
      <c r="E54" s="744">
        <f>IF(E23=0,0,E16/E23)</f>
        <v>11261.123481699737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1554.6576036617168</v>
      </c>
      <c r="D55" s="744">
        <f>IF(D29=0,0,D16/D29)</f>
        <v>1482.6451751950081</v>
      </c>
      <c r="E55" s="744">
        <f>IF(E29=0,0,E16/E29)</f>
        <v>1581.4035495643823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8644.2446590154268</v>
      </c>
      <c r="D56" s="744">
        <f>IF(D30=0,0,D16/D30)</f>
        <v>8191.1749996945719</v>
      </c>
      <c r="E56" s="744">
        <f>IF(E30=0,0,E16/E30)</f>
        <v>8110.4252722055371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53745825</v>
      </c>
      <c r="D59" s="752">
        <v>58048061</v>
      </c>
      <c r="E59" s="752">
        <v>59163449</v>
      </c>
    </row>
    <row r="60" spans="1:6" ht="26.1" customHeight="1" x14ac:dyDescent="0.25">
      <c r="A60" s="742">
        <v>2</v>
      </c>
      <c r="B60" s="743" t="s">
        <v>968</v>
      </c>
      <c r="C60" s="752">
        <v>13784956</v>
      </c>
      <c r="D60" s="752">
        <v>15773784</v>
      </c>
      <c r="E60" s="752">
        <v>14121639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67530781</v>
      </c>
      <c r="D61" s="755">
        <f>D59+D60</f>
        <v>73821845</v>
      </c>
      <c r="E61" s="755">
        <f>E59+E60</f>
        <v>73285088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13355748</v>
      </c>
      <c r="D64" s="744">
        <v>14415875</v>
      </c>
      <c r="E64" s="752">
        <v>15535039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2616814</v>
      </c>
      <c r="D65" s="752">
        <v>2895000</v>
      </c>
      <c r="E65" s="752">
        <v>2621112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15972562</v>
      </c>
      <c r="D66" s="757">
        <f>D64+D65</f>
        <v>17310875</v>
      </c>
      <c r="E66" s="757">
        <f>E64+E65</f>
        <v>18156151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86349427</v>
      </c>
      <c r="D69" s="752">
        <v>84157064</v>
      </c>
      <c r="E69" s="752">
        <v>83955512</v>
      </c>
    </row>
    <row r="70" spans="1:6" ht="26.1" customHeight="1" x14ac:dyDescent="0.25">
      <c r="A70" s="742">
        <v>2</v>
      </c>
      <c r="B70" s="743" t="s">
        <v>976</v>
      </c>
      <c r="C70" s="752">
        <v>31703230</v>
      </c>
      <c r="D70" s="752">
        <v>31916216</v>
      </c>
      <c r="E70" s="752">
        <v>28558249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118052657</v>
      </c>
      <c r="D71" s="755">
        <f>D69+D70</f>
        <v>116073280</v>
      </c>
      <c r="E71" s="755">
        <f>E69+E70</f>
        <v>112513761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153451000</v>
      </c>
      <c r="D75" s="744">
        <f t="shared" si="0"/>
        <v>156621000</v>
      </c>
      <c r="E75" s="744">
        <f t="shared" si="0"/>
        <v>158654000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48105000</v>
      </c>
      <c r="D76" s="744">
        <f t="shared" si="0"/>
        <v>50585000</v>
      </c>
      <c r="E76" s="744">
        <f t="shared" si="0"/>
        <v>45301000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201556000</v>
      </c>
      <c r="D77" s="757">
        <f>D75+D76</f>
        <v>207206000</v>
      </c>
      <c r="E77" s="757">
        <f>E75+E76</f>
        <v>203955000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616.4</v>
      </c>
      <c r="D80" s="749">
        <v>666.6</v>
      </c>
      <c r="E80" s="749">
        <v>677.8</v>
      </c>
    </row>
    <row r="81" spans="1:5" ht="26.1" customHeight="1" x14ac:dyDescent="0.25">
      <c r="A81" s="742">
        <v>2</v>
      </c>
      <c r="B81" s="743" t="s">
        <v>617</v>
      </c>
      <c r="C81" s="749">
        <v>117</v>
      </c>
      <c r="D81" s="749">
        <v>122.4</v>
      </c>
      <c r="E81" s="749">
        <v>125.8</v>
      </c>
    </row>
    <row r="82" spans="1:5" ht="26.1" customHeight="1" x14ac:dyDescent="0.25">
      <c r="A82" s="742">
        <v>3</v>
      </c>
      <c r="B82" s="743" t="s">
        <v>982</v>
      </c>
      <c r="C82" s="749">
        <v>1417.6</v>
      </c>
      <c r="D82" s="749">
        <v>1348.9</v>
      </c>
      <c r="E82" s="749">
        <v>1355.9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2151</v>
      </c>
      <c r="D83" s="759">
        <f>D80+D81+D82</f>
        <v>2137.9</v>
      </c>
      <c r="E83" s="759">
        <f>E80+E81+E82</f>
        <v>2159.5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87193.09701492537</v>
      </c>
      <c r="D86" s="752">
        <f>IF(D80=0,0,D59/D80)</f>
        <v>87080.799579957995</v>
      </c>
      <c r="E86" s="752">
        <f>IF(E80=0,0,E59/E80)</f>
        <v>87287.472705812936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22363.653471771577</v>
      </c>
      <c r="D87" s="752">
        <f>IF(D80=0,0,D60/D80)</f>
        <v>23663.042304230421</v>
      </c>
      <c r="E87" s="752">
        <f>IF(E80=0,0,E60/E80)</f>
        <v>20834.52198288581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109556.75048669695</v>
      </c>
      <c r="D88" s="755">
        <f>+D86+D87</f>
        <v>110743.84188418841</v>
      </c>
      <c r="E88" s="755">
        <f>+E86+E87</f>
        <v>108121.99468869875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114151.69230769231</v>
      </c>
      <c r="D91" s="744">
        <f>IF(D81=0,0,D64/D81)</f>
        <v>117776.7565359477</v>
      </c>
      <c r="E91" s="744">
        <f>IF(E81=0,0,E64/E81)</f>
        <v>123489.97615262322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22365.931623931625</v>
      </c>
      <c r="D92" s="744">
        <f>IF(D81=0,0,D65/D81)</f>
        <v>23651.960784313724</v>
      </c>
      <c r="E92" s="744">
        <f>IF(E81=0,0,E65/E81)</f>
        <v>20835.548489666136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136517.62393162394</v>
      </c>
      <c r="D93" s="757">
        <f>+D91+D92</f>
        <v>141428.71732026144</v>
      </c>
      <c r="E93" s="757">
        <f>+E91+E92</f>
        <v>144325.52464228935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60912.406179458245</v>
      </c>
      <c r="D96" s="752">
        <f>IF(D82=0,0,D69/D82)</f>
        <v>62389.401734746825</v>
      </c>
      <c r="E96" s="752">
        <f>IF(E82=0,0,E69/E82)</f>
        <v>61918.660668190867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22364.016647855533</v>
      </c>
      <c r="D97" s="752">
        <f>IF(D82=0,0,D70/D82)</f>
        <v>23660.920750240937</v>
      </c>
      <c r="E97" s="752">
        <f>IF(E82=0,0,E70/E82)</f>
        <v>21062.208864960543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83276.422827313771</v>
      </c>
      <c r="D98" s="757">
        <f>+D96+D97</f>
        <v>86050.322484987759</v>
      </c>
      <c r="E98" s="757">
        <f>+E96+E97</f>
        <v>82980.869533151417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71339.377033937708</v>
      </c>
      <c r="D101" s="744">
        <f>IF(D83=0,0,D75/D83)</f>
        <v>73259.273118480749</v>
      </c>
      <c r="E101" s="744">
        <f>IF(E83=0,0,E75/E83)</f>
        <v>73467.932391757349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22364.016736401674</v>
      </c>
      <c r="D102" s="761">
        <f>IF(D83=0,0,D76/D83)</f>
        <v>23661.069273586229</v>
      </c>
      <c r="E102" s="761">
        <f>IF(E83=0,0,E76/E83)</f>
        <v>20977.541097476267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93703.393770339375</v>
      </c>
      <c r="D103" s="757">
        <f>+D101+D102</f>
        <v>96920.342392066974</v>
      </c>
      <c r="E103" s="757">
        <f>+E101+E102</f>
        <v>94445.473489233613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1990.9715019509063</v>
      </c>
      <c r="D108" s="744">
        <f>IF(D19=0,0,D77/D19)</f>
        <v>1892.7762350190003</v>
      </c>
      <c r="E108" s="744">
        <f>IF(E19=0,0,E77/E19)</f>
        <v>1925.1571614657078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11070.247706925908</v>
      </c>
      <c r="D109" s="744">
        <f>IF(D20=0,0,D77/D20)</f>
        <v>10457.027504415846</v>
      </c>
      <c r="E109" s="744">
        <f>IF(E20=0,0,E77/E20)</f>
        <v>9873.4085297961956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976.80563270231289</v>
      </c>
      <c r="D110" s="744">
        <f>IF(D22=0,0,D77/D22)</f>
        <v>942.59876083298877</v>
      </c>
      <c r="E110" s="744">
        <f>IF(E22=0,0,E77/E22)</f>
        <v>952.44098712980156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5431.2582098433923</v>
      </c>
      <c r="D111" s="744">
        <f>IF(D23=0,0,D77/D23)</f>
        <v>5207.5786800862452</v>
      </c>
      <c r="E111" s="744">
        <f>IF(E23=0,0,E77/E23)</f>
        <v>4884.7123521569174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734.7092773757339</v>
      </c>
      <c r="D112" s="744">
        <f>IF(D29=0,0,D77/D29)</f>
        <v>692.76991668047526</v>
      </c>
      <c r="E112" s="744">
        <f>IF(E29=0,0,E77/E29)</f>
        <v>685.96188158803295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4085.148222943506</v>
      </c>
      <c r="D113" s="744">
        <f>IF(D30=0,0,D77/D30)</f>
        <v>3827.3483885362098</v>
      </c>
      <c r="E113" s="744">
        <f>IF(E30=0,0,E77/E30)</f>
        <v>3518.0410349614849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FILING&amp;R&amp;"Arial,Bold"&amp;12BRIDGEPORT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1759987000</v>
      </c>
      <c r="D12" s="76">
        <v>1767448000</v>
      </c>
      <c r="E12" s="76">
        <f t="shared" ref="E12:E21" si="0">D12-C12</f>
        <v>7461000</v>
      </c>
      <c r="F12" s="77">
        <f t="shared" ref="F12:F21" si="1">IF(C12=0,0,E12/C12)</f>
        <v>4.2392358579921331E-3</v>
      </c>
    </row>
    <row r="13" spans="1:8" ht="23.1" customHeight="1" x14ac:dyDescent="0.2">
      <c r="A13" s="74">
        <v>2</v>
      </c>
      <c r="B13" s="75" t="s">
        <v>72</v>
      </c>
      <c r="C13" s="76">
        <v>1232938444</v>
      </c>
      <c r="D13" s="76">
        <v>1232133715</v>
      </c>
      <c r="E13" s="76">
        <f t="shared" si="0"/>
        <v>-804729</v>
      </c>
      <c r="F13" s="77">
        <f t="shared" si="1"/>
        <v>-6.5269195223504608E-4</v>
      </c>
    </row>
    <row r="14" spans="1:8" ht="23.1" customHeight="1" x14ac:dyDescent="0.2">
      <c r="A14" s="74">
        <v>3</v>
      </c>
      <c r="B14" s="75" t="s">
        <v>73</v>
      </c>
      <c r="C14" s="76">
        <v>35462000</v>
      </c>
      <c r="D14" s="76">
        <v>38202000</v>
      </c>
      <c r="E14" s="76">
        <f t="shared" si="0"/>
        <v>2740000</v>
      </c>
      <c r="F14" s="77">
        <f t="shared" si="1"/>
        <v>7.7265805651119512E-2</v>
      </c>
    </row>
    <row r="15" spans="1:8" ht="23.1" customHeight="1" x14ac:dyDescent="0.2">
      <c r="A15" s="74">
        <v>4</v>
      </c>
      <c r="B15" s="75" t="s">
        <v>74</v>
      </c>
      <c r="C15" s="76">
        <v>10095556</v>
      </c>
      <c r="D15" s="76">
        <v>8681285</v>
      </c>
      <c r="E15" s="76">
        <f t="shared" si="0"/>
        <v>-1414271</v>
      </c>
      <c r="F15" s="77">
        <f t="shared" si="1"/>
        <v>-0.14008847061023683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481491000</v>
      </c>
      <c r="D16" s="79">
        <f>D12-D13-D14-D15</f>
        <v>488431000</v>
      </c>
      <c r="E16" s="79">
        <f t="shared" si="0"/>
        <v>6940000</v>
      </c>
      <c r="F16" s="80">
        <f t="shared" si="1"/>
        <v>1.441356120882841E-2</v>
      </c>
    </row>
    <row r="17" spans="1:7" ht="23.1" customHeight="1" x14ac:dyDescent="0.2">
      <c r="A17" s="74">
        <v>5</v>
      </c>
      <c r="B17" s="75" t="s">
        <v>76</v>
      </c>
      <c r="C17" s="76">
        <v>15417000</v>
      </c>
      <c r="D17" s="76">
        <v>15692000</v>
      </c>
      <c r="E17" s="76">
        <f t="shared" si="0"/>
        <v>275000</v>
      </c>
      <c r="F17" s="77">
        <f t="shared" si="1"/>
        <v>1.783745216319647E-2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466074000</v>
      </c>
      <c r="D18" s="79">
        <f>D16-D17</f>
        <v>472739000</v>
      </c>
      <c r="E18" s="79">
        <f t="shared" si="0"/>
        <v>6665000</v>
      </c>
      <c r="F18" s="80">
        <f t="shared" si="1"/>
        <v>1.4300304243532142E-2</v>
      </c>
    </row>
    <row r="19" spans="1:7" ht="23.1" customHeight="1" x14ac:dyDescent="0.2">
      <c r="A19" s="74">
        <v>6</v>
      </c>
      <c r="B19" s="75" t="s">
        <v>78</v>
      </c>
      <c r="C19" s="76">
        <v>31305000</v>
      </c>
      <c r="D19" s="76">
        <v>37462500</v>
      </c>
      <c r="E19" s="76">
        <f t="shared" si="0"/>
        <v>6157500</v>
      </c>
      <c r="F19" s="77">
        <f t="shared" si="1"/>
        <v>0.19669381887877335</v>
      </c>
      <c r="G19" s="65"/>
    </row>
    <row r="20" spans="1:7" ht="33" customHeight="1" x14ac:dyDescent="0.2">
      <c r="A20" s="74">
        <v>7</v>
      </c>
      <c r="B20" s="82" t="s">
        <v>79</v>
      </c>
      <c r="C20" s="76">
        <v>750000</v>
      </c>
      <c r="D20" s="76">
        <v>522500</v>
      </c>
      <c r="E20" s="76">
        <f t="shared" si="0"/>
        <v>-227500</v>
      </c>
      <c r="F20" s="77">
        <f t="shared" si="1"/>
        <v>-0.30333333333333334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498129000</v>
      </c>
      <c r="D21" s="79">
        <f>SUM(D18:D20)</f>
        <v>510724000</v>
      </c>
      <c r="E21" s="79">
        <f t="shared" si="0"/>
        <v>12595000</v>
      </c>
      <c r="F21" s="80">
        <f t="shared" si="1"/>
        <v>2.5284615029440165E-2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156621000</v>
      </c>
      <c r="D24" s="76">
        <v>158654000</v>
      </c>
      <c r="E24" s="76">
        <f t="shared" ref="E24:E33" si="2">D24-C24</f>
        <v>2033000</v>
      </c>
      <c r="F24" s="77">
        <f t="shared" ref="F24:F33" si="3">IF(C24=0,0,E24/C24)</f>
        <v>1.2980379387183072E-2</v>
      </c>
    </row>
    <row r="25" spans="1:7" ht="23.1" customHeight="1" x14ac:dyDescent="0.2">
      <c r="A25" s="74">
        <v>2</v>
      </c>
      <c r="B25" s="75" t="s">
        <v>83</v>
      </c>
      <c r="C25" s="76">
        <v>50585000</v>
      </c>
      <c r="D25" s="76">
        <v>45301000</v>
      </c>
      <c r="E25" s="76">
        <f t="shared" si="2"/>
        <v>-5284000</v>
      </c>
      <c r="F25" s="77">
        <f t="shared" si="3"/>
        <v>-0.10445784323416032</v>
      </c>
    </row>
    <row r="26" spans="1:7" ht="23.1" customHeight="1" x14ac:dyDescent="0.2">
      <c r="A26" s="74">
        <v>3</v>
      </c>
      <c r="B26" s="75" t="s">
        <v>84</v>
      </c>
      <c r="C26" s="76">
        <v>27676000</v>
      </c>
      <c r="D26" s="76">
        <v>34941000</v>
      </c>
      <c r="E26" s="76">
        <f t="shared" si="2"/>
        <v>7265000</v>
      </c>
      <c r="F26" s="77">
        <f t="shared" si="3"/>
        <v>0.26250180661945366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52564000</v>
      </c>
      <c r="D27" s="76">
        <v>59396000</v>
      </c>
      <c r="E27" s="76">
        <f t="shared" si="2"/>
        <v>6832000</v>
      </c>
      <c r="F27" s="77">
        <f t="shared" si="3"/>
        <v>0.12997488775587854</v>
      </c>
    </row>
    <row r="28" spans="1:7" ht="23.1" customHeight="1" x14ac:dyDescent="0.2">
      <c r="A28" s="74">
        <v>5</v>
      </c>
      <c r="B28" s="75" t="s">
        <v>86</v>
      </c>
      <c r="C28" s="76">
        <v>31148000</v>
      </c>
      <c r="D28" s="76">
        <v>32444000</v>
      </c>
      <c r="E28" s="76">
        <f t="shared" si="2"/>
        <v>1296000</v>
      </c>
      <c r="F28" s="77">
        <f t="shared" si="3"/>
        <v>4.1607807884936433E-2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3048000</v>
      </c>
      <c r="D30" s="76">
        <v>5480000</v>
      </c>
      <c r="E30" s="76">
        <f t="shared" si="2"/>
        <v>2432000</v>
      </c>
      <c r="F30" s="77">
        <f t="shared" si="3"/>
        <v>0.79790026246719159</v>
      </c>
    </row>
    <row r="31" spans="1:7" ht="23.1" customHeight="1" x14ac:dyDescent="0.2">
      <c r="A31" s="74">
        <v>8</v>
      </c>
      <c r="B31" s="75" t="s">
        <v>89</v>
      </c>
      <c r="C31" s="76">
        <v>6225000</v>
      </c>
      <c r="D31" s="76">
        <v>7861000</v>
      </c>
      <c r="E31" s="76">
        <f t="shared" si="2"/>
        <v>1636000</v>
      </c>
      <c r="F31" s="77">
        <f t="shared" si="3"/>
        <v>0.2628112449799197</v>
      </c>
    </row>
    <row r="32" spans="1:7" ht="23.1" customHeight="1" x14ac:dyDescent="0.2">
      <c r="A32" s="74">
        <v>9</v>
      </c>
      <c r="B32" s="75" t="s">
        <v>90</v>
      </c>
      <c r="C32" s="76">
        <v>115589000</v>
      </c>
      <c r="D32" s="76">
        <v>126117000</v>
      </c>
      <c r="E32" s="76">
        <f t="shared" si="2"/>
        <v>10528000</v>
      </c>
      <c r="F32" s="77">
        <f t="shared" si="3"/>
        <v>9.1081331268546312E-2</v>
      </c>
    </row>
    <row r="33" spans="1:6" ht="23.1" customHeight="1" x14ac:dyDescent="0.25">
      <c r="A33" s="71"/>
      <c r="B33" s="78" t="s">
        <v>91</v>
      </c>
      <c r="C33" s="79">
        <f>SUM(C24:C32)</f>
        <v>443456000</v>
      </c>
      <c r="D33" s="79">
        <f>SUM(D24:D32)</f>
        <v>470194000</v>
      </c>
      <c r="E33" s="79">
        <f t="shared" si="2"/>
        <v>26738000</v>
      </c>
      <c r="F33" s="80">
        <f t="shared" si="3"/>
        <v>6.0294595179679611E-2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54673000</v>
      </c>
      <c r="D35" s="79">
        <f>+D21-D33</f>
        <v>40530000</v>
      </c>
      <c r="E35" s="79">
        <f>D35-C35</f>
        <v>-14143000</v>
      </c>
      <c r="F35" s="80">
        <f>IF(C35=0,0,E35/C35)</f>
        <v>-0.25868344521061587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-542000</v>
      </c>
      <c r="D40" s="76">
        <v>-51000</v>
      </c>
      <c r="E40" s="76">
        <f>D40-C40</f>
        <v>491000</v>
      </c>
      <c r="F40" s="77">
        <f>IF(C40=0,0,E40/C40)</f>
        <v>-0.90590405904059046</v>
      </c>
    </row>
    <row r="41" spans="1:6" ht="23.1" customHeight="1" x14ac:dyDescent="0.25">
      <c r="A41" s="83"/>
      <c r="B41" s="78" t="s">
        <v>97</v>
      </c>
      <c r="C41" s="79">
        <f>SUM(C38:C40)</f>
        <v>-542000</v>
      </c>
      <c r="D41" s="79">
        <f>SUM(D38:D40)</f>
        <v>-51000</v>
      </c>
      <c r="E41" s="79">
        <f>D41-C41</f>
        <v>491000</v>
      </c>
      <c r="F41" s="80">
        <f>IF(C41=0,0,E41/C41)</f>
        <v>-0.90590405904059046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54131000</v>
      </c>
      <c r="D43" s="79">
        <f>D35+D41</f>
        <v>40479000</v>
      </c>
      <c r="E43" s="79">
        <f>D43-C43</f>
        <v>-13652000</v>
      </c>
      <c r="F43" s="80">
        <f>IF(C43=0,0,E43/C43)</f>
        <v>-0.25220298904509431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1486000</v>
      </c>
      <c r="D46" s="76">
        <v>6195000</v>
      </c>
      <c r="E46" s="76">
        <f>D46-C46</f>
        <v>4709000</v>
      </c>
      <c r="F46" s="77">
        <f>IF(C46=0,0,E46/C46)</f>
        <v>3.1689098250336474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1486000</v>
      </c>
      <c r="D48" s="79">
        <f>SUM(D46:D47)</f>
        <v>6195000</v>
      </c>
      <c r="E48" s="79">
        <f>D48-C48</f>
        <v>4709000</v>
      </c>
      <c r="F48" s="80">
        <f>IF(C48=0,0,E48/C48)</f>
        <v>3.1689098250336474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55617000</v>
      </c>
      <c r="D50" s="79">
        <f>D43+D48</f>
        <v>46674000</v>
      </c>
      <c r="E50" s="79">
        <f>D50-C50</f>
        <v>-8943000</v>
      </c>
      <c r="F50" s="80">
        <f>IF(C50=0,0,E50/C50)</f>
        <v>-0.16079615944765091</v>
      </c>
    </row>
    <row r="51" spans="1:6" ht="23.1" customHeight="1" x14ac:dyDescent="0.2">
      <c r="A51" s="85"/>
      <c r="B51" s="75" t="s">
        <v>104</v>
      </c>
      <c r="C51" s="76">
        <v>4696000</v>
      </c>
      <c r="D51" s="76">
        <v>5712000</v>
      </c>
      <c r="E51" s="76">
        <f>D51-C51</f>
        <v>1016000</v>
      </c>
      <c r="F51" s="77">
        <f>IF(C51=0,0,E51/C51)</f>
        <v>0.21635434412265758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FILING&amp;RBRIDGEPORT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315221324</v>
      </c>
      <c r="D14" s="113">
        <v>301419084</v>
      </c>
      <c r="E14" s="113">
        <f t="shared" ref="E14:E25" si="0">D14-C14</f>
        <v>-13802240</v>
      </c>
      <c r="F14" s="114">
        <f t="shared" ref="F14:F25" si="1">IF(C14=0,0,E14/C14)</f>
        <v>-4.3785870273167181E-2</v>
      </c>
    </row>
    <row r="15" spans="1:6" x14ac:dyDescent="0.2">
      <c r="A15" s="115">
        <v>2</v>
      </c>
      <c r="B15" s="116" t="s">
        <v>114</v>
      </c>
      <c r="C15" s="113">
        <v>123172907</v>
      </c>
      <c r="D15" s="113">
        <v>135482629</v>
      </c>
      <c r="E15" s="113">
        <f t="shared" si="0"/>
        <v>12309722</v>
      </c>
      <c r="F15" s="114">
        <f t="shared" si="1"/>
        <v>9.9938552233731076E-2</v>
      </c>
    </row>
    <row r="16" spans="1:6" x14ac:dyDescent="0.2">
      <c r="A16" s="115">
        <v>3</v>
      </c>
      <c r="B16" s="116" t="s">
        <v>115</v>
      </c>
      <c r="C16" s="113">
        <v>222828904</v>
      </c>
      <c r="D16" s="113">
        <v>233980593</v>
      </c>
      <c r="E16" s="113">
        <f t="shared" si="0"/>
        <v>11151689</v>
      </c>
      <c r="F16" s="114">
        <f t="shared" si="1"/>
        <v>5.004597159442116E-2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410349</v>
      </c>
      <c r="D18" s="113">
        <v>911152</v>
      </c>
      <c r="E18" s="113">
        <f t="shared" si="0"/>
        <v>500803</v>
      </c>
      <c r="F18" s="114">
        <f t="shared" si="1"/>
        <v>1.2204318762809219</v>
      </c>
    </row>
    <row r="19" spans="1:6" x14ac:dyDescent="0.2">
      <c r="A19" s="115">
        <v>6</v>
      </c>
      <c r="B19" s="116" t="s">
        <v>118</v>
      </c>
      <c r="C19" s="113">
        <v>73860848</v>
      </c>
      <c r="D19" s="113">
        <v>75224165</v>
      </c>
      <c r="E19" s="113">
        <f t="shared" si="0"/>
        <v>1363317</v>
      </c>
      <c r="F19" s="114">
        <f t="shared" si="1"/>
        <v>1.845791155823177E-2</v>
      </c>
    </row>
    <row r="20" spans="1:6" x14ac:dyDescent="0.2">
      <c r="A20" s="115">
        <v>7</v>
      </c>
      <c r="B20" s="116" t="s">
        <v>119</v>
      </c>
      <c r="C20" s="113">
        <v>113838226</v>
      </c>
      <c r="D20" s="113">
        <v>111375113</v>
      </c>
      <c r="E20" s="113">
        <f t="shared" si="0"/>
        <v>-2463113</v>
      </c>
      <c r="F20" s="114">
        <f t="shared" si="1"/>
        <v>-2.1636958748812548E-2</v>
      </c>
    </row>
    <row r="21" spans="1:6" x14ac:dyDescent="0.2">
      <c r="A21" s="115">
        <v>8</v>
      </c>
      <c r="B21" s="116" t="s">
        <v>120</v>
      </c>
      <c r="C21" s="113">
        <v>6930273</v>
      </c>
      <c r="D21" s="113">
        <v>5098655</v>
      </c>
      <c r="E21" s="113">
        <f t="shared" si="0"/>
        <v>-1831618</v>
      </c>
      <c r="F21" s="114">
        <f t="shared" si="1"/>
        <v>-0.26429233018670406</v>
      </c>
    </row>
    <row r="22" spans="1:6" x14ac:dyDescent="0.2">
      <c r="A22" s="115">
        <v>9</v>
      </c>
      <c r="B22" s="116" t="s">
        <v>121</v>
      </c>
      <c r="C22" s="113">
        <v>20207327</v>
      </c>
      <c r="D22" s="113">
        <v>10924791</v>
      </c>
      <c r="E22" s="113">
        <f t="shared" si="0"/>
        <v>-9282536</v>
      </c>
      <c r="F22" s="114">
        <f t="shared" si="1"/>
        <v>-0.45936486305190194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876470158</v>
      </c>
      <c r="D25" s="119">
        <f>SUM(D14:D24)</f>
        <v>874416182</v>
      </c>
      <c r="E25" s="119">
        <f t="shared" si="0"/>
        <v>-2053976</v>
      </c>
      <c r="F25" s="120">
        <f t="shared" si="1"/>
        <v>-2.3434637006774168E-3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160015874</v>
      </c>
      <c r="D27" s="113">
        <v>166409070</v>
      </c>
      <c r="E27" s="113">
        <f t="shared" ref="E27:E38" si="2">D27-C27</f>
        <v>6393196</v>
      </c>
      <c r="F27" s="114">
        <f t="shared" ref="F27:F38" si="3">IF(C27=0,0,E27/C27)</f>
        <v>3.9953511112278774E-2</v>
      </c>
    </row>
    <row r="28" spans="1:6" x14ac:dyDescent="0.2">
      <c r="A28" s="115">
        <v>2</v>
      </c>
      <c r="B28" s="116" t="s">
        <v>114</v>
      </c>
      <c r="C28" s="113">
        <v>81834038</v>
      </c>
      <c r="D28" s="113">
        <v>86069756</v>
      </c>
      <c r="E28" s="113">
        <f t="shared" si="2"/>
        <v>4235718</v>
      </c>
      <c r="F28" s="114">
        <f t="shared" si="3"/>
        <v>5.1759855721649713E-2</v>
      </c>
    </row>
    <row r="29" spans="1:6" x14ac:dyDescent="0.2">
      <c r="A29" s="115">
        <v>3</v>
      </c>
      <c r="B29" s="116" t="s">
        <v>115</v>
      </c>
      <c r="C29" s="113">
        <v>307573351</v>
      </c>
      <c r="D29" s="113">
        <v>304832821</v>
      </c>
      <c r="E29" s="113">
        <f t="shared" si="2"/>
        <v>-2740530</v>
      </c>
      <c r="F29" s="114">
        <f t="shared" si="3"/>
        <v>-8.9101672530790873E-3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836199</v>
      </c>
      <c r="D31" s="113">
        <v>1072941</v>
      </c>
      <c r="E31" s="113">
        <f t="shared" si="2"/>
        <v>236742</v>
      </c>
      <c r="F31" s="114">
        <f t="shared" si="3"/>
        <v>0.28311681788665138</v>
      </c>
    </row>
    <row r="32" spans="1:6" x14ac:dyDescent="0.2">
      <c r="A32" s="115">
        <v>6</v>
      </c>
      <c r="B32" s="116" t="s">
        <v>118</v>
      </c>
      <c r="C32" s="113">
        <v>119227133</v>
      </c>
      <c r="D32" s="113">
        <v>117502855</v>
      </c>
      <c r="E32" s="113">
        <f t="shared" si="2"/>
        <v>-1724278</v>
      </c>
      <c r="F32" s="114">
        <f t="shared" si="3"/>
        <v>-1.4462127509180314E-2</v>
      </c>
    </row>
    <row r="33" spans="1:6" x14ac:dyDescent="0.2">
      <c r="A33" s="115">
        <v>7</v>
      </c>
      <c r="B33" s="116" t="s">
        <v>119</v>
      </c>
      <c r="C33" s="113">
        <v>174364989</v>
      </c>
      <c r="D33" s="113">
        <v>172682743</v>
      </c>
      <c r="E33" s="113">
        <f t="shared" si="2"/>
        <v>-1682246</v>
      </c>
      <c r="F33" s="114">
        <f t="shared" si="3"/>
        <v>-9.6478427788046373E-3</v>
      </c>
    </row>
    <row r="34" spans="1:6" x14ac:dyDescent="0.2">
      <c r="A34" s="115">
        <v>8</v>
      </c>
      <c r="B34" s="116" t="s">
        <v>120</v>
      </c>
      <c r="C34" s="113">
        <v>6494074</v>
      </c>
      <c r="D34" s="113">
        <v>5665761</v>
      </c>
      <c r="E34" s="113">
        <f t="shared" si="2"/>
        <v>-828313</v>
      </c>
      <c r="F34" s="114">
        <f t="shared" si="3"/>
        <v>-0.12754905472281344</v>
      </c>
    </row>
    <row r="35" spans="1:6" x14ac:dyDescent="0.2">
      <c r="A35" s="115">
        <v>9</v>
      </c>
      <c r="B35" s="116" t="s">
        <v>121</v>
      </c>
      <c r="C35" s="113">
        <v>33171524</v>
      </c>
      <c r="D35" s="113">
        <v>38794461</v>
      </c>
      <c r="E35" s="113">
        <f t="shared" si="2"/>
        <v>5622937</v>
      </c>
      <c r="F35" s="114">
        <f t="shared" si="3"/>
        <v>0.16951096368077631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883517182</v>
      </c>
      <c r="D38" s="119">
        <f>SUM(D27:D37)</f>
        <v>893030408</v>
      </c>
      <c r="E38" s="119">
        <f t="shared" si="2"/>
        <v>9513226</v>
      </c>
      <c r="F38" s="120">
        <f t="shared" si="3"/>
        <v>1.0767448776112199E-2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475237198</v>
      </c>
      <c r="D41" s="119">
        <f t="shared" si="4"/>
        <v>467828154</v>
      </c>
      <c r="E41" s="123">
        <f t="shared" ref="E41:E52" si="5">D41-C41</f>
        <v>-7409044</v>
      </c>
      <c r="F41" s="124">
        <f t="shared" ref="F41:F52" si="6">IF(C41=0,0,E41/C41)</f>
        <v>-1.5590202179417782E-2</v>
      </c>
    </row>
    <row r="42" spans="1:6" ht="15.75" x14ac:dyDescent="0.25">
      <c r="A42" s="121">
        <v>2</v>
      </c>
      <c r="B42" s="122" t="s">
        <v>114</v>
      </c>
      <c r="C42" s="119">
        <f t="shared" si="4"/>
        <v>205006945</v>
      </c>
      <c r="D42" s="119">
        <f t="shared" si="4"/>
        <v>221552385</v>
      </c>
      <c r="E42" s="123">
        <f t="shared" si="5"/>
        <v>16545440</v>
      </c>
      <c r="F42" s="124">
        <f t="shared" si="6"/>
        <v>8.0706729228124441E-2</v>
      </c>
    </row>
    <row r="43" spans="1:6" ht="15.75" x14ac:dyDescent="0.25">
      <c r="A43" s="121">
        <v>3</v>
      </c>
      <c r="B43" s="122" t="s">
        <v>115</v>
      </c>
      <c r="C43" s="119">
        <f t="shared" si="4"/>
        <v>530402255</v>
      </c>
      <c r="D43" s="119">
        <f t="shared" si="4"/>
        <v>538813414</v>
      </c>
      <c r="E43" s="123">
        <f t="shared" si="5"/>
        <v>8411159</v>
      </c>
      <c r="F43" s="124">
        <f t="shared" si="6"/>
        <v>1.5858075490271059E-2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1246548</v>
      </c>
      <c r="D45" s="119">
        <f t="shared" si="4"/>
        <v>1984093</v>
      </c>
      <c r="E45" s="123">
        <f t="shared" si="5"/>
        <v>737545</v>
      </c>
      <c r="F45" s="124">
        <f t="shared" si="6"/>
        <v>0.59166995574979864</v>
      </c>
    </row>
    <row r="46" spans="1:6" ht="15.75" x14ac:dyDescent="0.25">
      <c r="A46" s="121">
        <v>6</v>
      </c>
      <c r="B46" s="122" t="s">
        <v>118</v>
      </c>
      <c r="C46" s="119">
        <f t="shared" si="4"/>
        <v>193087981</v>
      </c>
      <c r="D46" s="119">
        <f t="shared" si="4"/>
        <v>192727020</v>
      </c>
      <c r="E46" s="123">
        <f t="shared" si="5"/>
        <v>-360961</v>
      </c>
      <c r="F46" s="124">
        <f t="shared" si="6"/>
        <v>-1.8694120583300313E-3</v>
      </c>
    </row>
    <row r="47" spans="1:6" ht="15.75" x14ac:dyDescent="0.25">
      <c r="A47" s="121">
        <v>7</v>
      </c>
      <c r="B47" s="122" t="s">
        <v>119</v>
      </c>
      <c r="C47" s="119">
        <f t="shared" si="4"/>
        <v>288203215</v>
      </c>
      <c r="D47" s="119">
        <f t="shared" si="4"/>
        <v>284057856</v>
      </c>
      <c r="E47" s="123">
        <f t="shared" si="5"/>
        <v>-4145359</v>
      </c>
      <c r="F47" s="124">
        <f t="shared" si="6"/>
        <v>-1.4383458560654849E-2</v>
      </c>
    </row>
    <row r="48" spans="1:6" ht="15.75" x14ac:dyDescent="0.25">
      <c r="A48" s="121">
        <v>8</v>
      </c>
      <c r="B48" s="122" t="s">
        <v>120</v>
      </c>
      <c r="C48" s="119">
        <f t="shared" si="4"/>
        <v>13424347</v>
      </c>
      <c r="D48" s="119">
        <f t="shared" si="4"/>
        <v>10764416</v>
      </c>
      <c r="E48" s="123">
        <f t="shared" si="5"/>
        <v>-2659931</v>
      </c>
      <c r="F48" s="124">
        <f t="shared" si="6"/>
        <v>-0.19814230070185165</v>
      </c>
    </row>
    <row r="49" spans="1:6" ht="15.75" x14ac:dyDescent="0.25">
      <c r="A49" s="121">
        <v>9</v>
      </c>
      <c r="B49" s="122" t="s">
        <v>121</v>
      </c>
      <c r="C49" s="119">
        <f t="shared" si="4"/>
        <v>53378851</v>
      </c>
      <c r="D49" s="119">
        <f t="shared" si="4"/>
        <v>49719252</v>
      </c>
      <c r="E49" s="123">
        <f t="shared" si="5"/>
        <v>-3659599</v>
      </c>
      <c r="F49" s="124">
        <f t="shared" si="6"/>
        <v>-6.855896916926893E-2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1759987340</v>
      </c>
      <c r="D52" s="128">
        <f>SUM(D41:D51)</f>
        <v>1767446590</v>
      </c>
      <c r="E52" s="127">
        <f t="shared" si="5"/>
        <v>7459250</v>
      </c>
      <c r="F52" s="129">
        <f t="shared" si="6"/>
        <v>4.2382407137087699E-3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102871768</v>
      </c>
      <c r="D57" s="113">
        <v>96855799</v>
      </c>
      <c r="E57" s="113">
        <f t="shared" ref="E57:E68" si="7">D57-C57</f>
        <v>-6015969</v>
      </c>
      <c r="F57" s="114">
        <f t="shared" ref="F57:F68" si="8">IF(C57=0,0,E57/C57)</f>
        <v>-5.8480272255066135E-2</v>
      </c>
    </row>
    <row r="58" spans="1:6" x14ac:dyDescent="0.2">
      <c r="A58" s="115">
        <v>2</v>
      </c>
      <c r="B58" s="116" t="s">
        <v>114</v>
      </c>
      <c r="C58" s="113">
        <v>38459124</v>
      </c>
      <c r="D58" s="113">
        <v>37980752</v>
      </c>
      <c r="E58" s="113">
        <f t="shared" si="7"/>
        <v>-478372</v>
      </c>
      <c r="F58" s="114">
        <f t="shared" si="8"/>
        <v>-1.2438452836315252E-2</v>
      </c>
    </row>
    <row r="59" spans="1:6" x14ac:dyDescent="0.2">
      <c r="A59" s="115">
        <v>3</v>
      </c>
      <c r="B59" s="116" t="s">
        <v>115</v>
      </c>
      <c r="C59" s="113">
        <v>40320958</v>
      </c>
      <c r="D59" s="113">
        <v>51084429</v>
      </c>
      <c r="E59" s="113">
        <f t="shared" si="7"/>
        <v>10763471</v>
      </c>
      <c r="F59" s="114">
        <f t="shared" si="8"/>
        <v>0.26694482308679274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91862</v>
      </c>
      <c r="D61" s="113">
        <v>168167</v>
      </c>
      <c r="E61" s="113">
        <f t="shared" si="7"/>
        <v>76305</v>
      </c>
      <c r="F61" s="114">
        <f t="shared" si="8"/>
        <v>0.8306481461322418</v>
      </c>
    </row>
    <row r="62" spans="1:6" x14ac:dyDescent="0.2">
      <c r="A62" s="115">
        <v>6</v>
      </c>
      <c r="B62" s="116" t="s">
        <v>118</v>
      </c>
      <c r="C62" s="113">
        <v>34767627</v>
      </c>
      <c r="D62" s="113">
        <v>35590859</v>
      </c>
      <c r="E62" s="113">
        <f t="shared" si="7"/>
        <v>823232</v>
      </c>
      <c r="F62" s="114">
        <f t="shared" si="8"/>
        <v>2.3678118728091509E-2</v>
      </c>
    </row>
    <row r="63" spans="1:6" x14ac:dyDescent="0.2">
      <c r="A63" s="115">
        <v>7</v>
      </c>
      <c r="B63" s="116" t="s">
        <v>119</v>
      </c>
      <c r="C63" s="113">
        <v>54595644</v>
      </c>
      <c r="D63" s="113">
        <v>51603096</v>
      </c>
      <c r="E63" s="113">
        <f t="shared" si="7"/>
        <v>-2992548</v>
      </c>
      <c r="F63" s="114">
        <f t="shared" si="8"/>
        <v>-5.4812944417323844E-2</v>
      </c>
    </row>
    <row r="64" spans="1:6" x14ac:dyDescent="0.2">
      <c r="A64" s="115">
        <v>8</v>
      </c>
      <c r="B64" s="116" t="s">
        <v>120</v>
      </c>
      <c r="C64" s="113">
        <v>3642665</v>
      </c>
      <c r="D64" s="113">
        <v>2260128</v>
      </c>
      <c r="E64" s="113">
        <f t="shared" si="7"/>
        <v>-1382537</v>
      </c>
      <c r="F64" s="114">
        <f t="shared" si="8"/>
        <v>-0.37953997965775055</v>
      </c>
    </row>
    <row r="65" spans="1:6" x14ac:dyDescent="0.2">
      <c r="A65" s="115">
        <v>9</v>
      </c>
      <c r="B65" s="116" t="s">
        <v>121</v>
      </c>
      <c r="C65" s="113">
        <v>10449109</v>
      </c>
      <c r="D65" s="113">
        <v>5502869</v>
      </c>
      <c r="E65" s="113">
        <f t="shared" si="7"/>
        <v>-4946240</v>
      </c>
      <c r="F65" s="114">
        <f t="shared" si="8"/>
        <v>-0.47336476248836146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285198757</v>
      </c>
      <c r="D68" s="119">
        <f>SUM(D57:D67)</f>
        <v>281046099</v>
      </c>
      <c r="E68" s="119">
        <f t="shared" si="7"/>
        <v>-4152658</v>
      </c>
      <c r="F68" s="120">
        <f t="shared" si="8"/>
        <v>-1.4560575381469843E-2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27226592</v>
      </c>
      <c r="D70" s="113">
        <v>30358717</v>
      </c>
      <c r="E70" s="113">
        <f t="shared" ref="E70:E81" si="9">D70-C70</f>
        <v>3132125</v>
      </c>
      <c r="F70" s="114">
        <f t="shared" ref="F70:F81" si="10">IF(C70=0,0,E70/C70)</f>
        <v>0.11503918668924851</v>
      </c>
    </row>
    <row r="71" spans="1:6" x14ac:dyDescent="0.2">
      <c r="A71" s="115">
        <v>2</v>
      </c>
      <c r="B71" s="116" t="s">
        <v>114</v>
      </c>
      <c r="C71" s="113">
        <v>12392980</v>
      </c>
      <c r="D71" s="113">
        <v>13409202</v>
      </c>
      <c r="E71" s="113">
        <f t="shared" si="9"/>
        <v>1016222</v>
      </c>
      <c r="F71" s="114">
        <f t="shared" si="10"/>
        <v>8.1999809569611185E-2</v>
      </c>
    </row>
    <row r="72" spans="1:6" x14ac:dyDescent="0.2">
      <c r="A72" s="115">
        <v>3</v>
      </c>
      <c r="B72" s="116" t="s">
        <v>115</v>
      </c>
      <c r="C72" s="113">
        <v>43186014</v>
      </c>
      <c r="D72" s="113">
        <v>48056138</v>
      </c>
      <c r="E72" s="113">
        <f t="shared" si="9"/>
        <v>4870124</v>
      </c>
      <c r="F72" s="114">
        <f t="shared" si="10"/>
        <v>0.112770861418236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181050</v>
      </c>
      <c r="D74" s="113">
        <v>117668</v>
      </c>
      <c r="E74" s="113">
        <f t="shared" si="9"/>
        <v>-63382</v>
      </c>
      <c r="F74" s="114">
        <f t="shared" si="10"/>
        <v>-0.35008008837337751</v>
      </c>
    </row>
    <row r="75" spans="1:6" x14ac:dyDescent="0.2">
      <c r="A75" s="115">
        <v>6</v>
      </c>
      <c r="B75" s="116" t="s">
        <v>118</v>
      </c>
      <c r="C75" s="113">
        <v>43356708</v>
      </c>
      <c r="D75" s="113">
        <v>46485484</v>
      </c>
      <c r="E75" s="113">
        <f t="shared" si="9"/>
        <v>3128776</v>
      </c>
      <c r="F75" s="114">
        <f t="shared" si="10"/>
        <v>7.2163596922533879E-2</v>
      </c>
    </row>
    <row r="76" spans="1:6" x14ac:dyDescent="0.2">
      <c r="A76" s="115">
        <v>7</v>
      </c>
      <c r="B76" s="116" t="s">
        <v>119</v>
      </c>
      <c r="C76" s="113">
        <v>61553145</v>
      </c>
      <c r="D76" s="113">
        <v>65714339</v>
      </c>
      <c r="E76" s="113">
        <f t="shared" si="9"/>
        <v>4161194</v>
      </c>
      <c r="F76" s="114">
        <f t="shared" si="10"/>
        <v>6.7603271936795425E-2</v>
      </c>
    </row>
    <row r="77" spans="1:6" x14ac:dyDescent="0.2">
      <c r="A77" s="115">
        <v>8</v>
      </c>
      <c r="B77" s="116" t="s">
        <v>120</v>
      </c>
      <c r="C77" s="113">
        <v>2702132</v>
      </c>
      <c r="D77" s="113">
        <v>1427091</v>
      </c>
      <c r="E77" s="113">
        <f t="shared" si="9"/>
        <v>-1275041</v>
      </c>
      <c r="F77" s="114">
        <f t="shared" si="10"/>
        <v>-0.47186480897306277</v>
      </c>
    </row>
    <row r="78" spans="1:6" x14ac:dyDescent="0.2">
      <c r="A78" s="115">
        <v>9</v>
      </c>
      <c r="B78" s="116" t="s">
        <v>121</v>
      </c>
      <c r="C78" s="113">
        <v>16413766</v>
      </c>
      <c r="D78" s="113">
        <v>5014778</v>
      </c>
      <c r="E78" s="113">
        <f t="shared" si="9"/>
        <v>-11398988</v>
      </c>
      <c r="F78" s="114">
        <f t="shared" si="10"/>
        <v>-0.69447730642681271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207012387</v>
      </c>
      <c r="D81" s="119">
        <f>SUM(D70:D80)</f>
        <v>210583417</v>
      </c>
      <c r="E81" s="119">
        <f t="shared" si="9"/>
        <v>3571030</v>
      </c>
      <c r="F81" s="120">
        <f t="shared" si="10"/>
        <v>1.7250320387832637E-2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130098360</v>
      </c>
      <c r="D84" s="119">
        <f t="shared" si="11"/>
        <v>127214516</v>
      </c>
      <c r="E84" s="119">
        <f t="shared" ref="E84:E95" si="12">D84-C84</f>
        <v>-2883844</v>
      </c>
      <c r="F84" s="120">
        <f t="shared" ref="F84:F95" si="13">IF(C84=0,0,E84/C84)</f>
        <v>-2.2166643760920583E-2</v>
      </c>
    </row>
    <row r="85" spans="1:6" ht="15.75" x14ac:dyDescent="0.25">
      <c r="A85" s="130">
        <v>2</v>
      </c>
      <c r="B85" s="122" t="s">
        <v>114</v>
      </c>
      <c r="C85" s="119">
        <f t="shared" si="11"/>
        <v>50852104</v>
      </c>
      <c r="D85" s="119">
        <f t="shared" si="11"/>
        <v>51389954</v>
      </c>
      <c r="E85" s="119">
        <f t="shared" si="12"/>
        <v>537850</v>
      </c>
      <c r="F85" s="120">
        <f t="shared" si="13"/>
        <v>1.0576750177337795E-2</v>
      </c>
    </row>
    <row r="86" spans="1:6" ht="15.75" x14ac:dyDescent="0.25">
      <c r="A86" s="130">
        <v>3</v>
      </c>
      <c r="B86" s="122" t="s">
        <v>115</v>
      </c>
      <c r="C86" s="119">
        <f t="shared" si="11"/>
        <v>83506972</v>
      </c>
      <c r="D86" s="119">
        <f t="shared" si="11"/>
        <v>99140567</v>
      </c>
      <c r="E86" s="119">
        <f t="shared" si="12"/>
        <v>15633595</v>
      </c>
      <c r="F86" s="120">
        <f t="shared" si="13"/>
        <v>0.18721305090549806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272912</v>
      </c>
      <c r="D88" s="119">
        <f t="shared" si="11"/>
        <v>285835</v>
      </c>
      <c r="E88" s="119">
        <f t="shared" si="12"/>
        <v>12923</v>
      </c>
      <c r="F88" s="120">
        <f t="shared" si="13"/>
        <v>4.7352260069179808E-2</v>
      </c>
    </row>
    <row r="89" spans="1:6" ht="15.75" x14ac:dyDescent="0.25">
      <c r="A89" s="130">
        <v>6</v>
      </c>
      <c r="B89" s="122" t="s">
        <v>118</v>
      </c>
      <c r="C89" s="119">
        <f t="shared" si="11"/>
        <v>78124335</v>
      </c>
      <c r="D89" s="119">
        <f t="shared" si="11"/>
        <v>82076343</v>
      </c>
      <c r="E89" s="119">
        <f t="shared" si="12"/>
        <v>3952008</v>
      </c>
      <c r="F89" s="120">
        <f t="shared" si="13"/>
        <v>5.0586132989164007E-2</v>
      </c>
    </row>
    <row r="90" spans="1:6" ht="15.75" x14ac:dyDescent="0.25">
      <c r="A90" s="130">
        <v>7</v>
      </c>
      <c r="B90" s="122" t="s">
        <v>119</v>
      </c>
      <c r="C90" s="119">
        <f t="shared" si="11"/>
        <v>116148789</v>
      </c>
      <c r="D90" s="119">
        <f t="shared" si="11"/>
        <v>117317435</v>
      </c>
      <c r="E90" s="119">
        <f t="shared" si="12"/>
        <v>1168646</v>
      </c>
      <c r="F90" s="120">
        <f t="shared" si="13"/>
        <v>1.0061628795802597E-2</v>
      </c>
    </row>
    <row r="91" spans="1:6" ht="15.75" x14ac:dyDescent="0.25">
      <c r="A91" s="130">
        <v>8</v>
      </c>
      <c r="B91" s="122" t="s">
        <v>120</v>
      </c>
      <c r="C91" s="119">
        <f t="shared" si="11"/>
        <v>6344797</v>
      </c>
      <c r="D91" s="119">
        <f t="shared" si="11"/>
        <v>3687219</v>
      </c>
      <c r="E91" s="119">
        <f t="shared" si="12"/>
        <v>-2657578</v>
      </c>
      <c r="F91" s="120">
        <f t="shared" si="13"/>
        <v>-0.41885942134949311</v>
      </c>
    </row>
    <row r="92" spans="1:6" ht="15.75" x14ac:dyDescent="0.25">
      <c r="A92" s="130">
        <v>9</v>
      </c>
      <c r="B92" s="122" t="s">
        <v>121</v>
      </c>
      <c r="C92" s="119">
        <f t="shared" si="11"/>
        <v>26862875</v>
      </c>
      <c r="D92" s="119">
        <f t="shared" si="11"/>
        <v>10517647</v>
      </c>
      <c r="E92" s="119">
        <f t="shared" si="12"/>
        <v>-16345228</v>
      </c>
      <c r="F92" s="120">
        <f t="shared" si="13"/>
        <v>-0.60846904882667996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492211144</v>
      </c>
      <c r="D95" s="128">
        <f>SUM(D84:D94)</f>
        <v>491629516</v>
      </c>
      <c r="E95" s="128">
        <f t="shared" si="12"/>
        <v>-581628</v>
      </c>
      <c r="F95" s="129">
        <f t="shared" si="13"/>
        <v>-1.1816636154828709E-3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5686</v>
      </c>
      <c r="D100" s="133">
        <v>5808</v>
      </c>
      <c r="E100" s="133">
        <f t="shared" ref="E100:E111" si="14">D100-C100</f>
        <v>122</v>
      </c>
      <c r="F100" s="114">
        <f t="shared" ref="F100:F111" si="15">IF(C100=0,0,E100/C100)</f>
        <v>2.1456208230742173E-2</v>
      </c>
    </row>
    <row r="101" spans="1:6" x14ac:dyDescent="0.2">
      <c r="A101" s="115">
        <v>2</v>
      </c>
      <c r="B101" s="116" t="s">
        <v>114</v>
      </c>
      <c r="C101" s="133">
        <v>2234</v>
      </c>
      <c r="D101" s="133">
        <v>2352</v>
      </c>
      <c r="E101" s="133">
        <f t="shared" si="14"/>
        <v>118</v>
      </c>
      <c r="F101" s="114">
        <f t="shared" si="15"/>
        <v>5.2820053715308866E-2</v>
      </c>
    </row>
    <row r="102" spans="1:6" x14ac:dyDescent="0.2">
      <c r="A102" s="115">
        <v>3</v>
      </c>
      <c r="B102" s="116" t="s">
        <v>115</v>
      </c>
      <c r="C102" s="133">
        <v>6240</v>
      </c>
      <c r="D102" s="133">
        <v>6767</v>
      </c>
      <c r="E102" s="133">
        <f t="shared" si="14"/>
        <v>527</v>
      </c>
      <c r="F102" s="114">
        <f t="shared" si="15"/>
        <v>8.445512820512821E-2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16</v>
      </c>
      <c r="D104" s="133">
        <v>36</v>
      </c>
      <c r="E104" s="133">
        <f t="shared" si="14"/>
        <v>20</v>
      </c>
      <c r="F104" s="114">
        <f t="shared" si="15"/>
        <v>1.25</v>
      </c>
    </row>
    <row r="105" spans="1:6" x14ac:dyDescent="0.2">
      <c r="A105" s="115">
        <v>6</v>
      </c>
      <c r="B105" s="116" t="s">
        <v>118</v>
      </c>
      <c r="C105" s="133">
        <v>1937</v>
      </c>
      <c r="D105" s="133">
        <v>2322</v>
      </c>
      <c r="E105" s="133">
        <f t="shared" si="14"/>
        <v>385</v>
      </c>
      <c r="F105" s="114">
        <f t="shared" si="15"/>
        <v>0.19876097057305112</v>
      </c>
    </row>
    <row r="106" spans="1:6" x14ac:dyDescent="0.2">
      <c r="A106" s="115">
        <v>7</v>
      </c>
      <c r="B106" s="116" t="s">
        <v>119</v>
      </c>
      <c r="C106" s="133">
        <v>2827</v>
      </c>
      <c r="D106" s="133">
        <v>3033</v>
      </c>
      <c r="E106" s="133">
        <f t="shared" si="14"/>
        <v>206</v>
      </c>
      <c r="F106" s="114">
        <f t="shared" si="15"/>
        <v>7.286876547576937E-2</v>
      </c>
    </row>
    <row r="107" spans="1:6" x14ac:dyDescent="0.2">
      <c r="A107" s="115">
        <v>8</v>
      </c>
      <c r="B107" s="116" t="s">
        <v>120</v>
      </c>
      <c r="C107" s="133">
        <v>90</v>
      </c>
      <c r="D107" s="133">
        <v>78</v>
      </c>
      <c r="E107" s="133">
        <f t="shared" si="14"/>
        <v>-12</v>
      </c>
      <c r="F107" s="114">
        <f t="shared" si="15"/>
        <v>-0.13333333333333333</v>
      </c>
    </row>
    <row r="108" spans="1:6" x14ac:dyDescent="0.2">
      <c r="A108" s="115">
        <v>9</v>
      </c>
      <c r="B108" s="116" t="s">
        <v>121</v>
      </c>
      <c r="C108" s="133">
        <v>785</v>
      </c>
      <c r="D108" s="133">
        <v>261</v>
      </c>
      <c r="E108" s="133">
        <f t="shared" si="14"/>
        <v>-524</v>
      </c>
      <c r="F108" s="114">
        <f t="shared" si="15"/>
        <v>-0.66751592356687894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19815</v>
      </c>
      <c r="D111" s="134">
        <f>SUM(D100:D110)</f>
        <v>20657</v>
      </c>
      <c r="E111" s="134">
        <f t="shared" si="14"/>
        <v>842</v>
      </c>
      <c r="F111" s="120">
        <f t="shared" si="15"/>
        <v>4.2493060812515769E-2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41277</v>
      </c>
      <c r="D113" s="133">
        <v>37682</v>
      </c>
      <c r="E113" s="133">
        <f t="shared" ref="E113:E124" si="16">D113-C113</f>
        <v>-3595</v>
      </c>
      <c r="F113" s="114">
        <f t="shared" ref="F113:F124" si="17">IF(C113=0,0,E113/C113)</f>
        <v>-8.7094507837294374E-2</v>
      </c>
    </row>
    <row r="114" spans="1:6" x14ac:dyDescent="0.2">
      <c r="A114" s="115">
        <v>2</v>
      </c>
      <c r="B114" s="116" t="s">
        <v>114</v>
      </c>
      <c r="C114" s="133">
        <v>15618</v>
      </c>
      <c r="D114" s="133">
        <v>16792</v>
      </c>
      <c r="E114" s="133">
        <f t="shared" si="16"/>
        <v>1174</v>
      </c>
      <c r="F114" s="114">
        <f t="shared" si="17"/>
        <v>7.516967601485465E-2</v>
      </c>
    </row>
    <row r="115" spans="1:6" x14ac:dyDescent="0.2">
      <c r="A115" s="115">
        <v>3</v>
      </c>
      <c r="B115" s="116" t="s">
        <v>115</v>
      </c>
      <c r="C115" s="133">
        <v>28455</v>
      </c>
      <c r="D115" s="133">
        <v>29234</v>
      </c>
      <c r="E115" s="133">
        <f t="shared" si="16"/>
        <v>779</v>
      </c>
      <c r="F115" s="114">
        <f t="shared" si="17"/>
        <v>2.7376559479880512E-2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42</v>
      </c>
      <c r="D117" s="133">
        <v>144</v>
      </c>
      <c r="E117" s="133">
        <f t="shared" si="16"/>
        <v>102</v>
      </c>
      <c r="F117" s="114">
        <f t="shared" si="17"/>
        <v>2.4285714285714284</v>
      </c>
    </row>
    <row r="118" spans="1:6" x14ac:dyDescent="0.2">
      <c r="A118" s="115">
        <v>6</v>
      </c>
      <c r="B118" s="116" t="s">
        <v>118</v>
      </c>
      <c r="C118" s="133">
        <v>8322</v>
      </c>
      <c r="D118" s="133">
        <v>8822</v>
      </c>
      <c r="E118" s="133">
        <f t="shared" si="16"/>
        <v>500</v>
      </c>
      <c r="F118" s="114">
        <f t="shared" si="17"/>
        <v>6.0081711127132897E-2</v>
      </c>
    </row>
    <row r="119" spans="1:6" x14ac:dyDescent="0.2">
      <c r="A119" s="115">
        <v>7</v>
      </c>
      <c r="B119" s="116" t="s">
        <v>119</v>
      </c>
      <c r="C119" s="133">
        <v>12217</v>
      </c>
      <c r="D119" s="133">
        <v>11744</v>
      </c>
      <c r="E119" s="133">
        <f t="shared" si="16"/>
        <v>-473</v>
      </c>
      <c r="F119" s="114">
        <f t="shared" si="17"/>
        <v>-3.8716542522714253E-2</v>
      </c>
    </row>
    <row r="120" spans="1:6" x14ac:dyDescent="0.2">
      <c r="A120" s="115">
        <v>8</v>
      </c>
      <c r="B120" s="116" t="s">
        <v>120</v>
      </c>
      <c r="C120" s="133">
        <v>466</v>
      </c>
      <c r="D120" s="133">
        <v>293</v>
      </c>
      <c r="E120" s="133">
        <f t="shared" si="16"/>
        <v>-173</v>
      </c>
      <c r="F120" s="114">
        <f t="shared" si="17"/>
        <v>-0.37124463519313305</v>
      </c>
    </row>
    <row r="121" spans="1:6" x14ac:dyDescent="0.2">
      <c r="A121" s="115">
        <v>9</v>
      </c>
      <c r="B121" s="116" t="s">
        <v>121</v>
      </c>
      <c r="C121" s="133">
        <v>3075</v>
      </c>
      <c r="D121" s="133">
        <v>1231</v>
      </c>
      <c r="E121" s="133">
        <f t="shared" si="16"/>
        <v>-1844</v>
      </c>
      <c r="F121" s="114">
        <f t="shared" si="17"/>
        <v>-0.59967479674796753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109472</v>
      </c>
      <c r="D124" s="134">
        <f>SUM(D113:D123)</f>
        <v>105942</v>
      </c>
      <c r="E124" s="134">
        <f t="shared" si="16"/>
        <v>-3530</v>
      </c>
      <c r="F124" s="120">
        <f t="shared" si="17"/>
        <v>-3.2245688395206078E-2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43870</v>
      </c>
      <c r="D126" s="133">
        <v>45694</v>
      </c>
      <c r="E126" s="133">
        <f t="shared" ref="E126:E137" si="18">D126-C126</f>
        <v>1824</v>
      </c>
      <c r="F126" s="114">
        <f t="shared" ref="F126:F137" si="19">IF(C126=0,0,E126/C126)</f>
        <v>4.1577387736494185E-2</v>
      </c>
    </row>
    <row r="127" spans="1:6" x14ac:dyDescent="0.2">
      <c r="A127" s="115">
        <v>2</v>
      </c>
      <c r="B127" s="116" t="s">
        <v>114</v>
      </c>
      <c r="C127" s="133">
        <v>21701</v>
      </c>
      <c r="D127" s="133">
        <v>23036</v>
      </c>
      <c r="E127" s="133">
        <f t="shared" si="18"/>
        <v>1335</v>
      </c>
      <c r="F127" s="114">
        <f t="shared" si="19"/>
        <v>6.1517902400811023E-2</v>
      </c>
    </row>
    <row r="128" spans="1:6" x14ac:dyDescent="0.2">
      <c r="A128" s="115">
        <v>3</v>
      </c>
      <c r="B128" s="116" t="s">
        <v>115</v>
      </c>
      <c r="C128" s="133">
        <v>113563</v>
      </c>
      <c r="D128" s="133">
        <v>113190</v>
      </c>
      <c r="E128" s="133">
        <f t="shared" si="18"/>
        <v>-373</v>
      </c>
      <c r="F128" s="114">
        <f t="shared" si="19"/>
        <v>-3.2845204864260366E-3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345</v>
      </c>
      <c r="D130" s="133">
        <v>439</v>
      </c>
      <c r="E130" s="133">
        <f t="shared" si="18"/>
        <v>94</v>
      </c>
      <c r="F130" s="114">
        <f t="shared" si="19"/>
        <v>0.27246376811594203</v>
      </c>
    </row>
    <row r="131" spans="1:6" x14ac:dyDescent="0.2">
      <c r="A131" s="115">
        <v>6</v>
      </c>
      <c r="B131" s="116" t="s">
        <v>118</v>
      </c>
      <c r="C131" s="133">
        <v>38562</v>
      </c>
      <c r="D131" s="133">
        <v>39004</v>
      </c>
      <c r="E131" s="133">
        <f t="shared" si="18"/>
        <v>442</v>
      </c>
      <c r="F131" s="114">
        <f t="shared" si="19"/>
        <v>1.1462061096416161E-2</v>
      </c>
    </row>
    <row r="132" spans="1:6" x14ac:dyDescent="0.2">
      <c r="A132" s="115">
        <v>7</v>
      </c>
      <c r="B132" s="116" t="s">
        <v>119</v>
      </c>
      <c r="C132" s="133">
        <v>54879</v>
      </c>
      <c r="D132" s="133">
        <v>56970</v>
      </c>
      <c r="E132" s="133">
        <f t="shared" si="18"/>
        <v>2091</v>
      </c>
      <c r="F132" s="114">
        <f t="shared" si="19"/>
        <v>3.8102006231891979E-2</v>
      </c>
    </row>
    <row r="133" spans="1:6" x14ac:dyDescent="0.2">
      <c r="A133" s="115">
        <v>8</v>
      </c>
      <c r="B133" s="116" t="s">
        <v>120</v>
      </c>
      <c r="C133" s="133">
        <v>2190</v>
      </c>
      <c r="D133" s="133">
        <v>1817</v>
      </c>
      <c r="E133" s="133">
        <f t="shared" si="18"/>
        <v>-373</v>
      </c>
      <c r="F133" s="114">
        <f t="shared" si="19"/>
        <v>-0.17031963470319636</v>
      </c>
    </row>
    <row r="134" spans="1:6" x14ac:dyDescent="0.2">
      <c r="A134" s="115">
        <v>9</v>
      </c>
      <c r="B134" s="116" t="s">
        <v>121</v>
      </c>
      <c r="C134" s="133">
        <v>12967</v>
      </c>
      <c r="D134" s="133">
        <v>14175</v>
      </c>
      <c r="E134" s="133">
        <f t="shared" si="18"/>
        <v>1208</v>
      </c>
      <c r="F134" s="114">
        <f t="shared" si="19"/>
        <v>9.3159558880234444E-2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288077</v>
      </c>
      <c r="D137" s="134">
        <f>SUM(D126:D136)</f>
        <v>294325</v>
      </c>
      <c r="E137" s="134">
        <f t="shared" si="18"/>
        <v>6248</v>
      </c>
      <c r="F137" s="120">
        <f t="shared" si="19"/>
        <v>2.1688645744019828E-2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22827748</v>
      </c>
      <c r="D142" s="113">
        <v>21987909</v>
      </c>
      <c r="E142" s="113">
        <f t="shared" ref="E142:E153" si="20">D142-C142</f>
        <v>-839839</v>
      </c>
      <c r="F142" s="114">
        <f t="shared" ref="F142:F153" si="21">IF(C142=0,0,E142/C142)</f>
        <v>-3.6790269456277509E-2</v>
      </c>
    </row>
    <row r="143" spans="1:6" x14ac:dyDescent="0.2">
      <c r="A143" s="115">
        <v>2</v>
      </c>
      <c r="B143" s="116" t="s">
        <v>114</v>
      </c>
      <c r="C143" s="113">
        <v>10992157</v>
      </c>
      <c r="D143" s="113">
        <v>10513620</v>
      </c>
      <c r="E143" s="113">
        <f t="shared" si="20"/>
        <v>-478537</v>
      </c>
      <c r="F143" s="114">
        <f t="shared" si="21"/>
        <v>-4.3534403666177619E-2</v>
      </c>
    </row>
    <row r="144" spans="1:6" x14ac:dyDescent="0.2">
      <c r="A144" s="115">
        <v>3</v>
      </c>
      <c r="B144" s="116" t="s">
        <v>115</v>
      </c>
      <c r="C144" s="113">
        <v>120439985</v>
      </c>
      <c r="D144" s="113">
        <v>116611292</v>
      </c>
      <c r="E144" s="113">
        <f t="shared" si="20"/>
        <v>-3828693</v>
      </c>
      <c r="F144" s="114">
        <f t="shared" si="21"/>
        <v>-3.1789218505797724E-2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279649</v>
      </c>
      <c r="D146" s="113">
        <v>334699</v>
      </c>
      <c r="E146" s="113">
        <f t="shared" si="20"/>
        <v>55050</v>
      </c>
      <c r="F146" s="114">
        <f t="shared" si="21"/>
        <v>0.19685391329845628</v>
      </c>
    </row>
    <row r="147" spans="1:6" x14ac:dyDescent="0.2">
      <c r="A147" s="115">
        <v>6</v>
      </c>
      <c r="B147" s="116" t="s">
        <v>118</v>
      </c>
      <c r="C147" s="113">
        <v>22751435</v>
      </c>
      <c r="D147" s="113">
        <v>21541113</v>
      </c>
      <c r="E147" s="113">
        <f t="shared" si="20"/>
        <v>-1210322</v>
      </c>
      <c r="F147" s="114">
        <f t="shared" si="21"/>
        <v>-5.3197611491319116E-2</v>
      </c>
    </row>
    <row r="148" spans="1:6" x14ac:dyDescent="0.2">
      <c r="A148" s="115">
        <v>7</v>
      </c>
      <c r="B148" s="116" t="s">
        <v>119</v>
      </c>
      <c r="C148" s="113">
        <v>29609688</v>
      </c>
      <c r="D148" s="113">
        <v>30442866</v>
      </c>
      <c r="E148" s="113">
        <f t="shared" si="20"/>
        <v>833178</v>
      </c>
      <c r="F148" s="114">
        <f t="shared" si="21"/>
        <v>2.8138695686357788E-2</v>
      </c>
    </row>
    <row r="149" spans="1:6" x14ac:dyDescent="0.2">
      <c r="A149" s="115">
        <v>8</v>
      </c>
      <c r="B149" s="116" t="s">
        <v>120</v>
      </c>
      <c r="C149" s="113">
        <v>2007781</v>
      </c>
      <c r="D149" s="113">
        <v>1950701</v>
      </c>
      <c r="E149" s="113">
        <f t="shared" si="20"/>
        <v>-57080</v>
      </c>
      <c r="F149" s="114">
        <f t="shared" si="21"/>
        <v>-2.8429395437052148E-2</v>
      </c>
    </row>
    <row r="150" spans="1:6" x14ac:dyDescent="0.2">
      <c r="A150" s="115">
        <v>9</v>
      </c>
      <c r="B150" s="116" t="s">
        <v>121</v>
      </c>
      <c r="C150" s="113">
        <v>14490390</v>
      </c>
      <c r="D150" s="113">
        <v>15686604</v>
      </c>
      <c r="E150" s="113">
        <f t="shared" si="20"/>
        <v>1196214</v>
      </c>
      <c r="F150" s="114">
        <f t="shared" si="21"/>
        <v>8.2552229443099881E-2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223398833</v>
      </c>
      <c r="D153" s="119">
        <f>SUM(D142:D152)</f>
        <v>219068804</v>
      </c>
      <c r="E153" s="119">
        <f t="shared" si="20"/>
        <v>-4330029</v>
      </c>
      <c r="F153" s="120">
        <f t="shared" si="21"/>
        <v>-1.9382505010668519E-2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3325148</v>
      </c>
      <c r="D155" s="113">
        <v>3227398</v>
      </c>
      <c r="E155" s="113">
        <f t="shared" ref="E155:E166" si="22">D155-C155</f>
        <v>-97750</v>
      </c>
      <c r="F155" s="114">
        <f t="shared" ref="F155:F166" si="23">IF(C155=0,0,E155/C155)</f>
        <v>-2.9397187734200102E-2</v>
      </c>
    </row>
    <row r="156" spans="1:6" x14ac:dyDescent="0.2">
      <c r="A156" s="115">
        <v>2</v>
      </c>
      <c r="B156" s="116" t="s">
        <v>114</v>
      </c>
      <c r="C156" s="113">
        <v>1436701</v>
      </c>
      <c r="D156" s="113">
        <v>1407975</v>
      </c>
      <c r="E156" s="113">
        <f t="shared" si="22"/>
        <v>-28726</v>
      </c>
      <c r="F156" s="114">
        <f t="shared" si="23"/>
        <v>-1.999441776681439E-2</v>
      </c>
    </row>
    <row r="157" spans="1:6" x14ac:dyDescent="0.2">
      <c r="A157" s="115">
        <v>3</v>
      </c>
      <c r="B157" s="116" t="s">
        <v>115</v>
      </c>
      <c r="C157" s="113">
        <v>13391932</v>
      </c>
      <c r="D157" s="113">
        <v>13736595</v>
      </c>
      <c r="E157" s="113">
        <f t="shared" si="22"/>
        <v>344663</v>
      </c>
      <c r="F157" s="114">
        <f t="shared" si="23"/>
        <v>2.5736615150076927E-2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53649</v>
      </c>
      <c r="D159" s="113">
        <v>42041</v>
      </c>
      <c r="E159" s="113">
        <f t="shared" si="22"/>
        <v>-11608</v>
      </c>
      <c r="F159" s="114">
        <f t="shared" si="23"/>
        <v>-0.21636936382784394</v>
      </c>
    </row>
    <row r="160" spans="1:6" x14ac:dyDescent="0.2">
      <c r="A160" s="115">
        <v>6</v>
      </c>
      <c r="B160" s="116" t="s">
        <v>118</v>
      </c>
      <c r="C160" s="113">
        <v>8535883</v>
      </c>
      <c r="D160" s="113">
        <v>7902037</v>
      </c>
      <c r="E160" s="113">
        <f t="shared" si="22"/>
        <v>-633846</v>
      </c>
      <c r="F160" s="114">
        <f t="shared" si="23"/>
        <v>-7.4256641052835429E-2</v>
      </c>
    </row>
    <row r="161" spans="1:6" x14ac:dyDescent="0.2">
      <c r="A161" s="115">
        <v>7</v>
      </c>
      <c r="B161" s="116" t="s">
        <v>119</v>
      </c>
      <c r="C161" s="113">
        <v>9468979</v>
      </c>
      <c r="D161" s="113">
        <v>10409412</v>
      </c>
      <c r="E161" s="113">
        <f t="shared" si="22"/>
        <v>940433</v>
      </c>
      <c r="F161" s="114">
        <f t="shared" si="23"/>
        <v>9.9317254795897217E-2</v>
      </c>
    </row>
    <row r="162" spans="1:6" x14ac:dyDescent="0.2">
      <c r="A162" s="115">
        <v>8</v>
      </c>
      <c r="B162" s="116" t="s">
        <v>120</v>
      </c>
      <c r="C162" s="113">
        <v>792584</v>
      </c>
      <c r="D162" s="113">
        <v>530488</v>
      </c>
      <c r="E162" s="113">
        <f t="shared" si="22"/>
        <v>-262096</v>
      </c>
      <c r="F162" s="114">
        <f t="shared" si="23"/>
        <v>-0.33068545416006379</v>
      </c>
    </row>
    <row r="163" spans="1:6" x14ac:dyDescent="0.2">
      <c r="A163" s="115">
        <v>9</v>
      </c>
      <c r="B163" s="116" t="s">
        <v>121</v>
      </c>
      <c r="C163" s="113">
        <v>3947603</v>
      </c>
      <c r="D163" s="113">
        <v>3050367</v>
      </c>
      <c r="E163" s="113">
        <f t="shared" si="22"/>
        <v>-897236</v>
      </c>
      <c r="F163" s="114">
        <f t="shared" si="23"/>
        <v>-0.22728627980067906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40952479</v>
      </c>
      <c r="D166" s="119">
        <f>SUM(D155:D165)</f>
        <v>40306313</v>
      </c>
      <c r="E166" s="119">
        <f t="shared" si="22"/>
        <v>-646166</v>
      </c>
      <c r="F166" s="120">
        <f t="shared" si="23"/>
        <v>-1.5778434316515981E-2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5750</v>
      </c>
      <c r="D168" s="133">
        <v>5740</v>
      </c>
      <c r="E168" s="133">
        <f t="shared" ref="E168:E179" si="24">D168-C168</f>
        <v>-10</v>
      </c>
      <c r="F168" s="114">
        <f t="shared" ref="F168:F179" si="25">IF(C168=0,0,E168/C168)</f>
        <v>-1.7391304347826088E-3</v>
      </c>
    </row>
    <row r="169" spans="1:6" x14ac:dyDescent="0.2">
      <c r="A169" s="115">
        <v>2</v>
      </c>
      <c r="B169" s="116" t="s">
        <v>114</v>
      </c>
      <c r="C169" s="133">
        <v>2802</v>
      </c>
      <c r="D169" s="133">
        <v>2745</v>
      </c>
      <c r="E169" s="133">
        <f t="shared" si="24"/>
        <v>-57</v>
      </c>
      <c r="F169" s="114">
        <f t="shared" si="25"/>
        <v>-2.0342612419700215E-2</v>
      </c>
    </row>
    <row r="170" spans="1:6" x14ac:dyDescent="0.2">
      <c r="A170" s="115">
        <v>3</v>
      </c>
      <c r="B170" s="116" t="s">
        <v>115</v>
      </c>
      <c r="C170" s="133">
        <v>45211</v>
      </c>
      <c r="D170" s="133">
        <v>43919</v>
      </c>
      <c r="E170" s="133">
        <f t="shared" si="24"/>
        <v>-1292</v>
      </c>
      <c r="F170" s="114">
        <f t="shared" si="25"/>
        <v>-2.8577116188538188E-2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121</v>
      </c>
      <c r="D172" s="133">
        <v>147</v>
      </c>
      <c r="E172" s="133">
        <f t="shared" si="24"/>
        <v>26</v>
      </c>
      <c r="F172" s="114">
        <f t="shared" si="25"/>
        <v>0.21487603305785125</v>
      </c>
    </row>
    <row r="173" spans="1:6" x14ac:dyDescent="0.2">
      <c r="A173" s="115">
        <v>6</v>
      </c>
      <c r="B173" s="116" t="s">
        <v>118</v>
      </c>
      <c r="C173" s="133">
        <v>7050</v>
      </c>
      <c r="D173" s="133">
        <v>6719</v>
      </c>
      <c r="E173" s="133">
        <f t="shared" si="24"/>
        <v>-331</v>
      </c>
      <c r="F173" s="114">
        <f t="shared" si="25"/>
        <v>-4.6950354609929079E-2</v>
      </c>
    </row>
    <row r="174" spans="1:6" x14ac:dyDescent="0.2">
      <c r="A174" s="115">
        <v>7</v>
      </c>
      <c r="B174" s="116" t="s">
        <v>119</v>
      </c>
      <c r="C174" s="133">
        <v>9111</v>
      </c>
      <c r="D174" s="133">
        <v>9522</v>
      </c>
      <c r="E174" s="133">
        <f t="shared" si="24"/>
        <v>411</v>
      </c>
      <c r="F174" s="114">
        <f t="shared" si="25"/>
        <v>4.5110306223246625E-2</v>
      </c>
    </row>
    <row r="175" spans="1:6" x14ac:dyDescent="0.2">
      <c r="A175" s="115">
        <v>8</v>
      </c>
      <c r="B175" s="116" t="s">
        <v>120</v>
      </c>
      <c r="C175" s="133">
        <v>703</v>
      </c>
      <c r="D175" s="133">
        <v>709</v>
      </c>
      <c r="E175" s="133">
        <f t="shared" si="24"/>
        <v>6</v>
      </c>
      <c r="F175" s="114">
        <f t="shared" si="25"/>
        <v>8.5348506401137988E-3</v>
      </c>
    </row>
    <row r="176" spans="1:6" x14ac:dyDescent="0.2">
      <c r="A176" s="115">
        <v>9</v>
      </c>
      <c r="B176" s="116" t="s">
        <v>121</v>
      </c>
      <c r="C176" s="133">
        <v>5526</v>
      </c>
      <c r="D176" s="133">
        <v>6069</v>
      </c>
      <c r="E176" s="133">
        <f t="shared" si="24"/>
        <v>543</v>
      </c>
      <c r="F176" s="114">
        <f t="shared" si="25"/>
        <v>9.8262757871878395E-2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76274</v>
      </c>
      <c r="D179" s="134">
        <f>SUM(D168:D178)</f>
        <v>75570</v>
      </c>
      <c r="E179" s="134">
        <f t="shared" si="24"/>
        <v>-704</v>
      </c>
      <c r="F179" s="120">
        <f t="shared" si="25"/>
        <v>-9.229881742140178E-3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FILING&amp;RBRIDGEPORT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58048061</v>
      </c>
      <c r="D15" s="157">
        <v>59163449</v>
      </c>
      <c r="E15" s="157">
        <f>+D15-C15</f>
        <v>1115388</v>
      </c>
      <c r="F15" s="161">
        <f>IF(C15=0,0,E15/C15)</f>
        <v>1.9214905386762186E-2</v>
      </c>
    </row>
    <row r="16" spans="1:6" ht="15" customHeight="1" x14ac:dyDescent="0.2">
      <c r="A16" s="147">
        <v>2</v>
      </c>
      <c r="B16" s="160" t="s">
        <v>157</v>
      </c>
      <c r="C16" s="157">
        <v>14415875</v>
      </c>
      <c r="D16" s="157">
        <v>15535039</v>
      </c>
      <c r="E16" s="157">
        <f>+D16-C16</f>
        <v>1119164</v>
      </c>
      <c r="F16" s="161">
        <f>IF(C16=0,0,E16/C16)</f>
        <v>7.7634135978565291E-2</v>
      </c>
    </row>
    <row r="17" spans="1:6" ht="15" customHeight="1" x14ac:dyDescent="0.2">
      <c r="A17" s="147">
        <v>3</v>
      </c>
      <c r="B17" s="160" t="s">
        <v>158</v>
      </c>
      <c r="C17" s="157">
        <v>84157064</v>
      </c>
      <c r="D17" s="157">
        <v>83955512</v>
      </c>
      <c r="E17" s="157">
        <f>+D17-C17</f>
        <v>-201552</v>
      </c>
      <c r="F17" s="161">
        <f>IF(C17=0,0,E17/C17)</f>
        <v>-2.394950470230283E-3</v>
      </c>
    </row>
    <row r="18" spans="1:6" ht="15.75" customHeight="1" x14ac:dyDescent="0.25">
      <c r="A18" s="147"/>
      <c r="B18" s="162" t="s">
        <v>159</v>
      </c>
      <c r="C18" s="158">
        <f>SUM(C15:C17)</f>
        <v>156621000</v>
      </c>
      <c r="D18" s="158">
        <f>SUM(D15:D17)</f>
        <v>158654000</v>
      </c>
      <c r="E18" s="158">
        <f>+D18-C18</f>
        <v>2033000</v>
      </c>
      <c r="F18" s="159">
        <f>IF(C18=0,0,E18/C18)</f>
        <v>1.2980379387183072E-2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15773784</v>
      </c>
      <c r="D21" s="157">
        <v>14121639</v>
      </c>
      <c r="E21" s="157">
        <f>+D21-C21</f>
        <v>-1652145</v>
      </c>
      <c r="F21" s="161">
        <f>IF(C21=0,0,E21/C21)</f>
        <v>-0.10473992797162684</v>
      </c>
    </row>
    <row r="22" spans="1:6" ht="15" customHeight="1" x14ac:dyDescent="0.2">
      <c r="A22" s="147">
        <v>2</v>
      </c>
      <c r="B22" s="160" t="s">
        <v>162</v>
      </c>
      <c r="C22" s="157">
        <v>2895000</v>
      </c>
      <c r="D22" s="157">
        <v>2621112</v>
      </c>
      <c r="E22" s="157">
        <f>+D22-C22</f>
        <v>-273888</v>
      </c>
      <c r="F22" s="161">
        <f>IF(C22=0,0,E22/C22)</f>
        <v>-9.4607253886010365E-2</v>
      </c>
    </row>
    <row r="23" spans="1:6" ht="15" customHeight="1" x14ac:dyDescent="0.2">
      <c r="A23" s="147">
        <v>3</v>
      </c>
      <c r="B23" s="160" t="s">
        <v>163</v>
      </c>
      <c r="C23" s="157">
        <v>31916216</v>
      </c>
      <c r="D23" s="157">
        <v>28558249</v>
      </c>
      <c r="E23" s="157">
        <f>+D23-C23</f>
        <v>-3357967</v>
      </c>
      <c r="F23" s="161">
        <f>IF(C23=0,0,E23/C23)</f>
        <v>-0.10521193991167374</v>
      </c>
    </row>
    <row r="24" spans="1:6" ht="15.75" customHeight="1" x14ac:dyDescent="0.25">
      <c r="A24" s="147"/>
      <c r="B24" s="162" t="s">
        <v>164</v>
      </c>
      <c r="C24" s="158">
        <f>SUM(C21:C23)</f>
        <v>50585000</v>
      </c>
      <c r="D24" s="158">
        <f>SUM(D21:D23)</f>
        <v>45301000</v>
      </c>
      <c r="E24" s="158">
        <f>+D24-C24</f>
        <v>-5284000</v>
      </c>
      <c r="F24" s="159">
        <f>IF(C24=0,0,E24/C24)</f>
        <v>-0.10445784323416032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1877442</v>
      </c>
      <c r="D27" s="157">
        <v>1877442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27676000</v>
      </c>
      <c r="D28" s="157">
        <v>34941000</v>
      </c>
      <c r="E28" s="157">
        <f>+D28-C28</f>
        <v>7265000</v>
      </c>
      <c r="F28" s="161">
        <f>IF(C28=0,0,E28/C28)</f>
        <v>0.26250180661945366</v>
      </c>
    </row>
    <row r="29" spans="1:6" ht="15" customHeight="1" x14ac:dyDescent="0.2">
      <c r="A29" s="147">
        <v>3</v>
      </c>
      <c r="B29" s="160" t="s">
        <v>168</v>
      </c>
      <c r="C29" s="157">
        <v>49765859</v>
      </c>
      <c r="D29" s="157">
        <v>49765859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79319301</v>
      </c>
      <c r="D30" s="158">
        <f>SUM(D27:D29)</f>
        <v>86584301</v>
      </c>
      <c r="E30" s="158">
        <f>+D30-C30</f>
        <v>7265000</v>
      </c>
      <c r="F30" s="159">
        <f>IF(C30=0,0,E30/C30)</f>
        <v>9.1591830845811406E-2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40470000</v>
      </c>
      <c r="D33" s="157">
        <v>44379000</v>
      </c>
      <c r="E33" s="157">
        <f>+D33-C33</f>
        <v>3909000</v>
      </c>
      <c r="F33" s="161">
        <f>IF(C33=0,0,E33/C33)</f>
        <v>9.6590066716085984E-2</v>
      </c>
    </row>
    <row r="34" spans="1:6" ht="15" customHeight="1" x14ac:dyDescent="0.2">
      <c r="A34" s="147">
        <v>2</v>
      </c>
      <c r="B34" s="160" t="s">
        <v>173</v>
      </c>
      <c r="C34" s="157">
        <v>12094000</v>
      </c>
      <c r="D34" s="157">
        <v>15017000</v>
      </c>
      <c r="E34" s="157">
        <f>+D34-C34</f>
        <v>2923000</v>
      </c>
      <c r="F34" s="161">
        <f>IF(C34=0,0,E34/C34)</f>
        <v>0.24169009426161733</v>
      </c>
    </row>
    <row r="35" spans="1:6" ht="15.75" customHeight="1" x14ac:dyDescent="0.25">
      <c r="A35" s="147"/>
      <c r="B35" s="162" t="s">
        <v>174</v>
      </c>
      <c r="C35" s="158">
        <f>SUM(C33:C34)</f>
        <v>52564000</v>
      </c>
      <c r="D35" s="158">
        <f>SUM(D33:D34)</f>
        <v>59396000</v>
      </c>
      <c r="E35" s="158">
        <f>+D35-C35</f>
        <v>6832000</v>
      </c>
      <c r="F35" s="159">
        <f>IF(C35=0,0,E35/C35)</f>
        <v>0.12997488775587854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16206000</v>
      </c>
      <c r="D38" s="157">
        <v>16880000</v>
      </c>
      <c r="E38" s="157">
        <f>+D38-C38</f>
        <v>674000</v>
      </c>
      <c r="F38" s="161">
        <f>IF(C38=0,0,E38/C38)</f>
        <v>4.1589534740219675E-2</v>
      </c>
    </row>
    <row r="39" spans="1:6" ht="15" customHeight="1" x14ac:dyDescent="0.2">
      <c r="A39" s="147">
        <v>2</v>
      </c>
      <c r="B39" s="160" t="s">
        <v>178</v>
      </c>
      <c r="C39" s="157">
        <v>14942000</v>
      </c>
      <c r="D39" s="157">
        <v>15564000</v>
      </c>
      <c r="E39" s="157">
        <f>+D39-C39</f>
        <v>622000</v>
      </c>
      <c r="F39" s="161">
        <f>IF(C39=0,0,E39/C39)</f>
        <v>4.1627626823718379E-2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31148000</v>
      </c>
      <c r="D41" s="158">
        <f>SUM(D38:D40)</f>
        <v>32444000</v>
      </c>
      <c r="E41" s="158">
        <f>+D41-C41</f>
        <v>1296000</v>
      </c>
      <c r="F41" s="159">
        <f>IF(C41=0,0,E41/C41)</f>
        <v>4.1607807884936433E-2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3048000</v>
      </c>
      <c r="D47" s="157">
        <v>5480000</v>
      </c>
      <c r="E47" s="157">
        <f>+D47-C47</f>
        <v>2432000</v>
      </c>
      <c r="F47" s="161">
        <f>IF(C47=0,0,E47/C47)</f>
        <v>0.79790026246719159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6225000</v>
      </c>
      <c r="D50" s="157">
        <v>7861000</v>
      </c>
      <c r="E50" s="157">
        <f>+D50-C50</f>
        <v>1636000</v>
      </c>
      <c r="F50" s="161">
        <f>IF(C50=0,0,E50/C50)</f>
        <v>0.2628112449799197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426410</v>
      </c>
      <c r="D53" s="157">
        <v>401138</v>
      </c>
      <c r="E53" s="157">
        <f t="shared" ref="E53:E59" si="0">+D53-C53</f>
        <v>-25272</v>
      </c>
      <c r="F53" s="161">
        <f t="shared" ref="F53:F59" si="1">IF(C53=0,0,E53/C53)</f>
        <v>-5.926690274618325E-2</v>
      </c>
    </row>
    <row r="54" spans="1:6" ht="15" customHeight="1" x14ac:dyDescent="0.2">
      <c r="A54" s="147">
        <v>2</v>
      </c>
      <c r="B54" s="160" t="s">
        <v>189</v>
      </c>
      <c r="C54" s="157">
        <v>798743</v>
      </c>
      <c r="D54" s="157">
        <v>929820</v>
      </c>
      <c r="E54" s="157">
        <f t="shared" si="0"/>
        <v>131077</v>
      </c>
      <c r="F54" s="161">
        <f t="shared" si="1"/>
        <v>0.16410409856487004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4025277</v>
      </c>
      <c r="D56" s="157">
        <v>3501189</v>
      </c>
      <c r="E56" s="157">
        <f t="shared" si="0"/>
        <v>-524088</v>
      </c>
      <c r="F56" s="161">
        <f t="shared" si="1"/>
        <v>-0.13019923846234682</v>
      </c>
    </row>
    <row r="57" spans="1:6" ht="15" customHeight="1" x14ac:dyDescent="0.2">
      <c r="A57" s="147">
        <v>5</v>
      </c>
      <c r="B57" s="160" t="s">
        <v>192</v>
      </c>
      <c r="C57" s="157">
        <v>62410</v>
      </c>
      <c r="D57" s="157">
        <v>116899</v>
      </c>
      <c r="E57" s="157">
        <f t="shared" si="0"/>
        <v>54489</v>
      </c>
      <c r="F57" s="161">
        <f t="shared" si="1"/>
        <v>0.87308123698125295</v>
      </c>
    </row>
    <row r="58" spans="1:6" ht="15" customHeight="1" x14ac:dyDescent="0.2">
      <c r="A58" s="147">
        <v>6</v>
      </c>
      <c r="B58" s="160" t="s">
        <v>193</v>
      </c>
      <c r="C58" s="157">
        <v>262</v>
      </c>
      <c r="D58" s="157">
        <v>32793</v>
      </c>
      <c r="E58" s="157">
        <f t="shared" si="0"/>
        <v>32531</v>
      </c>
      <c r="F58" s="161">
        <f t="shared" si="1"/>
        <v>124.16412213740458</v>
      </c>
    </row>
    <row r="59" spans="1:6" ht="15.75" customHeight="1" x14ac:dyDescent="0.25">
      <c r="A59" s="147"/>
      <c r="B59" s="162" t="s">
        <v>194</v>
      </c>
      <c r="C59" s="158">
        <f>SUM(C53:C58)</f>
        <v>5313102</v>
      </c>
      <c r="D59" s="158">
        <f>SUM(D53:D58)</f>
        <v>4981839</v>
      </c>
      <c r="E59" s="158">
        <f t="shared" si="0"/>
        <v>-331263</v>
      </c>
      <c r="F59" s="159">
        <f t="shared" si="1"/>
        <v>-6.234832307002576E-2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408000</v>
      </c>
      <c r="D62" s="157">
        <v>68115</v>
      </c>
      <c r="E62" s="157">
        <f t="shared" ref="E62:E90" si="2">+D62-C62</f>
        <v>-339885</v>
      </c>
      <c r="F62" s="161">
        <f t="shared" ref="F62:F90" si="3">IF(C62=0,0,E62/C62)</f>
        <v>-0.83305147058823525</v>
      </c>
    </row>
    <row r="63" spans="1:6" ht="15" customHeight="1" x14ac:dyDescent="0.2">
      <c r="A63" s="147">
        <v>2</v>
      </c>
      <c r="B63" s="160" t="s">
        <v>198</v>
      </c>
      <c r="C63" s="157">
        <v>148411</v>
      </c>
      <c r="D63" s="157">
        <v>84948</v>
      </c>
      <c r="E63" s="157">
        <f t="shared" si="2"/>
        <v>-63463</v>
      </c>
      <c r="F63" s="161">
        <f t="shared" si="3"/>
        <v>-0.427616551333796</v>
      </c>
    </row>
    <row r="64" spans="1:6" ht="15" customHeight="1" x14ac:dyDescent="0.2">
      <c r="A64" s="147">
        <v>3</v>
      </c>
      <c r="B64" s="160" t="s">
        <v>199</v>
      </c>
      <c r="C64" s="157">
        <v>633481</v>
      </c>
      <c r="D64" s="157">
        <v>500330</v>
      </c>
      <c r="E64" s="157">
        <f t="shared" si="2"/>
        <v>-133151</v>
      </c>
      <c r="F64" s="161">
        <f t="shared" si="3"/>
        <v>-0.21018941373142999</v>
      </c>
    </row>
    <row r="65" spans="1:6" ht="15" customHeight="1" x14ac:dyDescent="0.2">
      <c r="A65" s="147">
        <v>4</v>
      </c>
      <c r="B65" s="160" t="s">
        <v>200</v>
      </c>
      <c r="C65" s="157">
        <v>762801</v>
      </c>
      <c r="D65" s="157">
        <v>891205</v>
      </c>
      <c r="E65" s="157">
        <f t="shared" si="2"/>
        <v>128404</v>
      </c>
      <c r="F65" s="161">
        <f t="shared" si="3"/>
        <v>0.16833223868348363</v>
      </c>
    </row>
    <row r="66" spans="1:6" ht="15" customHeight="1" x14ac:dyDescent="0.2">
      <c r="A66" s="147">
        <v>5</v>
      </c>
      <c r="B66" s="160" t="s">
        <v>201</v>
      </c>
      <c r="C66" s="157">
        <v>14442</v>
      </c>
      <c r="D66" s="157">
        <v>10561</v>
      </c>
      <c r="E66" s="157">
        <f t="shared" si="2"/>
        <v>-3881</v>
      </c>
      <c r="F66" s="161">
        <f t="shared" si="3"/>
        <v>-0.26873009278493282</v>
      </c>
    </row>
    <row r="67" spans="1:6" ht="15" customHeight="1" x14ac:dyDescent="0.2">
      <c r="A67" s="147">
        <v>6</v>
      </c>
      <c r="B67" s="160" t="s">
        <v>202</v>
      </c>
      <c r="C67" s="157">
        <v>3722969</v>
      </c>
      <c r="D67" s="157">
        <v>3902184</v>
      </c>
      <c r="E67" s="157">
        <f t="shared" si="2"/>
        <v>179215</v>
      </c>
      <c r="F67" s="161">
        <f t="shared" si="3"/>
        <v>4.8137655725846766E-2</v>
      </c>
    </row>
    <row r="68" spans="1:6" ht="15" customHeight="1" x14ac:dyDescent="0.2">
      <c r="A68" s="147">
        <v>7</v>
      </c>
      <c r="B68" s="160" t="s">
        <v>203</v>
      </c>
      <c r="C68" s="157">
        <v>10150275</v>
      </c>
      <c r="D68" s="157">
        <v>4366002</v>
      </c>
      <c r="E68" s="157">
        <f t="shared" si="2"/>
        <v>-5784273</v>
      </c>
      <c r="F68" s="161">
        <f t="shared" si="3"/>
        <v>-0.56986367364431012</v>
      </c>
    </row>
    <row r="69" spans="1:6" ht="15" customHeight="1" x14ac:dyDescent="0.2">
      <c r="A69" s="147">
        <v>8</v>
      </c>
      <c r="B69" s="160" t="s">
        <v>204</v>
      </c>
      <c r="C69" s="157">
        <v>631621</v>
      </c>
      <c r="D69" s="157">
        <v>668311</v>
      </c>
      <c r="E69" s="157">
        <f t="shared" si="2"/>
        <v>36690</v>
      </c>
      <c r="F69" s="161">
        <f t="shared" si="3"/>
        <v>5.8088632265235009E-2</v>
      </c>
    </row>
    <row r="70" spans="1:6" ht="15" customHeight="1" x14ac:dyDescent="0.2">
      <c r="A70" s="147">
        <v>9</v>
      </c>
      <c r="B70" s="160" t="s">
        <v>205</v>
      </c>
      <c r="C70" s="157">
        <v>676834</v>
      </c>
      <c r="D70" s="157">
        <v>603751</v>
      </c>
      <c r="E70" s="157">
        <f t="shared" si="2"/>
        <v>-73083</v>
      </c>
      <c r="F70" s="161">
        <f t="shared" si="3"/>
        <v>-0.10797773161513753</v>
      </c>
    </row>
    <row r="71" spans="1:6" ht="15" customHeight="1" x14ac:dyDescent="0.2">
      <c r="A71" s="147">
        <v>10</v>
      </c>
      <c r="B71" s="160" t="s">
        <v>206</v>
      </c>
      <c r="C71" s="157">
        <v>5740</v>
      </c>
      <c r="D71" s="157">
        <v>8258</v>
      </c>
      <c r="E71" s="157">
        <f t="shared" si="2"/>
        <v>2518</v>
      </c>
      <c r="F71" s="161">
        <f t="shared" si="3"/>
        <v>0.4386759581881533</v>
      </c>
    </row>
    <row r="72" spans="1:6" ht="15" customHeight="1" x14ac:dyDescent="0.2">
      <c r="A72" s="147">
        <v>11</v>
      </c>
      <c r="B72" s="160" t="s">
        <v>207</v>
      </c>
      <c r="C72" s="157">
        <v>443411</v>
      </c>
      <c r="D72" s="157">
        <v>1728045</v>
      </c>
      <c r="E72" s="157">
        <f t="shared" si="2"/>
        <v>1284634</v>
      </c>
      <c r="F72" s="161">
        <f t="shared" si="3"/>
        <v>2.8971631285646953</v>
      </c>
    </row>
    <row r="73" spans="1:6" ht="15" customHeight="1" x14ac:dyDescent="0.2">
      <c r="A73" s="147">
        <v>12</v>
      </c>
      <c r="B73" s="160" t="s">
        <v>208</v>
      </c>
      <c r="C73" s="157">
        <v>5499527</v>
      </c>
      <c r="D73" s="157">
        <v>5541201</v>
      </c>
      <c r="E73" s="157">
        <f t="shared" si="2"/>
        <v>41674</v>
      </c>
      <c r="F73" s="161">
        <f t="shared" si="3"/>
        <v>7.5777425949540749E-3</v>
      </c>
    </row>
    <row r="74" spans="1:6" ht="15" customHeight="1" x14ac:dyDescent="0.2">
      <c r="A74" s="147">
        <v>13</v>
      </c>
      <c r="B74" s="160" t="s">
        <v>209</v>
      </c>
      <c r="C74" s="157">
        <v>484662</v>
      </c>
      <c r="D74" s="157">
        <v>532429</v>
      </c>
      <c r="E74" s="157">
        <f t="shared" si="2"/>
        <v>47767</v>
      </c>
      <c r="F74" s="161">
        <f t="shared" si="3"/>
        <v>9.8557345118866338E-2</v>
      </c>
    </row>
    <row r="75" spans="1:6" ht="15" customHeight="1" x14ac:dyDescent="0.2">
      <c r="A75" s="147">
        <v>14</v>
      </c>
      <c r="B75" s="160" t="s">
        <v>210</v>
      </c>
      <c r="C75" s="157">
        <v>407476</v>
      </c>
      <c r="D75" s="157">
        <v>328273</v>
      </c>
      <c r="E75" s="157">
        <f t="shared" si="2"/>
        <v>-79203</v>
      </c>
      <c r="F75" s="161">
        <f t="shared" si="3"/>
        <v>-0.19437463801549049</v>
      </c>
    </row>
    <row r="76" spans="1:6" ht="15" customHeight="1" x14ac:dyDescent="0.2">
      <c r="A76" s="147">
        <v>15</v>
      </c>
      <c r="B76" s="160" t="s">
        <v>211</v>
      </c>
      <c r="C76" s="157">
        <v>0</v>
      </c>
      <c r="D76" s="157">
        <v>0</v>
      </c>
      <c r="E76" s="157">
        <f t="shared" si="2"/>
        <v>0</v>
      </c>
      <c r="F76" s="161">
        <f t="shared" si="3"/>
        <v>0</v>
      </c>
    </row>
    <row r="77" spans="1:6" ht="15" customHeight="1" x14ac:dyDescent="0.2">
      <c r="A77" s="147">
        <v>16</v>
      </c>
      <c r="B77" s="160" t="s">
        <v>212</v>
      </c>
      <c r="C77" s="157">
        <v>5461092</v>
      </c>
      <c r="D77" s="157">
        <v>5753914</v>
      </c>
      <c r="E77" s="157">
        <f t="shared" si="2"/>
        <v>292822</v>
      </c>
      <c r="F77" s="161">
        <f t="shared" si="3"/>
        <v>5.3619678994604007E-2</v>
      </c>
    </row>
    <row r="78" spans="1:6" ht="15" customHeight="1" x14ac:dyDescent="0.2">
      <c r="A78" s="147">
        <v>17</v>
      </c>
      <c r="B78" s="160" t="s">
        <v>213</v>
      </c>
      <c r="C78" s="157">
        <v>179524</v>
      </c>
      <c r="D78" s="157">
        <v>133545</v>
      </c>
      <c r="E78" s="157">
        <f t="shared" si="2"/>
        <v>-45979</v>
      </c>
      <c r="F78" s="161">
        <f t="shared" si="3"/>
        <v>-0.25611617388204361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616851</v>
      </c>
      <c r="D80" s="157">
        <v>623312</v>
      </c>
      <c r="E80" s="157">
        <f t="shared" si="2"/>
        <v>6461</v>
      </c>
      <c r="F80" s="161">
        <f t="shared" si="3"/>
        <v>1.0474166370809158E-2</v>
      </c>
    </row>
    <row r="81" spans="1:6" ht="15" customHeight="1" x14ac:dyDescent="0.2">
      <c r="A81" s="147">
        <v>20</v>
      </c>
      <c r="B81" s="160" t="s">
        <v>216</v>
      </c>
      <c r="C81" s="157">
        <v>1245850</v>
      </c>
      <c r="D81" s="157">
        <v>1606410</v>
      </c>
      <c r="E81" s="157">
        <f t="shared" si="2"/>
        <v>360560</v>
      </c>
      <c r="F81" s="161">
        <f t="shared" si="3"/>
        <v>0.28940883733996869</v>
      </c>
    </row>
    <row r="82" spans="1:6" ht="15" customHeight="1" x14ac:dyDescent="0.2">
      <c r="A82" s="147">
        <v>21</v>
      </c>
      <c r="B82" s="160" t="s">
        <v>217</v>
      </c>
      <c r="C82" s="157">
        <v>473989</v>
      </c>
      <c r="D82" s="157">
        <v>489006</v>
      </c>
      <c r="E82" s="157">
        <f t="shared" si="2"/>
        <v>15017</v>
      </c>
      <c r="F82" s="161">
        <f t="shared" si="3"/>
        <v>3.1682169839384461E-2</v>
      </c>
    </row>
    <row r="83" spans="1:6" ht="15" customHeight="1" x14ac:dyDescent="0.2">
      <c r="A83" s="147">
        <v>22</v>
      </c>
      <c r="B83" s="160" t="s">
        <v>218</v>
      </c>
      <c r="C83" s="157">
        <v>249757</v>
      </c>
      <c r="D83" s="157">
        <v>217141</v>
      </c>
      <c r="E83" s="157">
        <f t="shared" si="2"/>
        <v>-32616</v>
      </c>
      <c r="F83" s="161">
        <f t="shared" si="3"/>
        <v>-0.13059093438822536</v>
      </c>
    </row>
    <row r="84" spans="1:6" ht="15" customHeight="1" x14ac:dyDescent="0.2">
      <c r="A84" s="147">
        <v>23</v>
      </c>
      <c r="B84" s="160" t="s">
        <v>219</v>
      </c>
      <c r="C84" s="157">
        <v>2446103</v>
      </c>
      <c r="D84" s="157">
        <v>2391134</v>
      </c>
      <c r="E84" s="157">
        <f t="shared" si="2"/>
        <v>-54969</v>
      </c>
      <c r="F84" s="161">
        <f t="shared" si="3"/>
        <v>-2.2472070881724933E-2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139787</v>
      </c>
      <c r="D86" s="157">
        <v>164752</v>
      </c>
      <c r="E86" s="157">
        <f t="shared" si="2"/>
        <v>24965</v>
      </c>
      <c r="F86" s="161">
        <f t="shared" si="3"/>
        <v>0.17859314528532697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4237874</v>
      </c>
      <c r="D89" s="157">
        <v>4316407</v>
      </c>
      <c r="E89" s="157">
        <f t="shared" si="2"/>
        <v>78533</v>
      </c>
      <c r="F89" s="161">
        <f t="shared" si="3"/>
        <v>1.8531225798596184E-2</v>
      </c>
    </row>
    <row r="90" spans="1:6" ht="15.75" customHeight="1" x14ac:dyDescent="0.25">
      <c r="A90" s="147"/>
      <c r="B90" s="162" t="s">
        <v>225</v>
      </c>
      <c r="C90" s="158">
        <f>SUM(C62:C89)</f>
        <v>39040477</v>
      </c>
      <c r="D90" s="158">
        <f>SUM(D62:D89)</f>
        <v>34929234</v>
      </c>
      <c r="E90" s="158">
        <f t="shared" si="2"/>
        <v>-4111243</v>
      </c>
      <c r="F90" s="159">
        <f t="shared" si="3"/>
        <v>-0.10530719181530492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19592120</v>
      </c>
      <c r="D93" s="157">
        <v>34562626</v>
      </c>
      <c r="E93" s="157">
        <f>+D93-C93</f>
        <v>14970506</v>
      </c>
      <c r="F93" s="161">
        <f>IF(C93=0,0,E93/C93)</f>
        <v>0.76410852934751317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443456000</v>
      </c>
      <c r="D95" s="158">
        <f>+D93+D90+D59+D50+D47+D44+D41+D35+D30+D24+D18</f>
        <v>470194000</v>
      </c>
      <c r="E95" s="158">
        <f>+D95-C95</f>
        <v>26738000</v>
      </c>
      <c r="F95" s="159">
        <f>IF(C95=0,0,E95/C95)</f>
        <v>6.0294595179679611E-2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34776450</v>
      </c>
      <c r="D103" s="157">
        <v>42704541</v>
      </c>
      <c r="E103" s="157">
        <f t="shared" ref="E103:E121" si="4">D103-C103</f>
        <v>7928091</v>
      </c>
      <c r="F103" s="161">
        <f t="shared" ref="F103:F121" si="5">IF(C103=0,0,E103/C103)</f>
        <v>0.22797298171607511</v>
      </c>
    </row>
    <row r="104" spans="1:6" ht="15" customHeight="1" x14ac:dyDescent="0.2">
      <c r="A104" s="147">
        <v>2</v>
      </c>
      <c r="B104" s="169" t="s">
        <v>234</v>
      </c>
      <c r="C104" s="157">
        <v>3428009</v>
      </c>
      <c r="D104" s="157">
        <v>2770792</v>
      </c>
      <c r="E104" s="157">
        <f t="shared" si="4"/>
        <v>-657217</v>
      </c>
      <c r="F104" s="161">
        <f t="shared" si="5"/>
        <v>-0.19171974169262682</v>
      </c>
    </row>
    <row r="105" spans="1:6" ht="15" customHeight="1" x14ac:dyDescent="0.2">
      <c r="A105" s="147">
        <v>3</v>
      </c>
      <c r="B105" s="169" t="s">
        <v>235</v>
      </c>
      <c r="C105" s="157">
        <v>15975168</v>
      </c>
      <c r="D105" s="157">
        <v>16592257</v>
      </c>
      <c r="E105" s="157">
        <f t="shared" si="4"/>
        <v>617089</v>
      </c>
      <c r="F105" s="161">
        <f t="shared" si="5"/>
        <v>3.862801317644985E-2</v>
      </c>
    </row>
    <row r="106" spans="1:6" ht="15" customHeight="1" x14ac:dyDescent="0.2">
      <c r="A106" s="147">
        <v>4</v>
      </c>
      <c r="B106" s="169" t="s">
        <v>236</v>
      </c>
      <c r="C106" s="157">
        <v>72425</v>
      </c>
      <c r="D106" s="157">
        <v>6638</v>
      </c>
      <c r="E106" s="157">
        <f t="shared" si="4"/>
        <v>-65787</v>
      </c>
      <c r="F106" s="161">
        <f t="shared" si="5"/>
        <v>-0.9083465654124957</v>
      </c>
    </row>
    <row r="107" spans="1:6" ht="15" customHeight="1" x14ac:dyDescent="0.2">
      <c r="A107" s="147">
        <v>5</v>
      </c>
      <c r="B107" s="169" t="s">
        <v>237</v>
      </c>
      <c r="C107" s="157">
        <v>21261779</v>
      </c>
      <c r="D107" s="157">
        <v>22726467</v>
      </c>
      <c r="E107" s="157">
        <f t="shared" si="4"/>
        <v>1464688</v>
      </c>
      <c r="F107" s="161">
        <f t="shared" si="5"/>
        <v>6.8888308922785815E-2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53082174</v>
      </c>
      <c r="D109" s="157">
        <v>47859951</v>
      </c>
      <c r="E109" s="157">
        <f t="shared" si="4"/>
        <v>-5222223</v>
      </c>
      <c r="F109" s="161">
        <f t="shared" si="5"/>
        <v>-9.8379975921860319E-2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1038133</v>
      </c>
      <c r="D111" s="157">
        <v>1073977</v>
      </c>
      <c r="E111" s="157">
        <f t="shared" si="4"/>
        <v>35844</v>
      </c>
      <c r="F111" s="161">
        <f t="shared" si="5"/>
        <v>3.4527367880608749E-2</v>
      </c>
    </row>
    <row r="112" spans="1:6" ht="15" customHeight="1" x14ac:dyDescent="0.2">
      <c r="A112" s="147">
        <v>10</v>
      </c>
      <c r="B112" s="169" t="s">
        <v>242</v>
      </c>
      <c r="C112" s="157">
        <v>5010086</v>
      </c>
      <c r="D112" s="157">
        <v>5207642</v>
      </c>
      <c r="E112" s="157">
        <f t="shared" si="4"/>
        <v>197556</v>
      </c>
      <c r="F112" s="161">
        <f t="shared" si="5"/>
        <v>3.9431658458557395E-2</v>
      </c>
    </row>
    <row r="113" spans="1:6" ht="15" customHeight="1" x14ac:dyDescent="0.2">
      <c r="A113" s="147">
        <v>11</v>
      </c>
      <c r="B113" s="169" t="s">
        <v>243</v>
      </c>
      <c r="C113" s="157">
        <v>4707580</v>
      </c>
      <c r="D113" s="157">
        <v>5442174</v>
      </c>
      <c r="E113" s="157">
        <f t="shared" si="4"/>
        <v>734594</v>
      </c>
      <c r="F113" s="161">
        <f t="shared" si="5"/>
        <v>0.15604493179085646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4770394</v>
      </c>
      <c r="D115" s="157">
        <v>4900473</v>
      </c>
      <c r="E115" s="157">
        <f t="shared" si="4"/>
        <v>130079</v>
      </c>
      <c r="F115" s="161">
        <f t="shared" si="5"/>
        <v>2.7267978284393282E-2</v>
      </c>
    </row>
    <row r="116" spans="1:6" ht="15" customHeight="1" x14ac:dyDescent="0.2">
      <c r="A116" s="147">
        <v>14</v>
      </c>
      <c r="B116" s="169" t="s">
        <v>246</v>
      </c>
      <c r="C116" s="157">
        <v>2677637</v>
      </c>
      <c r="D116" s="157">
        <v>2679155</v>
      </c>
      <c r="E116" s="157">
        <f t="shared" si="4"/>
        <v>1518</v>
      </c>
      <c r="F116" s="161">
        <f t="shared" si="5"/>
        <v>5.6691777115419303E-4</v>
      </c>
    </row>
    <row r="117" spans="1:6" ht="15" customHeight="1" x14ac:dyDescent="0.2">
      <c r="A117" s="147">
        <v>15</v>
      </c>
      <c r="B117" s="169" t="s">
        <v>203</v>
      </c>
      <c r="C117" s="157">
        <v>7519375</v>
      </c>
      <c r="D117" s="157">
        <v>13329024</v>
      </c>
      <c r="E117" s="157">
        <f t="shared" si="4"/>
        <v>5809649</v>
      </c>
      <c r="F117" s="161">
        <f t="shared" si="5"/>
        <v>0.77262392153603188</v>
      </c>
    </row>
    <row r="118" spans="1:6" ht="15" customHeight="1" x14ac:dyDescent="0.2">
      <c r="A118" s="147">
        <v>16</v>
      </c>
      <c r="B118" s="169" t="s">
        <v>247</v>
      </c>
      <c r="C118" s="157">
        <v>3438561</v>
      </c>
      <c r="D118" s="157">
        <v>3886335</v>
      </c>
      <c r="E118" s="157">
        <f t="shared" si="4"/>
        <v>447774</v>
      </c>
      <c r="F118" s="161">
        <f t="shared" si="5"/>
        <v>0.13022133386611434</v>
      </c>
    </row>
    <row r="119" spans="1:6" ht="15" customHeight="1" x14ac:dyDescent="0.2">
      <c r="A119" s="147">
        <v>17</v>
      </c>
      <c r="B119" s="169" t="s">
        <v>248</v>
      </c>
      <c r="C119" s="157">
        <v>16124254</v>
      </c>
      <c r="D119" s="157">
        <v>18383166</v>
      </c>
      <c r="E119" s="157">
        <f t="shared" si="4"/>
        <v>2258912</v>
      </c>
      <c r="F119" s="161">
        <f t="shared" si="5"/>
        <v>0.1400940471416538</v>
      </c>
    </row>
    <row r="120" spans="1:6" ht="15" customHeight="1" x14ac:dyDescent="0.2">
      <c r="A120" s="147">
        <v>18</v>
      </c>
      <c r="B120" s="169" t="s">
        <v>249</v>
      </c>
      <c r="C120" s="157">
        <v>35206796</v>
      </c>
      <c r="D120" s="157">
        <v>37007873</v>
      </c>
      <c r="E120" s="157">
        <f t="shared" si="4"/>
        <v>1801077</v>
      </c>
      <c r="F120" s="161">
        <f t="shared" si="5"/>
        <v>5.1157083422189283E-2</v>
      </c>
    </row>
    <row r="121" spans="1:6" ht="15.75" customHeight="1" x14ac:dyDescent="0.25">
      <c r="A121" s="147"/>
      <c r="B121" s="165" t="s">
        <v>250</v>
      </c>
      <c r="C121" s="158">
        <f>SUM(C103:C120)</f>
        <v>209088821</v>
      </c>
      <c r="D121" s="158">
        <f>SUM(D103:D120)</f>
        <v>224570465</v>
      </c>
      <c r="E121" s="158">
        <f t="shared" si="4"/>
        <v>15481644</v>
      </c>
      <c r="F121" s="159">
        <f t="shared" si="5"/>
        <v>7.4043384653261782E-2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3744861</v>
      </c>
      <c r="D126" s="157">
        <v>3834738</v>
      </c>
      <c r="E126" s="157">
        <f t="shared" si="6"/>
        <v>89877</v>
      </c>
      <c r="F126" s="161">
        <f t="shared" si="7"/>
        <v>2.4000089722956339E-2</v>
      </c>
    </row>
    <row r="127" spans="1:6" ht="15" customHeight="1" x14ac:dyDescent="0.2">
      <c r="A127" s="147">
        <v>4</v>
      </c>
      <c r="B127" s="169" t="s">
        <v>255</v>
      </c>
      <c r="C127" s="157">
        <v>160474</v>
      </c>
      <c r="D127" s="157">
        <v>159664</v>
      </c>
      <c r="E127" s="157">
        <f t="shared" si="6"/>
        <v>-810</v>
      </c>
      <c r="F127" s="161">
        <f t="shared" si="7"/>
        <v>-5.0475466430699055E-3</v>
      </c>
    </row>
    <row r="128" spans="1:6" ht="15" customHeight="1" x14ac:dyDescent="0.2">
      <c r="A128" s="147">
        <v>5</v>
      </c>
      <c r="B128" s="169" t="s">
        <v>256</v>
      </c>
      <c r="C128" s="157">
        <v>3759917</v>
      </c>
      <c r="D128" s="157">
        <v>4118678</v>
      </c>
      <c r="E128" s="157">
        <f t="shared" si="6"/>
        <v>358761</v>
      </c>
      <c r="F128" s="161">
        <f t="shared" si="7"/>
        <v>9.5417265859858075E-2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7665252</v>
      </c>
      <c r="D130" s="158">
        <f>SUM(D124:D129)</f>
        <v>8113080</v>
      </c>
      <c r="E130" s="158">
        <f t="shared" si="6"/>
        <v>447828</v>
      </c>
      <c r="F130" s="159">
        <f t="shared" si="7"/>
        <v>5.8423128163301086E-2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24696802</v>
      </c>
      <c r="D133" s="157">
        <v>27708435</v>
      </c>
      <c r="E133" s="157">
        <f t="shared" ref="E133:E167" si="8">D133-C133</f>
        <v>3011633</v>
      </c>
      <c r="F133" s="161">
        <f t="shared" ref="F133:F167" si="9">IF(C133=0,0,E133/C133)</f>
        <v>0.12194425010979154</v>
      </c>
    </row>
    <row r="134" spans="1:6" ht="15" customHeight="1" x14ac:dyDescent="0.2">
      <c r="A134" s="147">
        <v>2</v>
      </c>
      <c r="B134" s="169" t="s">
        <v>261</v>
      </c>
      <c r="C134" s="157">
        <v>1394795</v>
      </c>
      <c r="D134" s="157">
        <v>1496528</v>
      </c>
      <c r="E134" s="157">
        <f t="shared" si="8"/>
        <v>101733</v>
      </c>
      <c r="F134" s="161">
        <f t="shared" si="9"/>
        <v>7.2937600149125856E-2</v>
      </c>
    </row>
    <row r="135" spans="1:6" ht="15" customHeight="1" x14ac:dyDescent="0.2">
      <c r="A135" s="147">
        <v>3</v>
      </c>
      <c r="B135" s="169" t="s">
        <v>262</v>
      </c>
      <c r="C135" s="157">
        <v>1333226</v>
      </c>
      <c r="D135" s="157">
        <v>1197259</v>
      </c>
      <c r="E135" s="157">
        <f t="shared" si="8"/>
        <v>-135967</v>
      </c>
      <c r="F135" s="161">
        <f t="shared" si="9"/>
        <v>-0.10198345966850332</v>
      </c>
    </row>
    <row r="136" spans="1:6" ht="15" customHeight="1" x14ac:dyDescent="0.2">
      <c r="A136" s="147">
        <v>4</v>
      </c>
      <c r="B136" s="169" t="s">
        <v>263</v>
      </c>
      <c r="C136" s="157">
        <v>4703042</v>
      </c>
      <c r="D136" s="157">
        <v>4546983</v>
      </c>
      <c r="E136" s="157">
        <f t="shared" si="8"/>
        <v>-156059</v>
      </c>
      <c r="F136" s="161">
        <f t="shared" si="9"/>
        <v>-3.3182565667072506E-2</v>
      </c>
    </row>
    <row r="137" spans="1:6" ht="15" customHeight="1" x14ac:dyDescent="0.2">
      <c r="A137" s="147">
        <v>5</v>
      </c>
      <c r="B137" s="169" t="s">
        <v>264</v>
      </c>
      <c r="C137" s="157">
        <v>9407369</v>
      </c>
      <c r="D137" s="157">
        <v>9052578</v>
      </c>
      <c r="E137" s="157">
        <f t="shared" si="8"/>
        <v>-354791</v>
      </c>
      <c r="F137" s="161">
        <f t="shared" si="9"/>
        <v>-3.7714157911739189E-2</v>
      </c>
    </row>
    <row r="138" spans="1:6" ht="15" customHeight="1" x14ac:dyDescent="0.2">
      <c r="A138" s="147">
        <v>6</v>
      </c>
      <c r="B138" s="169" t="s">
        <v>265</v>
      </c>
      <c r="C138" s="157">
        <v>1671518</v>
      </c>
      <c r="D138" s="157">
        <v>1634930</v>
      </c>
      <c r="E138" s="157">
        <f t="shared" si="8"/>
        <v>-36588</v>
      </c>
      <c r="F138" s="161">
        <f t="shared" si="9"/>
        <v>-2.1889085250652401E-2</v>
      </c>
    </row>
    <row r="139" spans="1:6" ht="15" customHeight="1" x14ac:dyDescent="0.2">
      <c r="A139" s="147">
        <v>7</v>
      </c>
      <c r="B139" s="169" t="s">
        <v>266</v>
      </c>
      <c r="C139" s="157">
        <v>4756287</v>
      </c>
      <c r="D139" s="157">
        <v>3632452</v>
      </c>
      <c r="E139" s="157">
        <f t="shared" si="8"/>
        <v>-1123835</v>
      </c>
      <c r="F139" s="161">
        <f t="shared" si="9"/>
        <v>-0.23628410144299533</v>
      </c>
    </row>
    <row r="140" spans="1:6" ht="15" customHeight="1" x14ac:dyDescent="0.2">
      <c r="A140" s="147">
        <v>8</v>
      </c>
      <c r="B140" s="169" t="s">
        <v>267</v>
      </c>
      <c r="C140" s="157">
        <v>1142824</v>
      </c>
      <c r="D140" s="157">
        <v>935115</v>
      </c>
      <c r="E140" s="157">
        <f t="shared" si="8"/>
        <v>-207709</v>
      </c>
      <c r="F140" s="161">
        <f t="shared" si="9"/>
        <v>-0.18175064576872729</v>
      </c>
    </row>
    <row r="141" spans="1:6" ht="15" customHeight="1" x14ac:dyDescent="0.2">
      <c r="A141" s="147">
        <v>9</v>
      </c>
      <c r="B141" s="169" t="s">
        <v>268</v>
      </c>
      <c r="C141" s="157">
        <v>1510592</v>
      </c>
      <c r="D141" s="157">
        <v>1407209</v>
      </c>
      <c r="E141" s="157">
        <f t="shared" si="8"/>
        <v>-103383</v>
      </c>
      <c r="F141" s="161">
        <f t="shared" si="9"/>
        <v>-6.8438731305342546E-2</v>
      </c>
    </row>
    <row r="142" spans="1:6" ht="15" customHeight="1" x14ac:dyDescent="0.2">
      <c r="A142" s="147">
        <v>10</v>
      </c>
      <c r="B142" s="169" t="s">
        <v>269</v>
      </c>
      <c r="C142" s="157">
        <v>13920082</v>
      </c>
      <c r="D142" s="157">
        <v>14249225</v>
      </c>
      <c r="E142" s="157">
        <f t="shared" si="8"/>
        <v>329143</v>
      </c>
      <c r="F142" s="161">
        <f t="shared" si="9"/>
        <v>2.3645191170569253E-2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14147335</v>
      </c>
      <c r="D144" s="157">
        <v>15442915</v>
      </c>
      <c r="E144" s="157">
        <f t="shared" si="8"/>
        <v>1295580</v>
      </c>
      <c r="F144" s="161">
        <f t="shared" si="9"/>
        <v>9.1577671695764612E-2</v>
      </c>
    </row>
    <row r="145" spans="1:6" ht="15" customHeight="1" x14ac:dyDescent="0.2">
      <c r="A145" s="147">
        <v>13</v>
      </c>
      <c r="B145" s="169" t="s">
        <v>272</v>
      </c>
      <c r="C145" s="157">
        <v>1435905</v>
      </c>
      <c r="D145" s="157">
        <v>1210648</v>
      </c>
      <c r="E145" s="157">
        <f t="shared" si="8"/>
        <v>-225257</v>
      </c>
      <c r="F145" s="161">
        <f t="shared" si="9"/>
        <v>-0.15687458432138615</v>
      </c>
    </row>
    <row r="146" spans="1:6" ht="15" customHeight="1" x14ac:dyDescent="0.2">
      <c r="A146" s="147">
        <v>14</v>
      </c>
      <c r="B146" s="169" t="s">
        <v>273</v>
      </c>
      <c r="C146" s="157">
        <v>188949</v>
      </c>
      <c r="D146" s="157">
        <v>196674</v>
      </c>
      <c r="E146" s="157">
        <f t="shared" si="8"/>
        <v>7725</v>
      </c>
      <c r="F146" s="161">
        <f t="shared" si="9"/>
        <v>4.0884048076465077E-2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2882362</v>
      </c>
      <c r="D150" s="157">
        <v>3030135</v>
      </c>
      <c r="E150" s="157">
        <f t="shared" si="8"/>
        <v>147773</v>
      </c>
      <c r="F150" s="161">
        <f t="shared" si="9"/>
        <v>5.1268022545398528E-2</v>
      </c>
    </row>
    <row r="151" spans="1:6" ht="15" customHeight="1" x14ac:dyDescent="0.2">
      <c r="A151" s="147">
        <v>19</v>
      </c>
      <c r="B151" s="169" t="s">
        <v>278</v>
      </c>
      <c r="C151" s="157">
        <v>275942</v>
      </c>
      <c r="D151" s="157">
        <v>259963</v>
      </c>
      <c r="E151" s="157">
        <f t="shared" si="8"/>
        <v>-15979</v>
      </c>
      <c r="F151" s="161">
        <f t="shared" si="9"/>
        <v>-5.7907096418812649E-2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1939830</v>
      </c>
      <c r="D154" s="157">
        <v>1935138</v>
      </c>
      <c r="E154" s="157">
        <f t="shared" si="8"/>
        <v>-4692</v>
      </c>
      <c r="F154" s="161">
        <f t="shared" si="9"/>
        <v>-2.4187686549852305E-3</v>
      </c>
    </row>
    <row r="155" spans="1:6" ht="15" customHeight="1" x14ac:dyDescent="0.2">
      <c r="A155" s="147">
        <v>23</v>
      </c>
      <c r="B155" s="169" t="s">
        <v>282</v>
      </c>
      <c r="C155" s="157">
        <v>746311</v>
      </c>
      <c r="D155" s="157">
        <v>888679</v>
      </c>
      <c r="E155" s="157">
        <f t="shared" si="8"/>
        <v>142368</v>
      </c>
      <c r="F155" s="161">
        <f t="shared" si="9"/>
        <v>0.1907622961473166</v>
      </c>
    </row>
    <row r="156" spans="1:6" ht="15" customHeight="1" x14ac:dyDescent="0.2">
      <c r="A156" s="147">
        <v>24</v>
      </c>
      <c r="B156" s="169" t="s">
        <v>283</v>
      </c>
      <c r="C156" s="157">
        <v>24100559</v>
      </c>
      <c r="D156" s="157">
        <v>26130057</v>
      </c>
      <c r="E156" s="157">
        <f t="shared" si="8"/>
        <v>2029498</v>
      </c>
      <c r="F156" s="161">
        <f t="shared" si="9"/>
        <v>8.420958202670735E-2</v>
      </c>
    </row>
    <row r="157" spans="1:6" ht="15" customHeight="1" x14ac:dyDescent="0.2">
      <c r="A157" s="147">
        <v>25</v>
      </c>
      <c r="B157" s="169" t="s">
        <v>284</v>
      </c>
      <c r="C157" s="157">
        <v>827041</v>
      </c>
      <c r="D157" s="157">
        <v>721884</v>
      </c>
      <c r="E157" s="157">
        <f t="shared" si="8"/>
        <v>-105157</v>
      </c>
      <c r="F157" s="161">
        <f t="shared" si="9"/>
        <v>-0.12714847268756929</v>
      </c>
    </row>
    <row r="158" spans="1:6" ht="15" customHeight="1" x14ac:dyDescent="0.2">
      <c r="A158" s="147">
        <v>26</v>
      </c>
      <c r="B158" s="169" t="s">
        <v>285</v>
      </c>
      <c r="C158" s="157">
        <v>341242</v>
      </c>
      <c r="D158" s="157">
        <v>0</v>
      </c>
      <c r="E158" s="157">
        <f t="shared" si="8"/>
        <v>-341242</v>
      </c>
      <c r="F158" s="161">
        <f t="shared" si="9"/>
        <v>-1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2827175</v>
      </c>
      <c r="D160" s="157">
        <v>2880181</v>
      </c>
      <c r="E160" s="157">
        <f t="shared" si="8"/>
        <v>53006</v>
      </c>
      <c r="F160" s="161">
        <f t="shared" si="9"/>
        <v>1.8748750961648995E-2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5355777</v>
      </c>
      <c r="D164" s="157">
        <v>5606061</v>
      </c>
      <c r="E164" s="157">
        <f t="shared" si="8"/>
        <v>250284</v>
      </c>
      <c r="F164" s="161">
        <f t="shared" si="9"/>
        <v>4.6731594687381493E-2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119604965</v>
      </c>
      <c r="D167" s="158">
        <f>SUM(D133:D166)</f>
        <v>124163049</v>
      </c>
      <c r="E167" s="158">
        <f t="shared" si="8"/>
        <v>4558084</v>
      </c>
      <c r="F167" s="159">
        <f t="shared" si="9"/>
        <v>3.8109488180528291E-2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47670718</v>
      </c>
      <c r="D170" s="157">
        <v>50511060</v>
      </c>
      <c r="E170" s="157">
        <f t="shared" ref="E170:E183" si="10">D170-C170</f>
        <v>2840342</v>
      </c>
      <c r="F170" s="161">
        <f t="shared" ref="F170:F183" si="11">IF(C170=0,0,E170/C170)</f>
        <v>5.9582530307179346E-2</v>
      </c>
    </row>
    <row r="171" spans="1:6" ht="15" customHeight="1" x14ac:dyDescent="0.2">
      <c r="A171" s="147">
        <v>2</v>
      </c>
      <c r="B171" s="169" t="s">
        <v>297</v>
      </c>
      <c r="C171" s="157">
        <v>3613750</v>
      </c>
      <c r="D171" s="157">
        <v>3563040</v>
      </c>
      <c r="E171" s="157">
        <f t="shared" si="10"/>
        <v>-50710</v>
      </c>
      <c r="F171" s="161">
        <f t="shared" si="11"/>
        <v>-1.4032514700795572E-2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2649098</v>
      </c>
      <c r="D173" s="157">
        <v>2935218</v>
      </c>
      <c r="E173" s="157">
        <f t="shared" si="10"/>
        <v>286120</v>
      </c>
      <c r="F173" s="161">
        <f t="shared" si="11"/>
        <v>0.10800657431321907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2158616</v>
      </c>
      <c r="D178" s="157">
        <v>390590</v>
      </c>
      <c r="E178" s="157">
        <f t="shared" si="10"/>
        <v>-1768026</v>
      </c>
      <c r="F178" s="161">
        <f t="shared" si="11"/>
        <v>-0.81905535769215088</v>
      </c>
    </row>
    <row r="179" spans="1:6" ht="15" customHeight="1" x14ac:dyDescent="0.2">
      <c r="A179" s="147">
        <v>10</v>
      </c>
      <c r="B179" s="169" t="s">
        <v>305</v>
      </c>
      <c r="C179" s="157">
        <v>9725496</v>
      </c>
      <c r="D179" s="157">
        <v>11577924</v>
      </c>
      <c r="E179" s="157">
        <f t="shared" si="10"/>
        <v>1852428</v>
      </c>
      <c r="F179" s="161">
        <f t="shared" si="11"/>
        <v>0.19047131375099019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3240969</v>
      </c>
      <c r="D181" s="157">
        <v>3430408</v>
      </c>
      <c r="E181" s="157">
        <f t="shared" si="10"/>
        <v>189439</v>
      </c>
      <c r="F181" s="161">
        <f t="shared" si="11"/>
        <v>5.8451345878346876E-2</v>
      </c>
    </row>
    <row r="182" spans="1:6" ht="15" customHeight="1" x14ac:dyDescent="0.2">
      <c r="A182" s="147">
        <v>13</v>
      </c>
      <c r="B182" s="169" t="s">
        <v>308</v>
      </c>
      <c r="C182" s="157">
        <v>1900426</v>
      </c>
      <c r="D182" s="157">
        <v>1932807</v>
      </c>
      <c r="E182" s="157">
        <f t="shared" si="10"/>
        <v>32381</v>
      </c>
      <c r="F182" s="161">
        <f t="shared" si="11"/>
        <v>1.7038811298098425E-2</v>
      </c>
    </row>
    <row r="183" spans="1:6" ht="15.75" customHeight="1" x14ac:dyDescent="0.25">
      <c r="A183" s="147"/>
      <c r="B183" s="165" t="s">
        <v>309</v>
      </c>
      <c r="C183" s="158">
        <f>SUM(C170:C182)</f>
        <v>70959073</v>
      </c>
      <c r="D183" s="158">
        <f>SUM(D170:D182)</f>
        <v>74341047</v>
      </c>
      <c r="E183" s="158">
        <f t="shared" si="10"/>
        <v>3381974</v>
      </c>
      <c r="F183" s="159">
        <f t="shared" si="11"/>
        <v>4.7660910113636913E-2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36137889</v>
      </c>
      <c r="D186" s="157">
        <v>39006359</v>
      </c>
      <c r="E186" s="157">
        <f>D186-C186</f>
        <v>2868470</v>
      </c>
      <c r="F186" s="161">
        <f>IF(C186=0,0,E186/C186)</f>
        <v>7.9375693472299946E-2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443456000</v>
      </c>
      <c r="D188" s="158">
        <f>+D186+D183+D167+D130+D121</f>
        <v>470194000</v>
      </c>
      <c r="E188" s="158">
        <f>D188-C188</f>
        <v>26738000</v>
      </c>
      <c r="F188" s="159">
        <f>IF(C188=0,0,E188/C188)</f>
        <v>6.0294595179679611E-2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FILING&amp;RBRIDGEPORT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439375000</v>
      </c>
      <c r="D11" s="183">
        <v>466074000</v>
      </c>
      <c r="E11" s="76">
        <v>472739000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24165000</v>
      </c>
      <c r="D12" s="185">
        <v>32055000</v>
      </c>
      <c r="E12" s="185">
        <v>37985000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463540000</v>
      </c>
      <c r="D13" s="76">
        <f>+D11+D12</f>
        <v>498129000</v>
      </c>
      <c r="E13" s="76">
        <f>+E11+E12</f>
        <v>510724000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426496000</v>
      </c>
      <c r="D14" s="185">
        <v>443456000</v>
      </c>
      <c r="E14" s="185">
        <v>470194000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37044000</v>
      </c>
      <c r="D15" s="76">
        <f>+D13-D14</f>
        <v>54673000</v>
      </c>
      <c r="E15" s="76">
        <f>+E13-E14</f>
        <v>40530000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5852000</v>
      </c>
      <c r="D16" s="185">
        <v>944000</v>
      </c>
      <c r="E16" s="185">
        <v>6144000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42896000</v>
      </c>
      <c r="D17" s="76">
        <f>D15+D16</f>
        <v>55617000</v>
      </c>
      <c r="E17" s="76">
        <f>E15+E16</f>
        <v>46674000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7.891911238367931E-2</v>
      </c>
      <c r="D20" s="189">
        <f>IF(+D27=0,0,+D24/+D27)</f>
        <v>0.1095491040388881</v>
      </c>
      <c r="E20" s="189">
        <f>IF(+E27=0,0,+E24/+E27)</f>
        <v>7.8414604889449527E-2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1.2467191601049869E-2</v>
      </c>
      <c r="D21" s="189">
        <f>IF(D27=0,0,+D26/D27)</f>
        <v>1.8915068537067724E-3</v>
      </c>
      <c r="E21" s="189">
        <f>IF(E27=0,0,+E26/E27)</f>
        <v>1.1886980815217812E-2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9.1386303984729175E-2</v>
      </c>
      <c r="D22" s="189">
        <f>IF(D27=0,0,+D28/D27)</f>
        <v>0.11144061089259487</v>
      </c>
      <c r="E22" s="189">
        <f>IF(E27=0,0,+E28/E27)</f>
        <v>9.0301585704667342E-2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37044000</v>
      </c>
      <c r="D24" s="76">
        <f>+D15</f>
        <v>54673000</v>
      </c>
      <c r="E24" s="76">
        <f>+E15</f>
        <v>40530000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463540000</v>
      </c>
      <c r="D25" s="76">
        <f>+D13</f>
        <v>498129000</v>
      </c>
      <c r="E25" s="76">
        <f>+E13</f>
        <v>510724000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5852000</v>
      </c>
      <c r="D26" s="76">
        <f>+D16</f>
        <v>944000</v>
      </c>
      <c r="E26" s="76">
        <f>+E16</f>
        <v>6144000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469392000</v>
      </c>
      <c r="D27" s="76">
        <f>+D25+D26</f>
        <v>499073000</v>
      </c>
      <c r="E27" s="76">
        <f>+E25+E26</f>
        <v>516868000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42896000</v>
      </c>
      <c r="D28" s="76">
        <f>+D17</f>
        <v>55617000</v>
      </c>
      <c r="E28" s="76">
        <f>+E17</f>
        <v>46674000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100811000</v>
      </c>
      <c r="D31" s="76">
        <v>110843000</v>
      </c>
      <c r="E31" s="76">
        <v>116790000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155833000</v>
      </c>
      <c r="D32" s="76">
        <v>168564000</v>
      </c>
      <c r="E32" s="76">
        <v>182225000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-20027000</v>
      </c>
      <c r="D33" s="76">
        <f>+D32-C32</f>
        <v>12731000</v>
      </c>
      <c r="E33" s="76">
        <f>+E32-D32</f>
        <v>13661000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0.8861</v>
      </c>
      <c r="D34" s="193">
        <f>IF(C32=0,0,+D33/C32)</f>
        <v>8.1696431436216979E-2</v>
      </c>
      <c r="E34" s="193">
        <f>IF(D32=0,0,+E33/D32)</f>
        <v>8.1043401912626656E-2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0.25112873695732196</v>
      </c>
      <c r="D38" s="195">
        <f>IF((D40+D41)=0,0,+D39/(D40+D41))</f>
        <v>0.25105049894237302</v>
      </c>
      <c r="E38" s="195">
        <f>IF((E40+E41)=0,0,+E39/(E40+E41))</f>
        <v>0.26505933177998692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426496000</v>
      </c>
      <c r="D39" s="76">
        <v>443456000</v>
      </c>
      <c r="E39" s="196">
        <v>470194000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1693079737</v>
      </c>
      <c r="D40" s="76">
        <v>1759987340</v>
      </c>
      <c r="E40" s="196">
        <v>1767446590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5236454</v>
      </c>
      <c r="D41" s="76">
        <v>6414248</v>
      </c>
      <c r="E41" s="196">
        <v>6473222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1.4696981164186615</v>
      </c>
      <c r="D43" s="197">
        <f>IF(D38=0,0,IF((D46-D47)=0,0,((+D44-D45)/(D46-D47)/D38)))</f>
        <v>1.6152995846872369</v>
      </c>
      <c r="E43" s="197">
        <f>IF(E38=0,0,IF((E46-E47)=0,0,((+E44-E45)/(E46-E47)/E38)))</f>
        <v>1.5714756570761566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198001904</v>
      </c>
      <c r="D44" s="76">
        <v>227480796</v>
      </c>
      <c r="E44" s="196">
        <v>213598644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13867244</v>
      </c>
      <c r="D45" s="76">
        <v>26862875</v>
      </c>
      <c r="E45" s="196">
        <v>10517647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544853123</v>
      </c>
      <c r="D46" s="76">
        <v>548094394</v>
      </c>
      <c r="E46" s="196">
        <v>537268544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45956006</v>
      </c>
      <c r="D47" s="76">
        <v>53378851</v>
      </c>
      <c r="E47" s="76">
        <v>49719252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1.0093960153853869</v>
      </c>
      <c r="D49" s="198">
        <f>IF(D38=0,0,IF(D51=0,0,(D50/D51)/D38))</f>
        <v>1.0595801192927086</v>
      </c>
      <c r="E49" s="198">
        <f>IF(E38=0,0,IF(E51=0,0,(E50/E51)/E38))</f>
        <v>0.97744022086502103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159487014</v>
      </c>
      <c r="D50" s="199">
        <v>180950464</v>
      </c>
      <c r="E50" s="199">
        <v>178604470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629169018</v>
      </c>
      <c r="D51" s="199">
        <v>680244143</v>
      </c>
      <c r="E51" s="199">
        <v>689380539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0.71316215262887217</v>
      </c>
      <c r="D53" s="198">
        <f>IF(D38=0,0,IF(D55=0,0,(D54/D55)/D38))</f>
        <v>0.62712813579903126</v>
      </c>
      <c r="E53" s="198">
        <f>IF(E38=0,0,IF(E55=0,0,(E54/E55)/E38))</f>
        <v>0.69417648893460659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92516930</v>
      </c>
      <c r="D54" s="199">
        <v>83506972</v>
      </c>
      <c r="E54" s="199">
        <v>99140567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516578722</v>
      </c>
      <c r="D55" s="199">
        <v>530402255</v>
      </c>
      <c r="E55" s="199">
        <v>538813414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17291594.747564882</v>
      </c>
      <c r="D57" s="88">
        <f>+D60*D38</f>
        <v>12584935.566532111</v>
      </c>
      <c r="E57" s="88">
        <f>+E60*E38</f>
        <v>14146675.619860545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13389500</v>
      </c>
      <c r="D58" s="199">
        <v>13728345</v>
      </c>
      <c r="E58" s="199">
        <v>16129090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55466000</v>
      </c>
      <c r="D59" s="199">
        <v>36400755</v>
      </c>
      <c r="E59" s="199">
        <v>37242642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68855500</v>
      </c>
      <c r="D60" s="76">
        <v>50129100</v>
      </c>
      <c r="E60" s="201">
        <v>53371732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4.0543392546623841E-2</v>
      </c>
      <c r="D62" s="202">
        <f>IF(D63=0,0,+D57/D63)</f>
        <v>2.8379220410891071E-2</v>
      </c>
      <c r="E62" s="202">
        <f>IF(E63=0,0,+E57/E63)</f>
        <v>3.0086890985126447E-2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426496000</v>
      </c>
      <c r="D63" s="199">
        <v>443456000</v>
      </c>
      <c r="E63" s="199">
        <v>470194000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1.6132509862962516</v>
      </c>
      <c r="D67" s="203">
        <f>IF(D69=0,0,D68/D69)</f>
        <v>1.7450282258480654</v>
      </c>
      <c r="E67" s="203">
        <f>IF(E69=0,0,E68/E69)</f>
        <v>1.6950678213365615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146801000</v>
      </c>
      <c r="D68" s="204">
        <v>169088000</v>
      </c>
      <c r="E68" s="204">
        <v>163830000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90997000</v>
      </c>
      <c r="D69" s="204">
        <v>96897000</v>
      </c>
      <c r="E69" s="204">
        <v>96651000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61.261354758949174</v>
      </c>
      <c r="D71" s="203">
        <f>IF((D77/365)=0,0,+D74/(D77/365))</f>
        <v>77.678956023167146</v>
      </c>
      <c r="E71" s="203">
        <f>IF((E77/365)=0,0,+E74/(E77/365))</f>
        <v>67.867904054825814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28527000</v>
      </c>
      <c r="D72" s="183">
        <v>25968000</v>
      </c>
      <c r="E72" s="183">
        <v>25249000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37860000</v>
      </c>
      <c r="D73" s="206">
        <v>61779000</v>
      </c>
      <c r="E73" s="206">
        <v>56146000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66387000</v>
      </c>
      <c r="D74" s="204">
        <f>+D72+D73</f>
        <v>87747000</v>
      </c>
      <c r="E74" s="204">
        <f>+E72+E73</f>
        <v>81395000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426496000</v>
      </c>
      <c r="D75" s="204">
        <f>+D14</f>
        <v>443456000</v>
      </c>
      <c r="E75" s="204">
        <f>+E14</f>
        <v>470194000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30957000</v>
      </c>
      <c r="D76" s="204">
        <v>31148000</v>
      </c>
      <c r="E76" s="204">
        <v>32444000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395539000</v>
      </c>
      <c r="D77" s="204">
        <f>+D75-D76</f>
        <v>412308000</v>
      </c>
      <c r="E77" s="204">
        <f>+E75-E76</f>
        <v>437750000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41.3136386913229</v>
      </c>
      <c r="D79" s="203">
        <f>IF((D84/365)=0,0,+D83/(D84/365))</f>
        <v>42.807858837866952</v>
      </c>
      <c r="E79" s="203">
        <f>IF((E84/365)=0,0,+E83/(E84/365))</f>
        <v>41.340348479816555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49732000</v>
      </c>
      <c r="D80" s="212">
        <v>54662000</v>
      </c>
      <c r="E80" s="212">
        <v>53543000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49732000</v>
      </c>
      <c r="D83" s="212">
        <f>+D80+D81-D82</f>
        <v>54662000</v>
      </c>
      <c r="E83" s="212">
        <f>+E80+E81-E82</f>
        <v>53543000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439375000</v>
      </c>
      <c r="D84" s="204">
        <f>+D11</f>
        <v>466074000</v>
      </c>
      <c r="E84" s="204">
        <f>+E11</f>
        <v>472739000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83.971251886666039</v>
      </c>
      <c r="D86" s="203">
        <f>IF((D90/365)=0,0,+D87/(D90/365))</f>
        <v>85.779089903664243</v>
      </c>
      <c r="E86" s="203">
        <f>IF((E90/365)=0,0,+E87/(E90/365))</f>
        <v>80.588498001142213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90997000</v>
      </c>
      <c r="D87" s="76">
        <f>+D69</f>
        <v>96897000</v>
      </c>
      <c r="E87" s="76">
        <f>+E69</f>
        <v>96651000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426496000</v>
      </c>
      <c r="D88" s="76">
        <f t="shared" si="0"/>
        <v>443456000</v>
      </c>
      <c r="E88" s="76">
        <f t="shared" si="0"/>
        <v>470194000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30957000</v>
      </c>
      <c r="D89" s="201">
        <f t="shared" si="0"/>
        <v>31148000</v>
      </c>
      <c r="E89" s="201">
        <f t="shared" si="0"/>
        <v>32444000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395539000</v>
      </c>
      <c r="D90" s="76">
        <f>+D88-D89</f>
        <v>412308000</v>
      </c>
      <c r="E90" s="76">
        <f>+E88-E89</f>
        <v>437750000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32.975294926731209</v>
      </c>
      <c r="D94" s="214">
        <f>IF(D96=0,0,(D95/D96)*100)</f>
        <v>31.675019307848849</v>
      </c>
      <c r="E94" s="214">
        <f>IF(E96=0,0,(E95/E96)*100)</f>
        <v>31.153992788720451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155833000</v>
      </c>
      <c r="D95" s="76">
        <f>+D32</f>
        <v>168564000</v>
      </c>
      <c r="E95" s="76">
        <f>+E32</f>
        <v>182225000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472575000</v>
      </c>
      <c r="D96" s="76">
        <v>532167000</v>
      </c>
      <c r="E96" s="76">
        <v>584917000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38.658598506064209</v>
      </c>
      <c r="D98" s="214">
        <f>IF(D104=0,0,(D101/D104)*100)</f>
        <v>37.629348853750137</v>
      </c>
      <c r="E98" s="214">
        <f>IF(E104=0,0,(E101/E104)*100)</f>
        <v>30.691586754802469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42896000</v>
      </c>
      <c r="D99" s="76">
        <f>+D28</f>
        <v>55617000</v>
      </c>
      <c r="E99" s="76">
        <f>+E28</f>
        <v>46674000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30957000</v>
      </c>
      <c r="D100" s="201">
        <f>+D76</f>
        <v>31148000</v>
      </c>
      <c r="E100" s="201">
        <f>+E76</f>
        <v>32444000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73853000</v>
      </c>
      <c r="D101" s="76">
        <f>+D99+D100</f>
        <v>86765000</v>
      </c>
      <c r="E101" s="76">
        <f>+E99+E100</f>
        <v>79118000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90997000</v>
      </c>
      <c r="D102" s="204">
        <f>+D69</f>
        <v>96897000</v>
      </c>
      <c r="E102" s="204">
        <f>+E69</f>
        <v>96651000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100042000</v>
      </c>
      <c r="D103" s="216">
        <v>133681000</v>
      </c>
      <c r="E103" s="216">
        <v>161133000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191039000</v>
      </c>
      <c r="D104" s="204">
        <f>+D102+D103</f>
        <v>230578000</v>
      </c>
      <c r="E104" s="204">
        <f>+E102+E103</f>
        <v>257784000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39.097997068881291</v>
      </c>
      <c r="D106" s="214">
        <f>IF(D109=0,0,(D107/D109)*100)</f>
        <v>44.229350361461726</v>
      </c>
      <c r="E106" s="214">
        <f>IF(E109=0,0,(E107/E109)*100)</f>
        <v>46.928570180394807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100042000</v>
      </c>
      <c r="D107" s="204">
        <f>+D103</f>
        <v>133681000</v>
      </c>
      <c r="E107" s="204">
        <f>+E103</f>
        <v>161133000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155833000</v>
      </c>
      <c r="D108" s="204">
        <f>+D32</f>
        <v>168564000</v>
      </c>
      <c r="E108" s="204">
        <f>+E32</f>
        <v>182225000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255875000</v>
      </c>
      <c r="D109" s="204">
        <f>+D107+D108</f>
        <v>302245000</v>
      </c>
      <c r="E109" s="204">
        <f>+E107+E108</f>
        <v>343358000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11.731501381639546</v>
      </c>
      <c r="D111" s="214">
        <f>IF((+D113+D115)=0,0,((+D112+D113+D114)/(+D113+D115)))</f>
        <v>11.597753099173554</v>
      </c>
      <c r="E111" s="214">
        <f>IF((+E113+E115)=0,0,((+E112+E113+E114)/(+E113+E115)))</f>
        <v>7.5587919942816297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42896000</v>
      </c>
      <c r="D112" s="76">
        <f>+D17</f>
        <v>55617000</v>
      </c>
      <c r="E112" s="76">
        <f>+E17</f>
        <v>46674000</v>
      </c>
    </row>
    <row r="113" spans="1:8" ht="24" customHeight="1" x14ac:dyDescent="0.2">
      <c r="A113" s="85">
        <v>17</v>
      </c>
      <c r="B113" s="75" t="s">
        <v>88</v>
      </c>
      <c r="C113" s="218">
        <v>2566000</v>
      </c>
      <c r="D113" s="76">
        <v>3048000</v>
      </c>
      <c r="E113" s="76">
        <v>5480000</v>
      </c>
    </row>
    <row r="114" spans="1:8" ht="24" customHeight="1" x14ac:dyDescent="0.2">
      <c r="A114" s="85">
        <v>18</v>
      </c>
      <c r="B114" s="75" t="s">
        <v>374</v>
      </c>
      <c r="C114" s="218">
        <v>30957000</v>
      </c>
      <c r="D114" s="76">
        <v>31148000</v>
      </c>
      <c r="E114" s="76">
        <v>32444000</v>
      </c>
    </row>
    <row r="115" spans="1:8" ht="24" customHeight="1" x14ac:dyDescent="0.2">
      <c r="A115" s="85">
        <v>19</v>
      </c>
      <c r="B115" s="75" t="s">
        <v>104</v>
      </c>
      <c r="C115" s="218">
        <v>3948000</v>
      </c>
      <c r="D115" s="76">
        <v>4696000</v>
      </c>
      <c r="E115" s="76">
        <v>5712000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9.8096391769228291</v>
      </c>
      <c r="D119" s="214">
        <f>IF(+D121=0,0,(+D120)/(+D121))</f>
        <v>9.2908372929241043</v>
      </c>
      <c r="E119" s="214">
        <f>IF(+E121=0,0,(+E120)/(+E121))</f>
        <v>9.5400382197016391</v>
      </c>
    </row>
    <row r="120" spans="1:8" ht="24" customHeight="1" x14ac:dyDescent="0.2">
      <c r="A120" s="85">
        <v>21</v>
      </c>
      <c r="B120" s="75" t="s">
        <v>378</v>
      </c>
      <c r="C120" s="218">
        <v>303677000</v>
      </c>
      <c r="D120" s="218">
        <v>289391000</v>
      </c>
      <c r="E120" s="218">
        <v>309517000</v>
      </c>
    </row>
    <row r="121" spans="1:8" ht="24" customHeight="1" x14ac:dyDescent="0.2">
      <c r="A121" s="85">
        <v>22</v>
      </c>
      <c r="B121" s="75" t="s">
        <v>374</v>
      </c>
      <c r="C121" s="218">
        <v>30957000</v>
      </c>
      <c r="D121" s="218">
        <v>31148000</v>
      </c>
      <c r="E121" s="218">
        <v>32444000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101235</v>
      </c>
      <c r="D124" s="218">
        <v>109472</v>
      </c>
      <c r="E124" s="218">
        <v>105942</v>
      </c>
    </row>
    <row r="125" spans="1:8" ht="24" customHeight="1" x14ac:dyDescent="0.2">
      <c r="A125" s="85">
        <v>2</v>
      </c>
      <c r="B125" s="75" t="s">
        <v>381</v>
      </c>
      <c r="C125" s="218">
        <v>18207</v>
      </c>
      <c r="D125" s="218">
        <v>19815</v>
      </c>
      <c r="E125" s="218">
        <v>20657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5.5602240896358541</v>
      </c>
      <c r="D126" s="219">
        <f>IF(D125=0,0,D124/D125)</f>
        <v>5.5247035074438555</v>
      </c>
      <c r="E126" s="219">
        <f>IF(E125=0,0,E124/E125)</f>
        <v>5.1286246792854726</v>
      </c>
    </row>
    <row r="127" spans="1:8" ht="24" customHeight="1" x14ac:dyDescent="0.2">
      <c r="A127" s="85">
        <v>4</v>
      </c>
      <c r="B127" s="75" t="s">
        <v>383</v>
      </c>
      <c r="C127" s="218">
        <v>281</v>
      </c>
      <c r="D127" s="218">
        <v>302</v>
      </c>
      <c r="E127" s="218">
        <v>294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383</v>
      </c>
      <c r="E128" s="218">
        <v>383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368</v>
      </c>
      <c r="D129" s="218">
        <v>383</v>
      </c>
      <c r="E129" s="218">
        <v>383</v>
      </c>
    </row>
    <row r="130" spans="1:7" ht="24" customHeight="1" x14ac:dyDescent="0.2">
      <c r="A130" s="85">
        <v>7</v>
      </c>
      <c r="B130" s="75" t="s">
        <v>386</v>
      </c>
      <c r="C130" s="193">
        <v>0.98699999999999999</v>
      </c>
      <c r="D130" s="193">
        <v>0.99309999999999998</v>
      </c>
      <c r="E130" s="193">
        <v>0.98719999999999997</v>
      </c>
    </row>
    <row r="131" spans="1:7" ht="24" customHeight="1" x14ac:dyDescent="0.2">
      <c r="A131" s="85">
        <v>8</v>
      </c>
      <c r="B131" s="75" t="s">
        <v>387</v>
      </c>
      <c r="C131" s="193">
        <v>0.75360000000000005</v>
      </c>
      <c r="D131" s="193">
        <v>0.78300000000000003</v>
      </c>
      <c r="E131" s="193">
        <v>0.75780000000000003</v>
      </c>
    </row>
    <row r="132" spans="1:7" ht="24" customHeight="1" x14ac:dyDescent="0.2">
      <c r="A132" s="85">
        <v>9</v>
      </c>
      <c r="B132" s="75" t="s">
        <v>388</v>
      </c>
      <c r="C132" s="219">
        <v>2151</v>
      </c>
      <c r="D132" s="219">
        <v>2137.9</v>
      </c>
      <c r="E132" s="219">
        <v>2159.5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0.29466841170989694</v>
      </c>
      <c r="D135" s="227">
        <f>IF(D149=0,0,D143/D149)</f>
        <v>0.28109039863889018</v>
      </c>
      <c r="E135" s="227">
        <f>IF(E149=0,0,E143/E149)</f>
        <v>0.27584951916425376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0.37161215992983088</v>
      </c>
      <c r="D136" s="227">
        <f>IF(D149=0,0,D144/D149)</f>
        <v>0.38650513417897653</v>
      </c>
      <c r="E136" s="227">
        <f>IF(E149=0,0,E144/E149)</f>
        <v>0.39004320860411401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0.30511186845537208</v>
      </c>
      <c r="D137" s="227">
        <f>IF(D149=0,0,D145/D149)</f>
        <v>0.30136708540187568</v>
      </c>
      <c r="E137" s="227">
        <f>IF(E149=0,0,E145/E149)</f>
        <v>0.30485414215543566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2.7143438667236262E-2</v>
      </c>
      <c r="D139" s="227">
        <f>IF(D149=0,0,D147/D149)</f>
        <v>3.0329110776444561E-2</v>
      </c>
      <c r="E139" s="227">
        <f>IF(E149=0,0,E147/E149)</f>
        <v>2.813055414591057E-2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1.4641212376638349E-3</v>
      </c>
      <c r="D140" s="227">
        <f>IF(D149=0,0,D148/D149)</f>
        <v>7.082710038130161E-4</v>
      </c>
      <c r="E140" s="227">
        <f>IF(E149=0,0,E148/E149)</f>
        <v>1.1225759302859613E-3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0.99999999999999989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498897117</v>
      </c>
      <c r="D143" s="229">
        <f>+D46-D147</f>
        <v>494715543</v>
      </c>
      <c r="E143" s="229">
        <f>+E46-E147</f>
        <v>487549292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629169018</v>
      </c>
      <c r="D144" s="229">
        <f>+D51</f>
        <v>680244143</v>
      </c>
      <c r="E144" s="229">
        <f>+E51</f>
        <v>689380539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516578722</v>
      </c>
      <c r="D145" s="229">
        <f>+D55</f>
        <v>530402255</v>
      </c>
      <c r="E145" s="229">
        <f>+E55</f>
        <v>538813414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45956006</v>
      </c>
      <c r="D147" s="229">
        <f>+D47</f>
        <v>53378851</v>
      </c>
      <c r="E147" s="229">
        <f>+E47</f>
        <v>49719252</v>
      </c>
    </row>
    <row r="148" spans="1:7" ht="20.100000000000001" customHeight="1" x14ac:dyDescent="0.2">
      <c r="A148" s="226">
        <v>13</v>
      </c>
      <c r="B148" s="224" t="s">
        <v>402</v>
      </c>
      <c r="C148" s="230">
        <v>2478874</v>
      </c>
      <c r="D148" s="229">
        <v>1246548</v>
      </c>
      <c r="E148" s="229">
        <v>1984093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1693079737</v>
      </c>
      <c r="D149" s="229">
        <f>SUM(D143:D148)</f>
        <v>1759987340</v>
      </c>
      <c r="E149" s="229">
        <f>SUM(E143:E148)</f>
        <v>1767446590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0.40851885689009032</v>
      </c>
      <c r="D152" s="227">
        <f>IF(D166=0,0,D160/D166)</f>
        <v>0.40758508507072727</v>
      </c>
      <c r="E152" s="227">
        <f>IF(E166=0,0,E160/E166)</f>
        <v>0.41307730799466486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0.35383589731609372</v>
      </c>
      <c r="D153" s="227">
        <f>IF(D166=0,0,D161/D166)</f>
        <v>0.36762772685211692</v>
      </c>
      <c r="E153" s="227">
        <f>IF(E166=0,0,E161/E166)</f>
        <v>0.3632907793111429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0.20525690538967786</v>
      </c>
      <c r="D154" s="227">
        <f>IF(D166=0,0,D162/D166)</f>
        <v>0.16965680890800799</v>
      </c>
      <c r="E154" s="227">
        <f>IF(E166=0,0,E162/E166)</f>
        <v>0.20165706853125556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3.0765694340739346E-2</v>
      </c>
      <c r="D156" s="227">
        <f>IF(D166=0,0,D164/D166)</f>
        <v>5.4575917931675273E-2</v>
      </c>
      <c r="E156" s="227">
        <f>IF(E166=0,0,E164/E166)</f>
        <v>2.1393440909678825E-2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1.6226460633987781E-3</v>
      </c>
      <c r="D157" s="227">
        <f>IF(D166=0,0,D165/D166)</f>
        <v>5.5446123747251042E-4</v>
      </c>
      <c r="E157" s="227">
        <f>IF(E166=0,0,E165/E166)</f>
        <v>5.8140325325788621E-4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184134660</v>
      </c>
      <c r="D160" s="229">
        <f>+D44-D164</f>
        <v>200617921</v>
      </c>
      <c r="E160" s="229">
        <f>+E44-E164</f>
        <v>203080997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159487014</v>
      </c>
      <c r="D161" s="229">
        <f>+D50</f>
        <v>180950464</v>
      </c>
      <c r="E161" s="229">
        <f>+E50</f>
        <v>178604470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92516930</v>
      </c>
      <c r="D162" s="229">
        <f>+D54</f>
        <v>83506972</v>
      </c>
      <c r="E162" s="229">
        <f>+E54</f>
        <v>99140567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13867244</v>
      </c>
      <c r="D164" s="229">
        <f>+D45</f>
        <v>26862875</v>
      </c>
      <c r="E164" s="229">
        <f>+E45</f>
        <v>10517647</v>
      </c>
    </row>
    <row r="165" spans="1:6" ht="20.100000000000001" customHeight="1" x14ac:dyDescent="0.2">
      <c r="A165" s="226">
        <v>13</v>
      </c>
      <c r="B165" s="224" t="s">
        <v>417</v>
      </c>
      <c r="C165" s="230">
        <v>731387</v>
      </c>
      <c r="D165" s="229">
        <v>272912</v>
      </c>
      <c r="E165" s="229">
        <v>285835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450737235</v>
      </c>
      <c r="D166" s="229">
        <f>SUM(D160:D165)</f>
        <v>492211144</v>
      </c>
      <c r="E166" s="229">
        <f>SUM(E160:E165)</f>
        <v>491629516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5161</v>
      </c>
      <c r="D169" s="218">
        <v>5639</v>
      </c>
      <c r="E169" s="218">
        <v>5694</v>
      </c>
    </row>
    <row r="170" spans="1:6" ht="20.100000000000001" customHeight="1" x14ac:dyDescent="0.2">
      <c r="A170" s="226">
        <v>2</v>
      </c>
      <c r="B170" s="224" t="s">
        <v>420</v>
      </c>
      <c r="C170" s="218">
        <v>6958</v>
      </c>
      <c r="D170" s="218">
        <v>7920</v>
      </c>
      <c r="E170" s="218">
        <v>8160</v>
      </c>
    </row>
    <row r="171" spans="1:6" ht="20.100000000000001" customHeight="1" x14ac:dyDescent="0.2">
      <c r="A171" s="226">
        <v>3</v>
      </c>
      <c r="B171" s="224" t="s">
        <v>421</v>
      </c>
      <c r="C171" s="218">
        <v>6057</v>
      </c>
      <c r="D171" s="218">
        <v>6240</v>
      </c>
      <c r="E171" s="218">
        <v>6767</v>
      </c>
    </row>
    <row r="172" spans="1:6" ht="20.100000000000001" customHeight="1" x14ac:dyDescent="0.2">
      <c r="A172" s="226">
        <v>4</v>
      </c>
      <c r="B172" s="224" t="s">
        <v>422</v>
      </c>
      <c r="C172" s="218">
        <v>6057</v>
      </c>
      <c r="D172" s="218">
        <v>6240</v>
      </c>
      <c r="E172" s="218">
        <v>6767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31</v>
      </c>
      <c r="D174" s="218">
        <v>16</v>
      </c>
      <c r="E174" s="218">
        <v>36</v>
      </c>
    </row>
    <row r="175" spans="1:6" ht="20.100000000000001" customHeight="1" x14ac:dyDescent="0.2">
      <c r="A175" s="226">
        <v>7</v>
      </c>
      <c r="B175" s="224" t="s">
        <v>425</v>
      </c>
      <c r="C175" s="218">
        <v>215</v>
      </c>
      <c r="D175" s="218">
        <v>785</v>
      </c>
      <c r="E175" s="218">
        <v>261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18207</v>
      </c>
      <c r="D176" s="218">
        <f>+D169+D170+D171+D174</f>
        <v>19815</v>
      </c>
      <c r="E176" s="218">
        <f>+E169+E170+E171+E174</f>
        <v>20657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1.2794000000000001</v>
      </c>
      <c r="D179" s="231">
        <v>1.28301</v>
      </c>
      <c r="E179" s="231">
        <v>1.2920799999999999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1.59206</v>
      </c>
      <c r="D180" s="231">
        <v>1.6468</v>
      </c>
      <c r="E180" s="231">
        <v>1.6724600000000001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1.0716300000000001</v>
      </c>
      <c r="D181" s="231">
        <v>1.0688200000000001</v>
      </c>
      <c r="E181" s="231">
        <v>1.12961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1.0716300000000001</v>
      </c>
      <c r="D182" s="231">
        <v>1.0688200000000001</v>
      </c>
      <c r="E182" s="231">
        <v>1.12961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1.1305099999999999</v>
      </c>
      <c r="D184" s="231">
        <v>0.86004999999999998</v>
      </c>
      <c r="E184" s="231">
        <v>0.92449999999999999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1.18129</v>
      </c>
      <c r="D185" s="231">
        <v>1.03671</v>
      </c>
      <c r="E185" s="231">
        <v>1.2895000000000001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1.3295129999999999</v>
      </c>
      <c r="D186" s="231">
        <v>1.3606229999999999</v>
      </c>
      <c r="E186" s="231">
        <v>1.3884749999999999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13334</v>
      </c>
      <c r="D189" s="218">
        <v>15012</v>
      </c>
      <c r="E189" s="218">
        <v>12434</v>
      </c>
    </row>
    <row r="190" spans="1:6" ht="20.100000000000001" customHeight="1" x14ac:dyDescent="0.2">
      <c r="A190" s="226">
        <v>2</v>
      </c>
      <c r="B190" s="224" t="s">
        <v>433</v>
      </c>
      <c r="C190" s="218">
        <v>73906</v>
      </c>
      <c r="D190" s="218">
        <v>76274</v>
      </c>
      <c r="E190" s="218">
        <v>75570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87240</v>
      </c>
      <c r="D191" s="218">
        <f>+D190+D189</f>
        <v>91286</v>
      </c>
      <c r="E191" s="218">
        <f>+E190+E189</f>
        <v>88004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FILING&amp;RBRIDGEPORT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2365699</v>
      </c>
      <c r="D14" s="258">
        <v>10650859</v>
      </c>
      <c r="E14" s="258">
        <f t="shared" ref="E14:E24" si="0">D14-C14</f>
        <v>8285160</v>
      </c>
      <c r="F14" s="259">
        <f t="shared" ref="F14:F24" si="1">IF(C14=0,0,E14/C14)</f>
        <v>3.5022037883940436</v>
      </c>
    </row>
    <row r="15" spans="1:7" ht="20.25" customHeight="1" x14ac:dyDescent="0.3">
      <c r="A15" s="256">
        <v>2</v>
      </c>
      <c r="B15" s="257" t="s">
        <v>442</v>
      </c>
      <c r="C15" s="258">
        <v>712886</v>
      </c>
      <c r="D15" s="258">
        <v>3980855</v>
      </c>
      <c r="E15" s="258">
        <f t="shared" si="0"/>
        <v>3267969</v>
      </c>
      <c r="F15" s="259">
        <f t="shared" si="1"/>
        <v>4.5841396801171577</v>
      </c>
    </row>
    <row r="16" spans="1:7" ht="20.25" customHeight="1" x14ac:dyDescent="0.3">
      <c r="A16" s="256">
        <v>3</v>
      </c>
      <c r="B16" s="257" t="s">
        <v>443</v>
      </c>
      <c r="C16" s="258">
        <v>1541489</v>
      </c>
      <c r="D16" s="258">
        <v>7979088</v>
      </c>
      <c r="E16" s="258">
        <f t="shared" si="0"/>
        <v>6437599</v>
      </c>
      <c r="F16" s="259">
        <f t="shared" si="1"/>
        <v>4.1762211731643886</v>
      </c>
    </row>
    <row r="17" spans="1:6" ht="20.25" customHeight="1" x14ac:dyDescent="0.3">
      <c r="A17" s="256">
        <v>4</v>
      </c>
      <c r="B17" s="257" t="s">
        <v>444</v>
      </c>
      <c r="C17" s="258">
        <v>212917</v>
      </c>
      <c r="D17" s="258">
        <v>1173222</v>
      </c>
      <c r="E17" s="258">
        <f t="shared" si="0"/>
        <v>960305</v>
      </c>
      <c r="F17" s="259">
        <f t="shared" si="1"/>
        <v>4.510231686525735</v>
      </c>
    </row>
    <row r="18" spans="1:6" ht="20.25" customHeight="1" x14ac:dyDescent="0.3">
      <c r="A18" s="256">
        <v>5</v>
      </c>
      <c r="B18" s="257" t="s">
        <v>381</v>
      </c>
      <c r="C18" s="260">
        <v>43</v>
      </c>
      <c r="D18" s="260">
        <v>177</v>
      </c>
      <c r="E18" s="260">
        <f t="shared" si="0"/>
        <v>134</v>
      </c>
      <c r="F18" s="259">
        <f t="shared" si="1"/>
        <v>3.1162790697674421</v>
      </c>
    </row>
    <row r="19" spans="1:6" ht="20.25" customHeight="1" x14ac:dyDescent="0.3">
      <c r="A19" s="256">
        <v>6</v>
      </c>
      <c r="B19" s="257" t="s">
        <v>380</v>
      </c>
      <c r="C19" s="260">
        <v>353</v>
      </c>
      <c r="D19" s="260">
        <v>1461</v>
      </c>
      <c r="E19" s="260">
        <f t="shared" si="0"/>
        <v>1108</v>
      </c>
      <c r="F19" s="259">
        <f t="shared" si="1"/>
        <v>3.1388101983002832</v>
      </c>
    </row>
    <row r="20" spans="1:6" ht="20.25" customHeight="1" x14ac:dyDescent="0.3">
      <c r="A20" s="256">
        <v>7</v>
      </c>
      <c r="B20" s="257" t="s">
        <v>445</v>
      </c>
      <c r="C20" s="260">
        <v>300</v>
      </c>
      <c r="D20" s="260">
        <v>1787</v>
      </c>
      <c r="E20" s="260">
        <f t="shared" si="0"/>
        <v>1487</v>
      </c>
      <c r="F20" s="259">
        <f t="shared" si="1"/>
        <v>4.956666666666667</v>
      </c>
    </row>
    <row r="21" spans="1:6" ht="20.25" customHeight="1" x14ac:dyDescent="0.3">
      <c r="A21" s="256">
        <v>8</v>
      </c>
      <c r="B21" s="257" t="s">
        <v>446</v>
      </c>
      <c r="C21" s="260">
        <v>57</v>
      </c>
      <c r="D21" s="260">
        <v>299</v>
      </c>
      <c r="E21" s="260">
        <f t="shared" si="0"/>
        <v>242</v>
      </c>
      <c r="F21" s="259">
        <f t="shared" si="1"/>
        <v>4.2456140350877192</v>
      </c>
    </row>
    <row r="22" spans="1:6" ht="20.25" customHeight="1" x14ac:dyDescent="0.3">
      <c r="A22" s="256">
        <v>9</v>
      </c>
      <c r="B22" s="257" t="s">
        <v>447</v>
      </c>
      <c r="C22" s="260">
        <v>41</v>
      </c>
      <c r="D22" s="260">
        <v>147</v>
      </c>
      <c r="E22" s="260">
        <f t="shared" si="0"/>
        <v>106</v>
      </c>
      <c r="F22" s="259">
        <f t="shared" si="1"/>
        <v>2.5853658536585367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3907188</v>
      </c>
      <c r="D23" s="263">
        <f>+D14+D16</f>
        <v>18629947</v>
      </c>
      <c r="E23" s="263">
        <f t="shared" si="0"/>
        <v>14722759</v>
      </c>
      <c r="F23" s="264">
        <f t="shared" si="1"/>
        <v>3.7681214725270449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925803</v>
      </c>
      <c r="D24" s="263">
        <f>+D15+D17</f>
        <v>5154077</v>
      </c>
      <c r="E24" s="263">
        <f t="shared" si="0"/>
        <v>4228274</v>
      </c>
      <c r="F24" s="264">
        <f t="shared" si="1"/>
        <v>4.5671422538056152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38006441</v>
      </c>
      <c r="D40" s="258">
        <v>37167354</v>
      </c>
      <c r="E40" s="258">
        <f t="shared" ref="E40:E50" si="4">D40-C40</f>
        <v>-839087</v>
      </c>
      <c r="F40" s="259">
        <f t="shared" ref="F40:F50" si="5">IF(C40=0,0,E40/C40)</f>
        <v>-2.2077494706752469E-2</v>
      </c>
    </row>
    <row r="41" spans="1:6" ht="20.25" customHeight="1" x14ac:dyDescent="0.3">
      <c r="A41" s="256">
        <v>2</v>
      </c>
      <c r="B41" s="257" t="s">
        <v>442</v>
      </c>
      <c r="C41" s="258">
        <v>12007762</v>
      </c>
      <c r="D41" s="258">
        <v>10094834</v>
      </c>
      <c r="E41" s="258">
        <f t="shared" si="4"/>
        <v>-1912928</v>
      </c>
      <c r="F41" s="259">
        <f t="shared" si="5"/>
        <v>-0.15930762118702885</v>
      </c>
    </row>
    <row r="42" spans="1:6" ht="20.25" customHeight="1" x14ac:dyDescent="0.3">
      <c r="A42" s="256">
        <v>3</v>
      </c>
      <c r="B42" s="257" t="s">
        <v>443</v>
      </c>
      <c r="C42" s="258">
        <v>22144110</v>
      </c>
      <c r="D42" s="258">
        <v>20848144</v>
      </c>
      <c r="E42" s="258">
        <f t="shared" si="4"/>
        <v>-1295966</v>
      </c>
      <c r="F42" s="259">
        <f t="shared" si="5"/>
        <v>-5.8524185438023929E-2</v>
      </c>
    </row>
    <row r="43" spans="1:6" ht="20.25" customHeight="1" x14ac:dyDescent="0.3">
      <c r="A43" s="256">
        <v>4</v>
      </c>
      <c r="B43" s="257" t="s">
        <v>444</v>
      </c>
      <c r="C43" s="258">
        <v>3351672</v>
      </c>
      <c r="D43" s="258">
        <v>3428442</v>
      </c>
      <c r="E43" s="258">
        <f t="shared" si="4"/>
        <v>76770</v>
      </c>
      <c r="F43" s="259">
        <f t="shared" si="5"/>
        <v>2.2904985929410752E-2</v>
      </c>
    </row>
    <row r="44" spans="1:6" ht="20.25" customHeight="1" x14ac:dyDescent="0.3">
      <c r="A44" s="256">
        <v>5</v>
      </c>
      <c r="B44" s="257" t="s">
        <v>381</v>
      </c>
      <c r="C44" s="260">
        <v>653</v>
      </c>
      <c r="D44" s="260">
        <v>632</v>
      </c>
      <c r="E44" s="260">
        <f t="shared" si="4"/>
        <v>-21</v>
      </c>
      <c r="F44" s="259">
        <f t="shared" si="5"/>
        <v>-3.2159264931087291E-2</v>
      </c>
    </row>
    <row r="45" spans="1:6" ht="20.25" customHeight="1" x14ac:dyDescent="0.3">
      <c r="A45" s="256">
        <v>6</v>
      </c>
      <c r="B45" s="257" t="s">
        <v>380</v>
      </c>
      <c r="C45" s="260">
        <v>4592</v>
      </c>
      <c r="D45" s="260">
        <v>4260</v>
      </c>
      <c r="E45" s="260">
        <f t="shared" si="4"/>
        <v>-332</v>
      </c>
      <c r="F45" s="259">
        <f t="shared" si="5"/>
        <v>-7.2299651567944254E-2</v>
      </c>
    </row>
    <row r="46" spans="1:6" ht="20.25" customHeight="1" x14ac:dyDescent="0.3">
      <c r="A46" s="256">
        <v>7</v>
      </c>
      <c r="B46" s="257" t="s">
        <v>445</v>
      </c>
      <c r="C46" s="260">
        <v>5339</v>
      </c>
      <c r="D46" s="260">
        <v>5402</v>
      </c>
      <c r="E46" s="260">
        <f t="shared" si="4"/>
        <v>63</v>
      </c>
      <c r="F46" s="259">
        <f t="shared" si="5"/>
        <v>1.1799962539801461E-2</v>
      </c>
    </row>
    <row r="47" spans="1:6" ht="20.25" customHeight="1" x14ac:dyDescent="0.3">
      <c r="A47" s="256">
        <v>8</v>
      </c>
      <c r="B47" s="257" t="s">
        <v>446</v>
      </c>
      <c r="C47" s="260">
        <v>543</v>
      </c>
      <c r="D47" s="260">
        <v>494</v>
      </c>
      <c r="E47" s="260">
        <f t="shared" si="4"/>
        <v>-49</v>
      </c>
      <c r="F47" s="259">
        <f t="shared" si="5"/>
        <v>-9.0239410681399637E-2</v>
      </c>
    </row>
    <row r="48" spans="1:6" ht="20.25" customHeight="1" x14ac:dyDescent="0.3">
      <c r="A48" s="256">
        <v>9</v>
      </c>
      <c r="B48" s="257" t="s">
        <v>447</v>
      </c>
      <c r="C48" s="260">
        <v>563</v>
      </c>
      <c r="D48" s="260">
        <v>503</v>
      </c>
      <c r="E48" s="260">
        <f t="shared" si="4"/>
        <v>-60</v>
      </c>
      <c r="F48" s="259">
        <f t="shared" si="5"/>
        <v>-0.10657193605683836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60150551</v>
      </c>
      <c r="D49" s="263">
        <f>+D40+D42</f>
        <v>58015498</v>
      </c>
      <c r="E49" s="263">
        <f t="shared" si="4"/>
        <v>-2135053</v>
      </c>
      <c r="F49" s="264">
        <f t="shared" si="5"/>
        <v>-3.5495152820794608E-2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15359434</v>
      </c>
      <c r="D50" s="263">
        <f>+D41+D43</f>
        <v>13523276</v>
      </c>
      <c r="E50" s="263">
        <f t="shared" si="4"/>
        <v>-1836158</v>
      </c>
      <c r="F50" s="264">
        <f t="shared" si="5"/>
        <v>-0.11954594160175433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47168458</v>
      </c>
      <c r="D66" s="258">
        <v>46816183</v>
      </c>
      <c r="E66" s="258">
        <f t="shared" ref="E66:E76" si="8">D66-C66</f>
        <v>-352275</v>
      </c>
      <c r="F66" s="259">
        <f t="shared" ref="F66:F76" si="9">IF(C66=0,0,E66/C66)</f>
        <v>-7.4684442726535597E-3</v>
      </c>
    </row>
    <row r="67" spans="1:6" ht="20.25" customHeight="1" x14ac:dyDescent="0.3">
      <c r="A67" s="256">
        <v>2</v>
      </c>
      <c r="B67" s="257" t="s">
        <v>442</v>
      </c>
      <c r="C67" s="258">
        <v>14837086</v>
      </c>
      <c r="D67" s="258">
        <v>12646682</v>
      </c>
      <c r="E67" s="258">
        <f t="shared" si="8"/>
        <v>-2190404</v>
      </c>
      <c r="F67" s="259">
        <f t="shared" si="9"/>
        <v>-0.1476303365768723</v>
      </c>
    </row>
    <row r="68" spans="1:6" ht="20.25" customHeight="1" x14ac:dyDescent="0.3">
      <c r="A68" s="256">
        <v>3</v>
      </c>
      <c r="B68" s="257" t="s">
        <v>443</v>
      </c>
      <c r="C68" s="258">
        <v>25547603</v>
      </c>
      <c r="D68" s="258">
        <v>26960377</v>
      </c>
      <c r="E68" s="258">
        <f t="shared" si="8"/>
        <v>1412774</v>
      </c>
      <c r="F68" s="259">
        <f t="shared" si="9"/>
        <v>5.5299669405384139E-2</v>
      </c>
    </row>
    <row r="69" spans="1:6" ht="20.25" customHeight="1" x14ac:dyDescent="0.3">
      <c r="A69" s="256">
        <v>4</v>
      </c>
      <c r="B69" s="257" t="s">
        <v>444</v>
      </c>
      <c r="C69" s="258">
        <v>3456876</v>
      </c>
      <c r="D69" s="258">
        <v>4070470</v>
      </c>
      <c r="E69" s="258">
        <f t="shared" si="8"/>
        <v>613594</v>
      </c>
      <c r="F69" s="259">
        <f t="shared" si="9"/>
        <v>0.17749956897499361</v>
      </c>
    </row>
    <row r="70" spans="1:6" ht="20.25" customHeight="1" x14ac:dyDescent="0.3">
      <c r="A70" s="256">
        <v>5</v>
      </c>
      <c r="B70" s="257" t="s">
        <v>381</v>
      </c>
      <c r="C70" s="260">
        <v>864</v>
      </c>
      <c r="D70" s="260">
        <v>828</v>
      </c>
      <c r="E70" s="260">
        <f t="shared" si="8"/>
        <v>-36</v>
      </c>
      <c r="F70" s="259">
        <f t="shared" si="9"/>
        <v>-4.1666666666666664E-2</v>
      </c>
    </row>
    <row r="71" spans="1:6" ht="20.25" customHeight="1" x14ac:dyDescent="0.3">
      <c r="A71" s="256">
        <v>6</v>
      </c>
      <c r="B71" s="257" t="s">
        <v>380</v>
      </c>
      <c r="C71" s="260">
        <v>6310</v>
      </c>
      <c r="D71" s="260">
        <v>5942</v>
      </c>
      <c r="E71" s="260">
        <f t="shared" si="8"/>
        <v>-368</v>
      </c>
      <c r="F71" s="259">
        <f t="shared" si="9"/>
        <v>-5.8320126782884313E-2</v>
      </c>
    </row>
    <row r="72" spans="1:6" ht="20.25" customHeight="1" x14ac:dyDescent="0.3">
      <c r="A72" s="256">
        <v>7</v>
      </c>
      <c r="B72" s="257" t="s">
        <v>445</v>
      </c>
      <c r="C72" s="260">
        <v>6129</v>
      </c>
      <c r="D72" s="260">
        <v>6442</v>
      </c>
      <c r="E72" s="260">
        <f t="shared" si="8"/>
        <v>313</v>
      </c>
      <c r="F72" s="259">
        <f t="shared" si="9"/>
        <v>5.1068689835209659E-2</v>
      </c>
    </row>
    <row r="73" spans="1:6" ht="20.25" customHeight="1" x14ac:dyDescent="0.3">
      <c r="A73" s="256">
        <v>8</v>
      </c>
      <c r="B73" s="257" t="s">
        <v>446</v>
      </c>
      <c r="C73" s="260">
        <v>931</v>
      </c>
      <c r="D73" s="260">
        <v>859</v>
      </c>
      <c r="E73" s="260">
        <f t="shared" si="8"/>
        <v>-72</v>
      </c>
      <c r="F73" s="259">
        <f t="shared" si="9"/>
        <v>-7.7336197636949516E-2</v>
      </c>
    </row>
    <row r="74" spans="1:6" ht="20.25" customHeight="1" x14ac:dyDescent="0.3">
      <c r="A74" s="256">
        <v>9</v>
      </c>
      <c r="B74" s="257" t="s">
        <v>447</v>
      </c>
      <c r="C74" s="260">
        <v>874</v>
      </c>
      <c r="D74" s="260">
        <v>728</v>
      </c>
      <c r="E74" s="260">
        <f t="shared" si="8"/>
        <v>-146</v>
      </c>
      <c r="F74" s="259">
        <f t="shared" si="9"/>
        <v>-0.16704805491990846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72716061</v>
      </c>
      <c r="D75" s="263">
        <f>+D66+D68</f>
        <v>73776560</v>
      </c>
      <c r="E75" s="263">
        <f t="shared" si="8"/>
        <v>1060499</v>
      </c>
      <c r="F75" s="264">
        <f t="shared" si="9"/>
        <v>1.4584109554559068E-2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18293962</v>
      </c>
      <c r="D76" s="263">
        <f>+D67+D69</f>
        <v>16717152</v>
      </c>
      <c r="E76" s="263">
        <f t="shared" si="8"/>
        <v>-1576810</v>
      </c>
      <c r="F76" s="264">
        <f t="shared" si="9"/>
        <v>-8.619291982786452E-2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19838815</v>
      </c>
      <c r="D105" s="258">
        <v>20054658</v>
      </c>
      <c r="E105" s="258">
        <f t="shared" ref="E105:E115" si="14">D105-C105</f>
        <v>215843</v>
      </c>
      <c r="F105" s="259">
        <f t="shared" ref="F105:F115" si="15">IF(C105=0,0,E105/C105)</f>
        <v>1.0879833296494775E-2</v>
      </c>
    </row>
    <row r="106" spans="1:6" ht="20.25" customHeight="1" x14ac:dyDescent="0.3">
      <c r="A106" s="256">
        <v>2</v>
      </c>
      <c r="B106" s="257" t="s">
        <v>442</v>
      </c>
      <c r="C106" s="258">
        <v>6094036</v>
      </c>
      <c r="D106" s="258">
        <v>5522821</v>
      </c>
      <c r="E106" s="258">
        <f t="shared" si="14"/>
        <v>-571215</v>
      </c>
      <c r="F106" s="259">
        <f t="shared" si="15"/>
        <v>-9.3733446930736875E-2</v>
      </c>
    </row>
    <row r="107" spans="1:6" ht="20.25" customHeight="1" x14ac:dyDescent="0.3">
      <c r="A107" s="256">
        <v>3</v>
      </c>
      <c r="B107" s="257" t="s">
        <v>443</v>
      </c>
      <c r="C107" s="258">
        <v>17081399</v>
      </c>
      <c r="D107" s="258">
        <v>13110130</v>
      </c>
      <c r="E107" s="258">
        <f t="shared" si="14"/>
        <v>-3971269</v>
      </c>
      <c r="F107" s="259">
        <f t="shared" si="15"/>
        <v>-0.23249085159827951</v>
      </c>
    </row>
    <row r="108" spans="1:6" ht="20.25" customHeight="1" x14ac:dyDescent="0.3">
      <c r="A108" s="256">
        <v>4</v>
      </c>
      <c r="B108" s="257" t="s">
        <v>444</v>
      </c>
      <c r="C108" s="258">
        <v>2371095</v>
      </c>
      <c r="D108" s="258">
        <v>1939978</v>
      </c>
      <c r="E108" s="258">
        <f t="shared" si="14"/>
        <v>-431117</v>
      </c>
      <c r="F108" s="259">
        <f t="shared" si="15"/>
        <v>-0.18182190085171618</v>
      </c>
    </row>
    <row r="109" spans="1:6" ht="20.25" customHeight="1" x14ac:dyDescent="0.3">
      <c r="A109" s="256">
        <v>5</v>
      </c>
      <c r="B109" s="257" t="s">
        <v>381</v>
      </c>
      <c r="C109" s="260">
        <v>397</v>
      </c>
      <c r="D109" s="260">
        <v>377</v>
      </c>
      <c r="E109" s="260">
        <f t="shared" si="14"/>
        <v>-20</v>
      </c>
      <c r="F109" s="259">
        <f t="shared" si="15"/>
        <v>-5.0377833753148617E-2</v>
      </c>
    </row>
    <row r="110" spans="1:6" ht="20.25" customHeight="1" x14ac:dyDescent="0.3">
      <c r="A110" s="256">
        <v>6</v>
      </c>
      <c r="B110" s="257" t="s">
        <v>380</v>
      </c>
      <c r="C110" s="260">
        <v>2517</v>
      </c>
      <c r="D110" s="260">
        <v>2776</v>
      </c>
      <c r="E110" s="260">
        <f t="shared" si="14"/>
        <v>259</v>
      </c>
      <c r="F110" s="259">
        <f t="shared" si="15"/>
        <v>0.10290027810885975</v>
      </c>
    </row>
    <row r="111" spans="1:6" ht="20.25" customHeight="1" x14ac:dyDescent="0.3">
      <c r="A111" s="256">
        <v>7</v>
      </c>
      <c r="B111" s="257" t="s">
        <v>445</v>
      </c>
      <c r="C111" s="260">
        <v>3934</v>
      </c>
      <c r="D111" s="260">
        <v>3153</v>
      </c>
      <c r="E111" s="260">
        <f t="shared" si="14"/>
        <v>-781</v>
      </c>
      <c r="F111" s="259">
        <f t="shared" si="15"/>
        <v>-0.19852567361464157</v>
      </c>
    </row>
    <row r="112" spans="1:6" ht="20.25" customHeight="1" x14ac:dyDescent="0.3">
      <c r="A112" s="256">
        <v>8</v>
      </c>
      <c r="B112" s="257" t="s">
        <v>446</v>
      </c>
      <c r="C112" s="260">
        <v>954</v>
      </c>
      <c r="D112" s="260">
        <v>703</v>
      </c>
      <c r="E112" s="260">
        <f t="shared" si="14"/>
        <v>-251</v>
      </c>
      <c r="F112" s="259">
        <f t="shared" si="15"/>
        <v>-0.26310272536687629</v>
      </c>
    </row>
    <row r="113" spans="1:6" ht="20.25" customHeight="1" x14ac:dyDescent="0.3">
      <c r="A113" s="256">
        <v>9</v>
      </c>
      <c r="B113" s="257" t="s">
        <v>447</v>
      </c>
      <c r="C113" s="260">
        <v>431</v>
      </c>
      <c r="D113" s="260">
        <v>348</v>
      </c>
      <c r="E113" s="260">
        <f t="shared" si="14"/>
        <v>-83</v>
      </c>
      <c r="F113" s="259">
        <f t="shared" si="15"/>
        <v>-0.1925754060324826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36920214</v>
      </c>
      <c r="D114" s="263">
        <f>+D105+D107</f>
        <v>33164788</v>
      </c>
      <c r="E114" s="263">
        <f t="shared" si="14"/>
        <v>-3755426</v>
      </c>
      <c r="F114" s="264">
        <f t="shared" si="15"/>
        <v>-0.10171734107500027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8465131</v>
      </c>
      <c r="D115" s="263">
        <f>+D106+D108</f>
        <v>7462799</v>
      </c>
      <c r="E115" s="263">
        <f t="shared" si="14"/>
        <v>-1002332</v>
      </c>
      <c r="F115" s="264">
        <f t="shared" si="15"/>
        <v>-0.11840714573702403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15793494</v>
      </c>
      <c r="D118" s="258">
        <v>20793575</v>
      </c>
      <c r="E118" s="258">
        <f t="shared" ref="E118:E128" si="16">D118-C118</f>
        <v>5000081</v>
      </c>
      <c r="F118" s="259">
        <f t="shared" ref="F118:F128" si="17">IF(C118=0,0,E118/C118)</f>
        <v>0.31659118621883164</v>
      </c>
    </row>
    <row r="119" spans="1:6" ht="20.25" customHeight="1" x14ac:dyDescent="0.3">
      <c r="A119" s="256">
        <v>2</v>
      </c>
      <c r="B119" s="257" t="s">
        <v>442</v>
      </c>
      <c r="C119" s="258">
        <v>4807354</v>
      </c>
      <c r="D119" s="258">
        <v>5735560</v>
      </c>
      <c r="E119" s="258">
        <f t="shared" si="16"/>
        <v>928206</v>
      </c>
      <c r="F119" s="259">
        <f t="shared" si="17"/>
        <v>0.19308043468402786</v>
      </c>
    </row>
    <row r="120" spans="1:6" ht="20.25" customHeight="1" x14ac:dyDescent="0.3">
      <c r="A120" s="256">
        <v>3</v>
      </c>
      <c r="B120" s="257" t="s">
        <v>443</v>
      </c>
      <c r="C120" s="258">
        <v>15519437</v>
      </c>
      <c r="D120" s="258">
        <v>17172017</v>
      </c>
      <c r="E120" s="258">
        <f t="shared" si="16"/>
        <v>1652580</v>
      </c>
      <c r="F120" s="259">
        <f t="shared" si="17"/>
        <v>0.10648453291185757</v>
      </c>
    </row>
    <row r="121" spans="1:6" ht="20.25" customHeight="1" x14ac:dyDescent="0.3">
      <c r="A121" s="256">
        <v>4</v>
      </c>
      <c r="B121" s="257" t="s">
        <v>444</v>
      </c>
      <c r="C121" s="258">
        <v>3000420</v>
      </c>
      <c r="D121" s="258">
        <v>2797090</v>
      </c>
      <c r="E121" s="258">
        <f t="shared" si="16"/>
        <v>-203330</v>
      </c>
      <c r="F121" s="259">
        <f t="shared" si="17"/>
        <v>-6.776717926157004E-2</v>
      </c>
    </row>
    <row r="122" spans="1:6" ht="20.25" customHeight="1" x14ac:dyDescent="0.3">
      <c r="A122" s="256">
        <v>5</v>
      </c>
      <c r="B122" s="257" t="s">
        <v>381</v>
      </c>
      <c r="C122" s="260">
        <v>277</v>
      </c>
      <c r="D122" s="260">
        <v>338</v>
      </c>
      <c r="E122" s="260">
        <f t="shared" si="16"/>
        <v>61</v>
      </c>
      <c r="F122" s="259">
        <f t="shared" si="17"/>
        <v>0.22021660649819494</v>
      </c>
    </row>
    <row r="123" spans="1:6" ht="20.25" customHeight="1" x14ac:dyDescent="0.3">
      <c r="A123" s="256">
        <v>6</v>
      </c>
      <c r="B123" s="257" t="s">
        <v>380</v>
      </c>
      <c r="C123" s="260">
        <v>1846</v>
      </c>
      <c r="D123" s="260">
        <v>2353</v>
      </c>
      <c r="E123" s="260">
        <f t="shared" si="16"/>
        <v>507</v>
      </c>
      <c r="F123" s="259">
        <f t="shared" si="17"/>
        <v>0.27464788732394368</v>
      </c>
    </row>
    <row r="124" spans="1:6" ht="20.25" customHeight="1" x14ac:dyDescent="0.3">
      <c r="A124" s="256">
        <v>7</v>
      </c>
      <c r="B124" s="257" t="s">
        <v>445</v>
      </c>
      <c r="C124" s="260">
        <v>3197</v>
      </c>
      <c r="D124" s="260">
        <v>3507</v>
      </c>
      <c r="E124" s="260">
        <f t="shared" si="16"/>
        <v>310</v>
      </c>
      <c r="F124" s="259">
        <f t="shared" si="17"/>
        <v>9.6965905536440411E-2</v>
      </c>
    </row>
    <row r="125" spans="1:6" ht="20.25" customHeight="1" x14ac:dyDescent="0.3">
      <c r="A125" s="256">
        <v>8</v>
      </c>
      <c r="B125" s="257" t="s">
        <v>446</v>
      </c>
      <c r="C125" s="260">
        <v>317</v>
      </c>
      <c r="D125" s="260">
        <v>390</v>
      </c>
      <c r="E125" s="260">
        <f t="shared" si="16"/>
        <v>73</v>
      </c>
      <c r="F125" s="259">
        <f t="shared" si="17"/>
        <v>0.2302839116719243</v>
      </c>
    </row>
    <row r="126" spans="1:6" ht="20.25" customHeight="1" x14ac:dyDescent="0.3">
      <c r="A126" s="256">
        <v>9</v>
      </c>
      <c r="B126" s="257" t="s">
        <v>447</v>
      </c>
      <c r="C126" s="260">
        <v>291</v>
      </c>
      <c r="D126" s="260">
        <v>275</v>
      </c>
      <c r="E126" s="260">
        <f t="shared" si="16"/>
        <v>-16</v>
      </c>
      <c r="F126" s="259">
        <f t="shared" si="17"/>
        <v>-5.4982817869415807E-2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31312931</v>
      </c>
      <c r="D127" s="263">
        <f>+D118+D120</f>
        <v>37965592</v>
      </c>
      <c r="E127" s="263">
        <f t="shared" si="16"/>
        <v>6652661</v>
      </c>
      <c r="F127" s="264">
        <f t="shared" si="17"/>
        <v>0.21245730717447051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7807774</v>
      </c>
      <c r="D128" s="263">
        <f>+D119+D121</f>
        <v>8532650</v>
      </c>
      <c r="E128" s="263">
        <f t="shared" si="16"/>
        <v>724876</v>
      </c>
      <c r="F128" s="264">
        <f t="shared" si="17"/>
        <v>9.2840289690762051E-2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123172907</v>
      </c>
      <c r="D198" s="263">
        <f t="shared" si="28"/>
        <v>135482629</v>
      </c>
      <c r="E198" s="263">
        <f t="shared" ref="E198:E208" si="29">D198-C198</f>
        <v>12309722</v>
      </c>
      <c r="F198" s="273">
        <f t="shared" ref="F198:F208" si="30">IF(C198=0,0,E198/C198)</f>
        <v>9.9938552233731076E-2</v>
      </c>
    </row>
    <row r="199" spans="1:9" ht="20.25" customHeight="1" x14ac:dyDescent="0.3">
      <c r="A199" s="271"/>
      <c r="B199" s="272" t="s">
        <v>466</v>
      </c>
      <c r="C199" s="263">
        <f t="shared" si="28"/>
        <v>38459124</v>
      </c>
      <c r="D199" s="263">
        <f t="shared" si="28"/>
        <v>37980752</v>
      </c>
      <c r="E199" s="263">
        <f t="shared" si="29"/>
        <v>-478372</v>
      </c>
      <c r="F199" s="273">
        <f t="shared" si="30"/>
        <v>-1.2438452836315252E-2</v>
      </c>
    </row>
    <row r="200" spans="1:9" ht="20.25" customHeight="1" x14ac:dyDescent="0.3">
      <c r="A200" s="271"/>
      <c r="B200" s="272" t="s">
        <v>467</v>
      </c>
      <c r="C200" s="263">
        <f t="shared" si="28"/>
        <v>81834038</v>
      </c>
      <c r="D200" s="263">
        <f t="shared" si="28"/>
        <v>86069756</v>
      </c>
      <c r="E200" s="263">
        <f t="shared" si="29"/>
        <v>4235718</v>
      </c>
      <c r="F200" s="273">
        <f t="shared" si="30"/>
        <v>5.1759855721649713E-2</v>
      </c>
    </row>
    <row r="201" spans="1:9" ht="20.25" customHeight="1" x14ac:dyDescent="0.3">
      <c r="A201" s="271"/>
      <c r="B201" s="272" t="s">
        <v>468</v>
      </c>
      <c r="C201" s="263">
        <f t="shared" si="28"/>
        <v>12392980</v>
      </c>
      <c r="D201" s="263">
        <f t="shared" si="28"/>
        <v>13409202</v>
      </c>
      <c r="E201" s="263">
        <f t="shared" si="29"/>
        <v>1016222</v>
      </c>
      <c r="F201" s="273">
        <f t="shared" si="30"/>
        <v>8.1999809569611185E-2</v>
      </c>
    </row>
    <row r="202" spans="1:9" ht="20.25" customHeight="1" x14ac:dyDescent="0.3">
      <c r="A202" s="271"/>
      <c r="B202" s="272" t="s">
        <v>138</v>
      </c>
      <c r="C202" s="274">
        <f t="shared" si="28"/>
        <v>2234</v>
      </c>
      <c r="D202" s="274">
        <f t="shared" si="28"/>
        <v>2352</v>
      </c>
      <c r="E202" s="274">
        <f t="shared" si="29"/>
        <v>118</v>
      </c>
      <c r="F202" s="273">
        <f t="shared" si="30"/>
        <v>5.2820053715308866E-2</v>
      </c>
    </row>
    <row r="203" spans="1:9" ht="20.25" customHeight="1" x14ac:dyDescent="0.3">
      <c r="A203" s="271"/>
      <c r="B203" s="272" t="s">
        <v>140</v>
      </c>
      <c r="C203" s="274">
        <f t="shared" si="28"/>
        <v>15618</v>
      </c>
      <c r="D203" s="274">
        <f t="shared" si="28"/>
        <v>16792</v>
      </c>
      <c r="E203" s="274">
        <f t="shared" si="29"/>
        <v>1174</v>
      </c>
      <c r="F203" s="273">
        <f t="shared" si="30"/>
        <v>7.516967601485465E-2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18899</v>
      </c>
      <c r="D204" s="274">
        <f t="shared" si="28"/>
        <v>20291</v>
      </c>
      <c r="E204" s="274">
        <f t="shared" si="29"/>
        <v>1392</v>
      </c>
      <c r="F204" s="273">
        <f t="shared" si="30"/>
        <v>7.3654690724376956E-2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2802</v>
      </c>
      <c r="D205" s="274">
        <f t="shared" si="28"/>
        <v>2745</v>
      </c>
      <c r="E205" s="274">
        <f t="shared" si="29"/>
        <v>-57</v>
      </c>
      <c r="F205" s="273">
        <f t="shared" si="30"/>
        <v>-2.0342612419700215E-2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2200</v>
      </c>
      <c r="D206" s="274">
        <f t="shared" si="28"/>
        <v>2001</v>
      </c>
      <c r="E206" s="274">
        <f t="shared" si="29"/>
        <v>-199</v>
      </c>
      <c r="F206" s="273">
        <f t="shared" si="30"/>
        <v>-9.0454545454545454E-2</v>
      </c>
    </row>
    <row r="207" spans="1:9" ht="20.25" customHeight="1" x14ac:dyDescent="0.3">
      <c r="A207" s="271"/>
      <c r="B207" s="262" t="s">
        <v>471</v>
      </c>
      <c r="C207" s="263">
        <f>+C198+C200</f>
        <v>205006945</v>
      </c>
      <c r="D207" s="263">
        <f>+D198+D200</f>
        <v>221552385</v>
      </c>
      <c r="E207" s="263">
        <f t="shared" si="29"/>
        <v>16545440</v>
      </c>
      <c r="F207" s="273">
        <f t="shared" si="30"/>
        <v>8.0706729228124441E-2</v>
      </c>
    </row>
    <row r="208" spans="1:9" ht="20.25" customHeight="1" x14ac:dyDescent="0.3">
      <c r="A208" s="271"/>
      <c r="B208" s="262" t="s">
        <v>472</v>
      </c>
      <c r="C208" s="263">
        <f>+C199+C201</f>
        <v>50852104</v>
      </c>
      <c r="D208" s="263">
        <f>+D199+D201</f>
        <v>51389954</v>
      </c>
      <c r="E208" s="263">
        <f t="shared" si="29"/>
        <v>537850</v>
      </c>
      <c r="F208" s="273">
        <f t="shared" si="30"/>
        <v>1.0576750177337795E-2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FILING&amp;RBRIDGEPORT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FILING&amp;RBRIDGEPORT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194946000</v>
      </c>
      <c r="D13" s="22">
        <v>169479000</v>
      </c>
      <c r="E13" s="22">
        <f t="shared" ref="E13:E22" si="0">D13-C13</f>
        <v>-25467000</v>
      </c>
      <c r="F13" s="306">
        <f t="shared" ref="F13:F22" si="1">IF(C13=0,0,E13/C13)</f>
        <v>-0.13063617617186299</v>
      </c>
    </row>
    <row r="14" spans="1:8" ht="24" customHeight="1" x14ac:dyDescent="0.2">
      <c r="A14" s="304">
        <v>2</v>
      </c>
      <c r="B14" s="305" t="s">
        <v>17</v>
      </c>
      <c r="C14" s="22">
        <v>1160670000</v>
      </c>
      <c r="D14" s="22">
        <v>1371905000</v>
      </c>
      <c r="E14" s="22">
        <f t="shared" si="0"/>
        <v>211235000</v>
      </c>
      <c r="F14" s="306">
        <f t="shared" si="1"/>
        <v>0.18199402069494344</v>
      </c>
    </row>
    <row r="15" spans="1:8" ht="35.1" customHeight="1" x14ac:dyDescent="0.2">
      <c r="A15" s="304">
        <v>3</v>
      </c>
      <c r="B15" s="305" t="s">
        <v>18</v>
      </c>
      <c r="C15" s="22">
        <v>405694000</v>
      </c>
      <c r="D15" s="22">
        <v>370868000</v>
      </c>
      <c r="E15" s="22">
        <f t="shared" si="0"/>
        <v>-34826000</v>
      </c>
      <c r="F15" s="306">
        <f t="shared" si="1"/>
        <v>-8.5843024545593477E-2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45816000</v>
      </c>
      <c r="D19" s="22">
        <v>47064000</v>
      </c>
      <c r="E19" s="22">
        <f t="shared" si="0"/>
        <v>1248000</v>
      </c>
      <c r="F19" s="306">
        <f t="shared" si="1"/>
        <v>2.7239392352016764E-2</v>
      </c>
    </row>
    <row r="20" spans="1:11" ht="24" customHeight="1" x14ac:dyDescent="0.2">
      <c r="A20" s="304">
        <v>8</v>
      </c>
      <c r="B20" s="305" t="s">
        <v>23</v>
      </c>
      <c r="C20" s="22">
        <v>25580000</v>
      </c>
      <c r="D20" s="22">
        <v>34938000</v>
      </c>
      <c r="E20" s="22">
        <f t="shared" si="0"/>
        <v>9358000</v>
      </c>
      <c r="F20" s="306">
        <f t="shared" si="1"/>
        <v>0.36583268178264267</v>
      </c>
    </row>
    <row r="21" spans="1:11" ht="24" customHeight="1" x14ac:dyDescent="0.2">
      <c r="A21" s="304">
        <v>9</v>
      </c>
      <c r="B21" s="305" t="s">
        <v>24</v>
      </c>
      <c r="C21" s="22">
        <v>57779000</v>
      </c>
      <c r="D21" s="22">
        <v>52599000</v>
      </c>
      <c r="E21" s="22">
        <f t="shared" si="0"/>
        <v>-5180000</v>
      </c>
      <c r="F21" s="306">
        <f t="shared" si="1"/>
        <v>-8.9651949670295439E-2</v>
      </c>
    </row>
    <row r="22" spans="1:11" ht="24" customHeight="1" x14ac:dyDescent="0.25">
      <c r="A22" s="307"/>
      <c r="B22" s="308" t="s">
        <v>25</v>
      </c>
      <c r="C22" s="309">
        <f>SUM(C13:C21)</f>
        <v>1890485000</v>
      </c>
      <c r="D22" s="309">
        <f>SUM(D13:D21)</f>
        <v>2046853000</v>
      </c>
      <c r="E22" s="309">
        <f t="shared" si="0"/>
        <v>156368000</v>
      </c>
      <c r="F22" s="310">
        <f t="shared" si="1"/>
        <v>8.271316619809202E-2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30531000</v>
      </c>
      <c r="D25" s="22">
        <v>18342000</v>
      </c>
      <c r="E25" s="22">
        <f>D25-C25</f>
        <v>-12189000</v>
      </c>
      <c r="F25" s="306">
        <f>IF(C25=0,0,E25/C25)</f>
        <v>-0.39923356588385578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96951000</v>
      </c>
      <c r="D26" s="22">
        <v>83216000</v>
      </c>
      <c r="E26" s="22">
        <f>D26-C26</f>
        <v>-13735000</v>
      </c>
      <c r="F26" s="306">
        <f>IF(C26=0,0,E26/C26)</f>
        <v>-0.14166950315107632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78837000</v>
      </c>
      <c r="D28" s="22">
        <v>85175000</v>
      </c>
      <c r="E28" s="22">
        <f>D28-C28</f>
        <v>6338000</v>
      </c>
      <c r="F28" s="306">
        <f>IF(C28=0,0,E28/C28)</f>
        <v>8.0393723759148619E-2</v>
      </c>
    </row>
    <row r="29" spans="1:11" ht="35.1" customHeight="1" x14ac:dyDescent="0.25">
      <c r="A29" s="307"/>
      <c r="B29" s="308" t="s">
        <v>32</v>
      </c>
      <c r="C29" s="309">
        <f>SUM(C25:C28)</f>
        <v>206319000</v>
      </c>
      <c r="D29" s="309">
        <f>SUM(D25:D28)</f>
        <v>186733000</v>
      </c>
      <c r="E29" s="309">
        <f>D29-C29</f>
        <v>-19586000</v>
      </c>
      <c r="F29" s="310">
        <f>IF(C29=0,0,E29/C29)</f>
        <v>-9.4930665619744184E-2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420800000</v>
      </c>
      <c r="D32" s="22">
        <v>538193000</v>
      </c>
      <c r="E32" s="22">
        <f>D32-C32</f>
        <v>117393000</v>
      </c>
      <c r="F32" s="306">
        <f>IF(C32=0,0,E32/C32)</f>
        <v>0.27897576045627376</v>
      </c>
    </row>
    <row r="33" spans="1:8" ht="24" customHeight="1" x14ac:dyDescent="0.2">
      <c r="A33" s="304">
        <v>7</v>
      </c>
      <c r="B33" s="305" t="s">
        <v>35</v>
      </c>
      <c r="C33" s="22">
        <v>421351000</v>
      </c>
      <c r="D33" s="22">
        <v>695367000</v>
      </c>
      <c r="E33" s="22">
        <f>D33-C33</f>
        <v>274016000</v>
      </c>
      <c r="F33" s="306">
        <f>IF(C33=0,0,E33/C33)</f>
        <v>0.65032716191488804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2940033000</v>
      </c>
      <c r="D36" s="22">
        <v>3227815000</v>
      </c>
      <c r="E36" s="22">
        <f>D36-C36</f>
        <v>287782000</v>
      </c>
      <c r="F36" s="306">
        <f>IF(C36=0,0,E36/C36)</f>
        <v>9.7883935316372295E-2</v>
      </c>
    </row>
    <row r="37" spans="1:8" ht="24" customHeight="1" x14ac:dyDescent="0.2">
      <c r="A37" s="304">
        <v>2</v>
      </c>
      <c r="B37" s="305" t="s">
        <v>39</v>
      </c>
      <c r="C37" s="22">
        <v>1551286000</v>
      </c>
      <c r="D37" s="22">
        <v>1720124000</v>
      </c>
      <c r="E37" s="22">
        <f>D37-C37</f>
        <v>168838000</v>
      </c>
      <c r="F37" s="22">
        <f>IF(C37=0,0,E37/C37)</f>
        <v>0.10883744196750308</v>
      </c>
    </row>
    <row r="38" spans="1:8" ht="24" customHeight="1" x14ac:dyDescent="0.25">
      <c r="A38" s="307"/>
      <c r="B38" s="308" t="s">
        <v>40</v>
      </c>
      <c r="C38" s="309">
        <f>C36-C37</f>
        <v>1388747000</v>
      </c>
      <c r="D38" s="309">
        <f>D36-D37</f>
        <v>1507691000</v>
      </c>
      <c r="E38" s="309">
        <f>D38-C38</f>
        <v>118944000</v>
      </c>
      <c r="F38" s="310">
        <f>IF(C38=0,0,E38/C38)</f>
        <v>8.5648429843592819E-2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157101000</v>
      </c>
      <c r="D40" s="22">
        <v>112959000</v>
      </c>
      <c r="E40" s="22">
        <f>D40-C40</f>
        <v>-44142000</v>
      </c>
      <c r="F40" s="306">
        <f>IF(C40=0,0,E40/C40)</f>
        <v>-0.28097847881299293</v>
      </c>
    </row>
    <row r="41" spans="1:8" ht="24" customHeight="1" x14ac:dyDescent="0.25">
      <c r="A41" s="307"/>
      <c r="B41" s="308" t="s">
        <v>42</v>
      </c>
      <c r="C41" s="309">
        <f>+C38+C40</f>
        <v>1545848000</v>
      </c>
      <c r="D41" s="309">
        <f>+D38+D40</f>
        <v>1620650000</v>
      </c>
      <c r="E41" s="309">
        <f>D41-C41</f>
        <v>74802000</v>
      </c>
      <c r="F41" s="310">
        <f>IF(C41=0,0,E41/C41)</f>
        <v>4.8388974853931302E-2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4484803000</v>
      </c>
      <c r="D43" s="309">
        <f>D22+D29+D31+D32+D33+D41</f>
        <v>5087796000</v>
      </c>
      <c r="E43" s="309">
        <f>D43-C43</f>
        <v>602993000</v>
      </c>
      <c r="F43" s="310">
        <f>IF(C43=0,0,E43/C43)</f>
        <v>0.13445250549466722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377319000</v>
      </c>
      <c r="D49" s="22">
        <v>391690000</v>
      </c>
      <c r="E49" s="22">
        <f t="shared" ref="E49:E56" si="2">D49-C49</f>
        <v>14371000</v>
      </c>
      <c r="F49" s="306">
        <f t="shared" ref="F49:F56" si="3">IF(C49=0,0,E49/C49)</f>
        <v>3.8087135818763433E-2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122564000</v>
      </c>
      <c r="D50" s="22">
        <v>178547000</v>
      </c>
      <c r="E50" s="22">
        <f t="shared" si="2"/>
        <v>55983000</v>
      </c>
      <c r="F50" s="306">
        <f t="shared" si="3"/>
        <v>0.45676544499200417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51101000</v>
      </c>
      <c r="D53" s="22">
        <v>63467000</v>
      </c>
      <c r="E53" s="22">
        <f t="shared" si="2"/>
        <v>12366000</v>
      </c>
      <c r="F53" s="306">
        <f t="shared" si="3"/>
        <v>0.24199135046280895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92866000</v>
      </c>
      <c r="D55" s="22">
        <v>85004000</v>
      </c>
      <c r="E55" s="22">
        <f t="shared" si="2"/>
        <v>-7862000</v>
      </c>
      <c r="F55" s="306">
        <f t="shared" si="3"/>
        <v>-8.4659617082678273E-2</v>
      </c>
    </row>
    <row r="56" spans="1:6" ht="24" customHeight="1" x14ac:dyDescent="0.25">
      <c r="A56" s="307"/>
      <c r="B56" s="308" t="s">
        <v>54</v>
      </c>
      <c r="C56" s="309">
        <f>SUM(C49:C55)</f>
        <v>643850000</v>
      </c>
      <c r="D56" s="309">
        <f>SUM(D49:D55)</f>
        <v>718708000</v>
      </c>
      <c r="E56" s="309">
        <f t="shared" si="2"/>
        <v>74858000</v>
      </c>
      <c r="F56" s="310">
        <f t="shared" si="3"/>
        <v>0.11626621107400792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906150000</v>
      </c>
      <c r="D59" s="22">
        <v>867555000</v>
      </c>
      <c r="E59" s="22">
        <f>D59-C59</f>
        <v>-38595000</v>
      </c>
      <c r="F59" s="306">
        <f>IF(C59=0,0,E59/C59)</f>
        <v>-4.2592286045356732E-2</v>
      </c>
    </row>
    <row r="60" spans="1:6" ht="24" customHeight="1" x14ac:dyDescent="0.2">
      <c r="A60" s="304">
        <v>2</v>
      </c>
      <c r="B60" s="305" t="s">
        <v>57</v>
      </c>
      <c r="C60" s="22">
        <v>107159000</v>
      </c>
      <c r="D60" s="22">
        <v>141110000</v>
      </c>
      <c r="E60" s="22">
        <f>D60-C60</f>
        <v>33951000</v>
      </c>
      <c r="F60" s="306">
        <f>IF(C60=0,0,E60/C60)</f>
        <v>0.31682826454147572</v>
      </c>
    </row>
    <row r="61" spans="1:6" ht="24" customHeight="1" x14ac:dyDescent="0.25">
      <c r="A61" s="307"/>
      <c r="B61" s="308" t="s">
        <v>58</v>
      </c>
      <c r="C61" s="309">
        <f>SUM(C59:C60)</f>
        <v>1013309000</v>
      </c>
      <c r="D61" s="309">
        <f>SUM(D59:D60)</f>
        <v>1008665000</v>
      </c>
      <c r="E61" s="309">
        <f>D61-C61</f>
        <v>-4644000</v>
      </c>
      <c r="F61" s="310">
        <f>IF(C61=0,0,E61/C61)</f>
        <v>-4.5830047892597417E-3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339901000</v>
      </c>
      <c r="D63" s="22">
        <v>401409000</v>
      </c>
      <c r="E63" s="22">
        <f>D63-C63</f>
        <v>61508000</v>
      </c>
      <c r="F63" s="306">
        <f>IF(C63=0,0,E63/C63)</f>
        <v>0.18095857323161743</v>
      </c>
    </row>
    <row r="64" spans="1:6" ht="24" customHeight="1" x14ac:dyDescent="0.2">
      <c r="A64" s="304">
        <v>4</v>
      </c>
      <c r="B64" s="305" t="s">
        <v>60</v>
      </c>
      <c r="C64" s="22">
        <v>495824000</v>
      </c>
      <c r="D64" s="22">
        <v>537958000</v>
      </c>
      <c r="E64" s="22">
        <f>D64-C64</f>
        <v>42134000</v>
      </c>
      <c r="F64" s="306">
        <f>IF(C64=0,0,E64/C64)</f>
        <v>8.4977734034657457E-2</v>
      </c>
    </row>
    <row r="65" spans="1:6" ht="24" customHeight="1" x14ac:dyDescent="0.25">
      <c r="A65" s="307"/>
      <c r="B65" s="308" t="s">
        <v>61</v>
      </c>
      <c r="C65" s="309">
        <f>SUM(C61:C64)</f>
        <v>1849034000</v>
      </c>
      <c r="D65" s="309">
        <f>SUM(D61:D64)</f>
        <v>1948032000</v>
      </c>
      <c r="E65" s="309">
        <f>D65-C65</f>
        <v>98998000</v>
      </c>
      <c r="F65" s="310">
        <f>IF(C65=0,0,E65/C65)</f>
        <v>5.354038919781897E-2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1750995000</v>
      </c>
      <c r="D70" s="22">
        <v>2147552000</v>
      </c>
      <c r="E70" s="22">
        <f>D70-C70</f>
        <v>396557000</v>
      </c>
      <c r="F70" s="306">
        <f>IF(C70=0,0,E70/C70)</f>
        <v>0.22647523265343419</v>
      </c>
    </row>
    <row r="71" spans="1:6" ht="24" customHeight="1" x14ac:dyDescent="0.2">
      <c r="A71" s="304">
        <v>2</v>
      </c>
      <c r="B71" s="305" t="s">
        <v>65</v>
      </c>
      <c r="C71" s="22">
        <v>147568000</v>
      </c>
      <c r="D71" s="22">
        <v>163535000</v>
      </c>
      <c r="E71" s="22">
        <f>D71-C71</f>
        <v>15967000</v>
      </c>
      <c r="F71" s="306">
        <f>IF(C71=0,0,E71/C71)</f>
        <v>0.1082009649788572</v>
      </c>
    </row>
    <row r="72" spans="1:6" ht="24" customHeight="1" x14ac:dyDescent="0.2">
      <c r="A72" s="304">
        <v>3</v>
      </c>
      <c r="B72" s="305" t="s">
        <v>66</v>
      </c>
      <c r="C72" s="22">
        <v>93356000</v>
      </c>
      <c r="D72" s="22">
        <v>109969000</v>
      </c>
      <c r="E72" s="22">
        <f>D72-C72</f>
        <v>16613000</v>
      </c>
      <c r="F72" s="306">
        <f>IF(C72=0,0,E72/C72)</f>
        <v>0.17795321136295472</v>
      </c>
    </row>
    <row r="73" spans="1:6" ht="24" customHeight="1" x14ac:dyDescent="0.25">
      <c r="A73" s="304"/>
      <c r="B73" s="308" t="s">
        <v>67</v>
      </c>
      <c r="C73" s="309">
        <f>SUM(C70:C72)</f>
        <v>1991919000</v>
      </c>
      <c r="D73" s="309">
        <f>SUM(D70:D72)</f>
        <v>2421056000</v>
      </c>
      <c r="E73" s="309">
        <f>D73-C73</f>
        <v>429137000</v>
      </c>
      <c r="F73" s="310">
        <f>IF(C73=0,0,E73/C73)</f>
        <v>0.21543898120355295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4484803000</v>
      </c>
      <c r="D75" s="309">
        <f>D56+D65+D67+D73</f>
        <v>5087796000</v>
      </c>
      <c r="E75" s="309">
        <f>D75-C75</f>
        <v>602993000</v>
      </c>
      <c r="F75" s="310">
        <f>IF(C75=0,0,E75/C75)</f>
        <v>0.13445250549466722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FILING&amp;RYALE NEW HAVEN HEALTH SERVICES CORPORATION, INC. (YNHHSC)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12297458000</v>
      </c>
      <c r="D11" s="76">
        <v>12486307000</v>
      </c>
      <c r="E11" s="76">
        <f t="shared" ref="E11:E20" si="0">D11-C11</f>
        <v>188849000</v>
      </c>
      <c r="F11" s="77">
        <f t="shared" ref="F11:F20" si="1">IF(C11=0,0,E11/C11)</f>
        <v>1.535675096430498E-2</v>
      </c>
    </row>
    <row r="12" spans="1:7" ht="23.1" customHeight="1" x14ac:dyDescent="0.2">
      <c r="A12" s="74">
        <v>2</v>
      </c>
      <c r="B12" s="75" t="s">
        <v>72</v>
      </c>
      <c r="C12" s="76">
        <v>8479889000</v>
      </c>
      <c r="D12" s="76">
        <v>8535501000</v>
      </c>
      <c r="E12" s="76">
        <f t="shared" si="0"/>
        <v>55612000</v>
      </c>
      <c r="F12" s="77">
        <f t="shared" si="1"/>
        <v>6.5581047110404396E-3</v>
      </c>
    </row>
    <row r="13" spans="1:7" ht="23.1" customHeight="1" x14ac:dyDescent="0.2">
      <c r="A13" s="74">
        <v>3</v>
      </c>
      <c r="B13" s="75" t="s">
        <v>73</v>
      </c>
      <c r="C13" s="76">
        <v>184456000</v>
      </c>
      <c r="D13" s="76">
        <v>197173000</v>
      </c>
      <c r="E13" s="76">
        <f t="shared" si="0"/>
        <v>12717000</v>
      </c>
      <c r="F13" s="77">
        <f t="shared" si="1"/>
        <v>6.8943271023984037E-2</v>
      </c>
    </row>
    <row r="14" spans="1:7" ht="23.1" customHeight="1" x14ac:dyDescent="0.2">
      <c r="A14" s="74">
        <v>4</v>
      </c>
      <c r="B14" s="75" t="s">
        <v>74</v>
      </c>
      <c r="C14" s="76">
        <v>58900000</v>
      </c>
      <c r="D14" s="76">
        <v>70278000</v>
      </c>
      <c r="E14" s="76">
        <f t="shared" si="0"/>
        <v>11378000</v>
      </c>
      <c r="F14" s="77">
        <f t="shared" si="1"/>
        <v>0.19317487266553479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3574213000</v>
      </c>
      <c r="D15" s="79">
        <f>D11-D12-D13-D14</f>
        <v>3683355000</v>
      </c>
      <c r="E15" s="79">
        <f t="shared" si="0"/>
        <v>109142000</v>
      </c>
      <c r="F15" s="80">
        <f t="shared" si="1"/>
        <v>3.0535952949642342E-2</v>
      </c>
    </row>
    <row r="16" spans="1:7" ht="23.1" customHeight="1" x14ac:dyDescent="0.2">
      <c r="A16" s="74">
        <v>5</v>
      </c>
      <c r="B16" s="75" t="s">
        <v>76</v>
      </c>
      <c r="C16" s="76">
        <v>81528000</v>
      </c>
      <c r="D16" s="76">
        <v>104084000</v>
      </c>
      <c r="E16" s="76">
        <f t="shared" si="0"/>
        <v>22556000</v>
      </c>
      <c r="F16" s="77">
        <f t="shared" si="1"/>
        <v>0.27666568540869396</v>
      </c>
      <c r="G16" s="65"/>
    </row>
    <row r="17" spans="1:7" ht="31.5" customHeight="1" x14ac:dyDescent="0.25">
      <c r="A17" s="71"/>
      <c r="B17" s="81" t="s">
        <v>77</v>
      </c>
      <c r="C17" s="79">
        <f>C15-C16</f>
        <v>3492685000</v>
      </c>
      <c r="D17" s="79">
        <f>D15-D16</f>
        <v>3579271000</v>
      </c>
      <c r="E17" s="79">
        <f t="shared" si="0"/>
        <v>86586000</v>
      </c>
      <c r="F17" s="80">
        <f t="shared" si="1"/>
        <v>2.4790669642409779E-2</v>
      </c>
    </row>
    <row r="18" spans="1:7" ht="23.1" customHeight="1" x14ac:dyDescent="0.2">
      <c r="A18" s="74">
        <v>6</v>
      </c>
      <c r="B18" s="75" t="s">
        <v>78</v>
      </c>
      <c r="C18" s="76">
        <v>104061000</v>
      </c>
      <c r="D18" s="76">
        <v>181390000</v>
      </c>
      <c r="E18" s="76">
        <f t="shared" si="0"/>
        <v>77329000</v>
      </c>
      <c r="F18" s="77">
        <f t="shared" si="1"/>
        <v>0.74311221302889652</v>
      </c>
      <c r="G18" s="65"/>
    </row>
    <row r="19" spans="1:7" ht="33" customHeight="1" x14ac:dyDescent="0.2">
      <c r="A19" s="74">
        <v>7</v>
      </c>
      <c r="B19" s="82" t="s">
        <v>79</v>
      </c>
      <c r="C19" s="76">
        <v>5534000</v>
      </c>
      <c r="D19" s="76">
        <v>26243000</v>
      </c>
      <c r="E19" s="76">
        <f t="shared" si="0"/>
        <v>20709000</v>
      </c>
      <c r="F19" s="77">
        <f t="shared" si="1"/>
        <v>3.7421395012649077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3602280000</v>
      </c>
      <c r="D20" s="79">
        <f>SUM(D17:D19)</f>
        <v>3786904000</v>
      </c>
      <c r="E20" s="79">
        <f t="shared" si="0"/>
        <v>184624000</v>
      </c>
      <c r="F20" s="80">
        <f t="shared" si="1"/>
        <v>5.125198485403689E-2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1390520000</v>
      </c>
      <c r="D23" s="76">
        <v>1436675000</v>
      </c>
      <c r="E23" s="76">
        <f t="shared" ref="E23:E32" si="2">D23-C23</f>
        <v>46155000</v>
      </c>
      <c r="F23" s="77">
        <f t="shared" ref="F23:F32" si="3">IF(C23=0,0,E23/C23)</f>
        <v>3.3192618588729399E-2</v>
      </c>
    </row>
    <row r="24" spans="1:7" ht="23.1" customHeight="1" x14ac:dyDescent="0.2">
      <c r="A24" s="74">
        <v>2</v>
      </c>
      <c r="B24" s="75" t="s">
        <v>83</v>
      </c>
      <c r="C24" s="76">
        <v>467952000</v>
      </c>
      <c r="D24" s="76">
        <v>467576000</v>
      </c>
      <c r="E24" s="76">
        <f t="shared" si="2"/>
        <v>-376000</v>
      </c>
      <c r="F24" s="77">
        <f t="shared" si="3"/>
        <v>-8.03501213799706E-4</v>
      </c>
    </row>
    <row r="25" spans="1:7" ht="23.1" customHeight="1" x14ac:dyDescent="0.2">
      <c r="A25" s="74">
        <v>3</v>
      </c>
      <c r="B25" s="75" t="s">
        <v>84</v>
      </c>
      <c r="C25" s="76">
        <v>127505000</v>
      </c>
      <c r="D25" s="76">
        <v>141028000</v>
      </c>
      <c r="E25" s="76">
        <f t="shared" si="2"/>
        <v>13523000</v>
      </c>
      <c r="F25" s="77">
        <f t="shared" si="3"/>
        <v>0.10605858593780636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572515000</v>
      </c>
      <c r="D26" s="76">
        <v>626422203</v>
      </c>
      <c r="E26" s="76">
        <f t="shared" si="2"/>
        <v>53907203</v>
      </c>
      <c r="F26" s="77">
        <f t="shared" si="3"/>
        <v>9.4158586237915162E-2</v>
      </c>
    </row>
    <row r="27" spans="1:7" ht="23.1" customHeight="1" x14ac:dyDescent="0.2">
      <c r="A27" s="74">
        <v>5</v>
      </c>
      <c r="B27" s="75" t="s">
        <v>86</v>
      </c>
      <c r="C27" s="76">
        <v>185944000</v>
      </c>
      <c r="D27" s="76">
        <v>191544000</v>
      </c>
      <c r="E27" s="76">
        <f t="shared" si="2"/>
        <v>5600000</v>
      </c>
      <c r="F27" s="77">
        <f t="shared" si="3"/>
        <v>3.0116594243428128E-2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24188000</v>
      </c>
      <c r="D29" s="76">
        <v>28912000</v>
      </c>
      <c r="E29" s="76">
        <f t="shared" si="2"/>
        <v>4724000</v>
      </c>
      <c r="F29" s="77">
        <f t="shared" si="3"/>
        <v>0.19530345625930212</v>
      </c>
    </row>
    <row r="30" spans="1:7" ht="23.1" customHeight="1" x14ac:dyDescent="0.2">
      <c r="A30" s="74">
        <v>8</v>
      </c>
      <c r="B30" s="75" t="s">
        <v>89</v>
      </c>
      <c r="C30" s="76">
        <v>64096000</v>
      </c>
      <c r="D30" s="76">
        <v>81093078</v>
      </c>
      <c r="E30" s="76">
        <f t="shared" si="2"/>
        <v>16997078</v>
      </c>
      <c r="F30" s="77">
        <f t="shared" si="3"/>
        <v>0.26518157139291065</v>
      </c>
    </row>
    <row r="31" spans="1:7" ht="23.1" customHeight="1" x14ac:dyDescent="0.2">
      <c r="A31" s="74">
        <v>9</v>
      </c>
      <c r="B31" s="75" t="s">
        <v>90</v>
      </c>
      <c r="C31" s="76">
        <v>609904000</v>
      </c>
      <c r="D31" s="76">
        <v>674315719</v>
      </c>
      <c r="E31" s="76">
        <f t="shared" si="2"/>
        <v>64411719</v>
      </c>
      <c r="F31" s="77">
        <f t="shared" si="3"/>
        <v>0.10560960249481886</v>
      </c>
    </row>
    <row r="32" spans="1:7" ht="23.1" customHeight="1" x14ac:dyDescent="0.25">
      <c r="A32" s="71"/>
      <c r="B32" s="78" t="s">
        <v>91</v>
      </c>
      <c r="C32" s="79">
        <f>SUM(C23:C31)</f>
        <v>3442624000</v>
      </c>
      <c r="D32" s="79">
        <f>SUM(D23:D31)</f>
        <v>3647566000</v>
      </c>
      <c r="E32" s="79">
        <f t="shared" si="2"/>
        <v>204942000</v>
      </c>
      <c r="F32" s="80">
        <f t="shared" si="3"/>
        <v>5.9530753285865663E-2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159656000</v>
      </c>
      <c r="D34" s="79">
        <f>+D20-D32</f>
        <v>139338000</v>
      </c>
      <c r="E34" s="79">
        <f>D34-C34</f>
        <v>-20318000</v>
      </c>
      <c r="F34" s="80">
        <f>IF(C34=0,0,E34/C34)</f>
        <v>-0.1272611113894874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5099000</v>
      </c>
      <c r="D37" s="76">
        <v>14692000</v>
      </c>
      <c r="E37" s="76">
        <f>D37-C37</f>
        <v>9593000</v>
      </c>
      <c r="F37" s="77">
        <f>IF(C37=0,0,E37/C37)</f>
        <v>1.8813492841733672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-35200000</v>
      </c>
      <c r="D39" s="76">
        <v>208476000</v>
      </c>
      <c r="E39" s="76">
        <f>D39-C39</f>
        <v>243676000</v>
      </c>
      <c r="F39" s="77">
        <f>IF(C39=0,0,E39/C39)</f>
        <v>-6.9226136363636366</v>
      </c>
    </row>
    <row r="40" spans="1:6" ht="23.1" customHeight="1" x14ac:dyDescent="0.25">
      <c r="A40" s="83"/>
      <c r="B40" s="78" t="s">
        <v>97</v>
      </c>
      <c r="C40" s="79">
        <f>SUM(C37:C39)</f>
        <v>-30101000</v>
      </c>
      <c r="D40" s="79">
        <f>SUM(D37:D39)</f>
        <v>223168000</v>
      </c>
      <c r="E40" s="79">
        <f>D40-C40</f>
        <v>253269000</v>
      </c>
      <c r="F40" s="80">
        <f>IF(C40=0,0,E40/C40)</f>
        <v>-8.4139729577090456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129555000</v>
      </c>
      <c r="D42" s="79">
        <f>D34+D40</f>
        <v>362506000</v>
      </c>
      <c r="E42" s="79">
        <f>D42-C42</f>
        <v>232951000</v>
      </c>
      <c r="F42" s="80">
        <f>IF(C42=0,0,E42/C42)</f>
        <v>1.7980857550847131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14536000</v>
      </c>
      <c r="D45" s="76">
        <v>97402000</v>
      </c>
      <c r="E45" s="76">
        <f>D45-C45</f>
        <v>82866000</v>
      </c>
      <c r="F45" s="77">
        <f>IF(C45=0,0,E45/C45)</f>
        <v>5.7007429829389107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14536000</v>
      </c>
      <c r="D47" s="79">
        <f>SUM(D45:D46)</f>
        <v>97402000</v>
      </c>
      <c r="E47" s="79">
        <f>D47-C47</f>
        <v>82866000</v>
      </c>
      <c r="F47" s="80">
        <f>IF(C47=0,0,E47/C47)</f>
        <v>5.7007429829389107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144091000</v>
      </c>
      <c r="D49" s="79">
        <f>D42+D47</f>
        <v>459908000</v>
      </c>
      <c r="E49" s="79">
        <f>D49-C49</f>
        <v>315817000</v>
      </c>
      <c r="F49" s="80">
        <f>IF(C49=0,0,E49/C49)</f>
        <v>2.1917885225309006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FILING&amp;R&amp;8YALE NEW HAVEN HEALTH SERVICES CORPORATION, INC. (YNHHSC)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2017-09-19T17:03:30Z</cp:lastPrinted>
  <dcterms:created xsi:type="dcterms:W3CDTF">2017-09-14T16:02:20Z</dcterms:created>
  <dcterms:modified xsi:type="dcterms:W3CDTF">2017-09-19T17:03:38Z</dcterms:modified>
</cp:coreProperties>
</file>