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<sst xmlns="http://schemas.openxmlformats.org/spreadsheetml/2006/main" count="2300" uniqueCount="977">
  <si>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</si>
  <si>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</si>
  <si>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</si>
  <si>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</si>
  <si>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</si>
  <si>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</si>
  <si>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</si>
  <si>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</si>
  <si>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</si>
  <si>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</si>
  <si>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</si>
  <si>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</si>
  <si>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</si>
  <si>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</si>
  <si>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</si>
  <si>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</si>
  <si>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</si>
  <si>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</si>
  <si>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</si>
  <si>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</si>
  <si>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</si>
  <si>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</si>
  <si>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</si>
  <si>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</si>
  <si>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</si>
  <si>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</si>
  <si>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</si>
  <si>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</si>
  <si>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</si>
  <si>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</si>
  <si>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</si>
  <si>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</si>
  <si>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</si>
  <si>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</si>
  <si>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</si>
  <si>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</si>
  <si>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</si>
  <si>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</si>
  <si>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</si>
  <si>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</si>
  <si>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</si>
  <si>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</si>
  <si>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</si>
  <si>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</si>
  <si>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</si>
  <si>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</si>
  <si>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</si>
  <si>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</si>
  <si>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</si>
  <si>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</si>
  <si>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</si>
  <si>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</si>
  <si>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</si>
  <si>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</si>
  <si>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</si>
  <si>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</si>
  <si>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</si>
  <si>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</si>
  <si>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</si>
  <si>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</si>
  <si>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</si>
  <si>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</si>
  <si>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</si>
  <si>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</si>
  <si>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</si>
  <si>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</si>
  <si>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</si>
  <si>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</si>
  <si>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</si>
  <si>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</si>
  <si>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</si>
  <si>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</si>
  <si>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</si>
  <si>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</si>
  <si>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</si>
  <si>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</si>
  <si>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</si>
  <si>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</si>
  <si>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</si>
  <si>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</si>
  <si>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</si>
  <si>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</si>
  <si>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</si>
  <si>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</si>
  <si>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</si>
  <si>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</si>
  <si>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</si>
  <si>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</si>
  <si>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</si>
  <si>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</si>
  <si>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</si>
  <si>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</si>
  <si>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</si>
  <si>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</si>
  <si>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</si>
  <si>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</si>
  <si>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</si>
  <si>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</si>
  <si>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</si>
  <si>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</si>
  <si>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</si>
  <si>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</si>
  <si>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</si>
  <si>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</si>
  <si>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</si>
  <si>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</si>
  <si>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</si>
  <si>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</si>
  <si>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</si>
  <si>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</si>
  <si>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</si>
  <si>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</si>
  <si>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</si>
  <si>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</si>
  <si>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</si>
  <si>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</si>
  <si>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</si>
  <si>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</si>
  <si>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</si>
  <si>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</si>
  <si>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</si>
  <si>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</si>
  <si>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</si>
  <si>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</si>
  <si>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</si>
  <si>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</si>
  <si>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</si>
  <si>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</si>
  <si>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</si>
  <si>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</si>
  <si>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</si>
  <si>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</si>
  <si>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</si>
  <si>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</si>
  <si>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</si>
  <si>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</si>
  <si>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</si>
  <si>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</si>
  <si>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</si>
  <si>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</si>
  <si>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</si>
  <si>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</si>
  <si>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</si>
  <si>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</si>
  <si>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</si>
  <si>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</si>
  <si>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</si>
  <si>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</si>
  <si>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</si>
  <si>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</si>
  <si>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</si>
  <si>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</si>
  <si>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</si>
  <si>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</si>
  <si>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</si>
  <si>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</si>
  <si>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WINDHAM COMMUNITY MEMORIAL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</si>
  <si>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</si>
  <si>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</si>
  <si>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</si>
  <si>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</si>
  <si>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</si>
  <si>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</si>
  <si>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</si>
  <si>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</si>
  <si>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</si>
  <si>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</si>
  <si>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</si>
  <si>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</si>
  <si>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</si>
  <si>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</si>
  <si>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</si>
  <si>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</si>
  <si>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</si>
  <si>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</si>
  <si>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</si>
  <si>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</si>
  <si>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</si>
  <si>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</si>
  <si>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</si>
  <si>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</si>
  <si>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</si>
  <si>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</si>
  <si>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</si>
  <si>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</si>
  <si>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</si>
  <si>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</si>
  <si>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</si>
  <si>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</si>
  <si>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</si>
  <si>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</si>
  <si>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</si>
  <si>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</si>
  <si>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</si>
  <si>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</si>
  <si>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</si>
  <si>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</si>
  <si>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</si>
  <si>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</si>
  <si>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</si>
  <si>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</si>
  <si>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</si>
  <si>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</si>
  <si>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</si>
  <si>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</si>
  <si>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</si>
  <si>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</si>
  <si>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</si>
  <si>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</si>
  <si>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</si>
  <si>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</si>
  <si>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</si>
  <si>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</si>
  <si>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</si>
  <si>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</si>
  <si>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</si>
  <si>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</si>
  <si>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</si>
  <si>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</si>
  <si>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</si>
  <si>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</si>
  <si>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</si>
  <si>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</si>
  <si>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</si>
  <si>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</si>
  <si>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</si>
  <si>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</si>
  <si>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</si>
  <si>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</si>
  <si>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</si>
  <si>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</si>
  <si>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</si>
  <si>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</si>
  <si>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</si>
  <si>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</si>
  <si>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</si>
  <si>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</si>
  <si>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</si>
  <si>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</si>
  <si>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</si>
  <si>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</si>
  <si>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</si>
  <si>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</si>
  <si>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</si>
  <si>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</si>
  <si>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</si>
  <si>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</si>
  <si>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</si>
  <si>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</si>
  <si>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</si>
  <si>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</si>
  <si>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</si>
  <si>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</si>
  <si>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</si>
  <si>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</si>
  <si>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</si>
  <si>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</si>
  <si>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</si>
  <si>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</si>
  <si>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</si>
  <si>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</si>
  <si>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</si>
  <si>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</si>
  <si>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</si>
  <si>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</si>
  <si>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</si>
  <si>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</si>
  <si>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</si>
  <si>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</si>
  <si>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</si>
  <si>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</si>
  <si>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</si>
  <si>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</si>
  <si>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</si>
  <si>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</si>
  <si>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</si>
  <si>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</si>
  <si>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</si>
  <si>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</si>
  <si>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</si>
  <si>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</si>
  <si>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</si>
  <si>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</si>
  <si>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</si>
  <si>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</si>
  <si>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</si>
  <si>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</si>
  <si>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</si>
  <si>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</si>
  <si>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</si>
  <si>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</si>
  <si>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</si>
  <si>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</si>
  <si>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</si>
  <si>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</si>
  <si>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</si>
  <si>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</si>
  <si>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</si>
  <si>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</si>
  <si>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</si>
  <si>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</si>
  <si>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</si>
  <si>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</si>
  <si>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</si>
  <si>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</si>
  <si>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</si>
  <si>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</si>
  <si>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</si>
  <si>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</si>
  <si>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</si>
  <si>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</si>
  <si>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</si>
  <si>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</si>
  <si>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</si>
  <si>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</si>
  <si>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</si>
  <si>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</si>
  <si>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</si>
  <si>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</si>
  <si>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</si>
  <si>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</si>
  <si>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</si>
  <si>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</si>
  <si>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</si>
  <si>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</si>
  <si>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</si>
  <si>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</si>
  <si>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</si>
  <si>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</si>
  <si>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</si>
  <si>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</si>
  <si>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</si>
  <si>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</si>
  <si>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</si>
  <si>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</si>
  <si>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</si>
  <si>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</si>
  <si>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</si>
  <si>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</si>
  <si>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</si>
  <si>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</si>
  <si>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</si>
  <si>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</si>
  <si>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</si>
  <si>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</si>
  <si>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</si>
  <si>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</si>
  <si>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</si>
  <si>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</si>
  <si>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</si>
  <si>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</si>
  <si>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</si>
  <si>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</si>
  <si>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</si>
  <si>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</si>
  <si>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</si>
  <si>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</si>
  <si>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</si>
  <si>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</si>
  <si>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</si>
  <si>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</si>
  <si>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</si>
  <si>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</si>
  <si>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</si>
  <si>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</si>
  <si>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</si>
  <si>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</si>
  <si>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</si>
  <si>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</si>
  <si>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</si>
  <si>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</si>
  <si>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</si>
  <si>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</si>
  <si>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</si>
  <si>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</si>
  <si>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</si>
  <si>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</si>
  <si>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</si>
  <si>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</si>
  <si>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</si>
  <si>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</si>
  <si>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</si>
  <si>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</si>
  <si>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</si>
  <si>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</si>
  <si>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</si>
  <si>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</si>
  <si>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</si>
  <si>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</si>
  <si>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</si>
  <si>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</si>
  <si>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</si>
  <si>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</si>
  <si>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</si>
  <si>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</si>
  <si>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</si>
  <si>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</si>
  <si>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</si>
  <si>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</si>
  <si>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</si>
  <si>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</si>
  <si>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</si>
  <si>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</si>
  <si>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</si>
  <si>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</si>
  <si>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</si>
  <si>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</si>
  <si>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</si>
  <si>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</si>
  <si>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</si>
  <si>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</si>
  <si>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</si>
  <si>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</si>
  <si>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</si>
  <si>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</si>
  <si>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</si>
  <si>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</si>
  <si>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</si>
  <si>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</si>
  <si>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</si>
  <si>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</si>
  <si>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</si>
  <si>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</si>
  <si>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</si>
  <si>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</si>
  <si>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</si>
  <si>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</si>
  <si>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</si>
  <si>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</si>
  <si>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</si>
  <si>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</si>
  <si>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</si>
  <si>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</si>
  <si>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</si>
  <si>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</si>
  <si>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</si>
  <si>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</si>
  <si>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</si>
  <si>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</si>
  <si>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</si>
  <si>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</si>
  <si>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</si>
  <si>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</si>
  <si>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</si>
  <si>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</si>
  <si>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</si>
  <si>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</si>
  <si>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</si>
  <si>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</si>
  <si>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</si>
  <si>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</si>
  <si>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</si>
  <si>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</si>
  <si>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</si>
  <si>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</si>
  <si>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</si>
  <si>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</si>
  <si>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</si>
  <si>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</si>
  <si>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</si>
  <si>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</si>
  <si>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</si>
  <si>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</si>
  <si>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</si>
  <si>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</si>
  <si>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</si>
  <si>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</si>
  <si>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</si>
  <si>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</si>
  <si>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</si>
  <si>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</si>
  <si>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</si>
  <si>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</si>
  <si>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</si>
  <si>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</si>
  <si>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</si>
  <si>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</si>
  <si>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</si>
  <si>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</si>
  <si>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</si>
  <si>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</si>
  <si>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</si>
  <si>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</si>
  <si>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</si>
  <si>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</si>
  <si>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</si>
  <si>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</si>
  <si>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</si>
  <si>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</si>
  <si>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</si>
  <si>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</si>
  <si>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</si>
  <si>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</si>
  <si>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</si>
  <si>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</si>
  <si>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</si>
  <si>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</si>
  <si>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</si>
  <si>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</si>
  <si>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</si>
  <si>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</si>
  <si>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</si>
  <si>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</si>
  <si>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</si>
  <si>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</si>
  <si>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</si>
  <si>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</si>
  <si>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</si>
  <si>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</si>
  <si>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</si>
  <si>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</si>
  <si>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</si>
  <si>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</si>
  <si>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</si>
  <si>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</si>
  <si>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</si>
  <si>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</si>
  <si>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</si>
  <si>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</si>
  <si>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</si>
  <si>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</si>
  <si>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</si>
  <si>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</si>
  <si>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</si>
  <si>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</si>
  <si>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</si>
  <si>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</si>
  <si>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</si>
  <si>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</si>
  <si>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</si>
  <si>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</si>
  <si>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</si>
  <si>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</si>
  <si>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</si>
  <si>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</si>
  <si>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</si>
  <si>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</si>
  <si>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</si>
  <si>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</si>
  <si>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</si>
  <si>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</si>
  <si>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</si>
  <si>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</si>
  <si>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</si>
  <si>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</si>
  <si>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</si>
  <si>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</si>
  <si>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</si>
  <si>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</si>
  <si>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</si>
  <si>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</si>
  <si>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</si>
  <si>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</si>
  <si>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</si>
  <si>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</si>
  <si>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</si>
  <si>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</si>
  <si>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</si>
  <si>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</si>
  <si>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</si>
  <si>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</si>
  <si>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</si>
  <si>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</si>
  <si>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</si>
  <si>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</si>
  <si>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</si>
  <si>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</si>
  <si>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</si>
  <si>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</si>
  <si>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</si>
  <si>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</si>
  <si>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</si>
  <si>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</si>
  <si>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</si>
  <si>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</si>
  <si>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</si>
  <si>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</si>
  <si>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</si>
  <si>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</si>
  <si>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</si>
  <si>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</si>
  <si>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</si>
  <si>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</si>
  <si>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</si>
  <si>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</si>
  <si>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</si>
  <si>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</si>
  <si>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</si>
  <si>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</si>
  <si>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</si>
  <si>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</si>
  <si>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</si>
  <si>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</si>
  <si>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</si>
  <si>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</si>
  <si>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</si>
  <si>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</si>
  <si>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</si>
  <si>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</si>
  <si>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</si>
  <si>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</si>
  <si>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</si>
  <si>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</si>
  <si>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</si>
  <si>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</si>
  <si>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</si>
  <si>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</si>
  <si>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</si>
  <si>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</si>
  <si>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</si>
  <si>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</si>
  <si>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</si>
  <si>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</si>
  <si>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</si>
  <si>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</si>
  <si>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</si>
  <si>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</si>
  <si>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</si>
  <si>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</si>
  <si>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</si>
  <si>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</si>
  <si>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</si>
  <si>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</si>
  <si>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</si>
  <si>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</si>
  <si>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</si>
  <si>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</si>
  <si>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</si>
  <si>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</si>
  <si>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</si>
  <si>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</si>
  <si>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</si>
  <si>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</si>
  <si>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</si>
  <si>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</si>
  <si>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</si>
  <si>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</si>
  <si>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</si>
  <si>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</si>
  <si>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</si>
  <si>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</si>
  <si>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</si>
  <si>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</si>
  <si>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</si>
  <si>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</si>
  <si>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</si>
  <si>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</si>
  <si>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</si>
  <si>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</si>
  <si>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</si>
  <si>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</si>
  <si>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</si>
  <si>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</si>
  <si>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</si>
  <si>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</si>
  <si>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</si>
  <si>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</si>
  <si>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</si>
  <si>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</si>
  <si>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</si>
  <si>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</si>
  <si>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</si>
  <si>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</si>
  <si>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</si>
  <si>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</si>
  <si>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</si>
  <si>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</si>
  <si>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</si>
  <si>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</si>
  <si>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</si>
  <si>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</si>
  <si>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</si>
  <si>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</si>
  <si>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</si>
  <si>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</si>
  <si>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</si>
  <si>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</si>
  <si>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</si>
  <si>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</si>
  <si>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</si>
  <si>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</si>
  <si>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</si>
  <si>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</si>
  <si>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</si>
  <si>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</si>
  <si>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</si>
  <si>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</si>
  <si>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</si>
  <si>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</si>
  <si>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</si>
  <si>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</si>
  <si>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</si>
  <si>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</si>
  <si>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</si>
  <si>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</si>
  <si>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</si>
  <si>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</si>
  <si>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</si>
  <si>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</si>
  <si>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</si>
  <si>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</si>
  <si>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</si>
  <si>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</si>
  <si>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</si>
  <si>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</si>
  <si>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</si>
  <si>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</si>
  <si>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</si>
  <si>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</si>
  <si>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</si>
  <si>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</si>
  <si>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</si>
  <si>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</si>
  <si>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</si>
  <si>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</si>
  <si>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</si>
  <si>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</si>
  <si>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</si>
  <si>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</si>
  <si>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</si>
  <si>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</si>
  <si>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</si>
  <si>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</si>
  <si>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</si>
  <si>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</si>
  <si>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</si>
  <si>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</si>
  <si>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</si>
  <si>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</si>
  <si>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</si>
  <si>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</si>
  <si>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</si>
  <si>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</si>
  <si>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</si>
  <si>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</si>
  <si>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</si>
  <si>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</si>
  <si>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</si>
  <si>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Windham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</si>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</sst>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168" fontId="23" fillId="20" borderId="35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156</v>
      </c>
      <c r="C1" s="3"/>
      <c r="D1" s="3"/>
      <c r="E1" s="4"/>
      <c r="F1" s="5"/>
    </row>
    <row r="2" spans="1:6" ht="24" customHeight="1">
      <c r="A2" s="3"/>
      <c r="B2" s="3" t="s">
        <v>157</v>
      </c>
      <c r="C2" s="3"/>
      <c r="D2" s="3"/>
      <c r="E2" s="4"/>
      <c r="F2" s="5"/>
    </row>
    <row r="3" spans="1:6" ht="24" customHeight="1">
      <c r="A3" s="3"/>
      <c r="B3" s="3" t="s">
        <v>158</v>
      </c>
      <c r="C3" s="3"/>
      <c r="D3" s="3"/>
      <c r="E3" s="4"/>
      <c r="F3" s="5"/>
    </row>
    <row r="4" spans="1:6" ht="24" customHeight="1">
      <c r="A4" s="3"/>
      <c r="B4" s="3" t="s">
        <v>159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160</v>
      </c>
      <c r="D7" s="10" t="s">
        <v>161</v>
      </c>
      <c r="E7" s="11" t="s">
        <v>162</v>
      </c>
      <c r="F7" s="11" t="s">
        <v>163</v>
      </c>
      <c r="H7" s="12"/>
    </row>
    <row r="8" spans="1:6" s="6" customFormat="1" ht="15.75" customHeight="1">
      <c r="A8" s="13" t="s">
        <v>164</v>
      </c>
      <c r="B8" s="13" t="s">
        <v>165</v>
      </c>
      <c r="C8" s="14" t="s">
        <v>166</v>
      </c>
      <c r="D8" s="14" t="s">
        <v>166</v>
      </c>
      <c r="E8" s="15" t="s">
        <v>167</v>
      </c>
      <c r="F8" s="15" t="s">
        <v>167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168</v>
      </c>
      <c r="B10" s="16" t="s">
        <v>169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170</v>
      </c>
      <c r="B12" s="16" t="s">
        <v>171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172</v>
      </c>
      <c r="C13" s="23">
        <v>2778004</v>
      </c>
      <c r="D13" s="23">
        <v>3357508</v>
      </c>
      <c r="E13" s="23">
        <f aca="true" t="shared" si="0" ref="E13:E22">D13-C13</f>
        <v>579504</v>
      </c>
      <c r="F13" s="24">
        <f aca="true" t="shared" si="1" ref="F13:F22">IF(C13=0,0,E13/C13)</f>
        <v>0.20860445125348992</v>
      </c>
    </row>
    <row r="14" spans="1:6" ht="24" customHeight="1">
      <c r="A14" s="21">
        <v>2</v>
      </c>
      <c r="B14" s="22" t="s">
        <v>173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3.75" customHeight="1">
      <c r="A15" s="21">
        <v>3</v>
      </c>
      <c r="B15" s="22" t="s">
        <v>174</v>
      </c>
      <c r="C15" s="23">
        <v>11996552</v>
      </c>
      <c r="D15" s="23">
        <v>13116037</v>
      </c>
      <c r="E15" s="23">
        <f t="shared" si="0"/>
        <v>1119485</v>
      </c>
      <c r="F15" s="24">
        <f t="shared" si="1"/>
        <v>0.09331722981736752</v>
      </c>
    </row>
    <row r="16" spans="1:6" ht="24" customHeight="1">
      <c r="A16" s="21">
        <v>4</v>
      </c>
      <c r="B16" s="22" t="s">
        <v>175</v>
      </c>
      <c r="C16" s="23">
        <v>633588</v>
      </c>
      <c r="D16" s="23">
        <v>798482</v>
      </c>
      <c r="E16" s="23">
        <f t="shared" si="0"/>
        <v>164894</v>
      </c>
      <c r="F16" s="24">
        <f t="shared" si="1"/>
        <v>0.2602542977455381</v>
      </c>
    </row>
    <row r="17" spans="1:6" ht="24" customHeight="1">
      <c r="A17" s="21">
        <v>5</v>
      </c>
      <c r="B17" s="22" t="s">
        <v>176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177</v>
      </c>
      <c r="C18" s="23">
        <v>2166694</v>
      </c>
      <c r="D18" s="23">
        <v>1258523</v>
      </c>
      <c r="E18" s="23">
        <f t="shared" si="0"/>
        <v>-908171</v>
      </c>
      <c r="F18" s="24">
        <f t="shared" si="1"/>
        <v>-0.4191505584083401</v>
      </c>
    </row>
    <row r="19" spans="1:6" ht="24" customHeight="1">
      <c r="A19" s="21">
        <v>7</v>
      </c>
      <c r="B19" s="22" t="s">
        <v>178</v>
      </c>
      <c r="C19" s="23">
        <v>1190125</v>
      </c>
      <c r="D19" s="23">
        <v>1175255</v>
      </c>
      <c r="E19" s="23">
        <f t="shared" si="0"/>
        <v>-14870</v>
      </c>
      <c r="F19" s="24">
        <f t="shared" si="1"/>
        <v>-0.012494485873332633</v>
      </c>
    </row>
    <row r="20" spans="1:6" ht="24" customHeight="1">
      <c r="A20" s="21">
        <v>8</v>
      </c>
      <c r="B20" s="22" t="s">
        <v>179</v>
      </c>
      <c r="C20" s="23">
        <v>1175688</v>
      </c>
      <c r="D20" s="23">
        <v>671383</v>
      </c>
      <c r="E20" s="23">
        <f t="shared" si="0"/>
        <v>-504305</v>
      </c>
      <c r="F20" s="24">
        <f t="shared" si="1"/>
        <v>-0.42894458393723506</v>
      </c>
    </row>
    <row r="21" spans="1:6" ht="24" customHeight="1">
      <c r="A21" s="21">
        <v>9</v>
      </c>
      <c r="B21" s="22" t="s">
        <v>180</v>
      </c>
      <c r="C21" s="23">
        <v>4330978</v>
      </c>
      <c r="D21" s="23">
        <v>3626731</v>
      </c>
      <c r="E21" s="23">
        <f t="shared" si="0"/>
        <v>-704247</v>
      </c>
      <c r="F21" s="24">
        <f t="shared" si="1"/>
        <v>-0.1626069215775282</v>
      </c>
    </row>
    <row r="22" spans="1:6" ht="24" customHeight="1">
      <c r="A22" s="25"/>
      <c r="B22" s="26" t="s">
        <v>181</v>
      </c>
      <c r="C22" s="27">
        <f>SUM(C13:C21)</f>
        <v>24271629</v>
      </c>
      <c r="D22" s="27">
        <f>SUM(D13:D21)</f>
        <v>24003919</v>
      </c>
      <c r="E22" s="27">
        <f t="shared" si="0"/>
        <v>-267710</v>
      </c>
      <c r="F22" s="28">
        <f t="shared" si="1"/>
        <v>-0.011029750001534713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182</v>
      </c>
      <c r="B24" s="30" t="s">
        <v>183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184</v>
      </c>
      <c r="C25" s="23">
        <v>518845</v>
      </c>
      <c r="D25" s="23">
        <v>1752149</v>
      </c>
      <c r="E25" s="23">
        <f>D25-C25</f>
        <v>1233304</v>
      </c>
      <c r="F25" s="24">
        <f>IF(C25=0,0,E25/C25)</f>
        <v>2.3770181846216114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185</v>
      </c>
      <c r="C26" s="23">
        <v>1717049</v>
      </c>
      <c r="D26" s="23">
        <v>0</v>
      </c>
      <c r="E26" s="23">
        <f>D26-C26</f>
        <v>-1717049</v>
      </c>
      <c r="F26" s="24">
        <f>IF(C26=0,0,E26/C26)</f>
        <v>-1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186</v>
      </c>
      <c r="C27" s="23">
        <v>0</v>
      </c>
      <c r="D27" s="23">
        <v>1674179</v>
      </c>
      <c r="E27" s="23">
        <f>D27-C27</f>
        <v>1674179</v>
      </c>
      <c r="F27" s="24">
        <f>IF(C27=0,0,E27/C27)</f>
        <v>0</v>
      </c>
    </row>
    <row r="28" spans="1:6" ht="24" customHeight="1">
      <c r="A28" s="21">
        <v>4</v>
      </c>
      <c r="B28" s="22" t="s">
        <v>187</v>
      </c>
      <c r="C28" s="23">
        <v>0</v>
      </c>
      <c r="D28" s="23">
        <v>2749514</v>
      </c>
      <c r="E28" s="23">
        <f>D28-C28</f>
        <v>2749514</v>
      </c>
      <c r="F28" s="24">
        <f>IF(C28=0,0,E28/C28)</f>
        <v>0</v>
      </c>
    </row>
    <row r="29" spans="1:6" ht="24" customHeight="1">
      <c r="A29" s="25"/>
      <c r="B29" s="26" t="s">
        <v>188</v>
      </c>
      <c r="C29" s="27">
        <f>SUM(C25:C28)</f>
        <v>2235894</v>
      </c>
      <c r="D29" s="27">
        <f>SUM(D25:D28)</f>
        <v>6175842</v>
      </c>
      <c r="E29" s="27">
        <f>D29-C29</f>
        <v>3939948</v>
      </c>
      <c r="F29" s="28">
        <f>IF(C29=0,0,E29/C29)</f>
        <v>1.7621354142906596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189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190</v>
      </c>
      <c r="C32" s="23">
        <v>3174512</v>
      </c>
      <c r="D32" s="23">
        <v>322070</v>
      </c>
      <c r="E32" s="23">
        <f>D32-C32</f>
        <v>-2852442</v>
      </c>
      <c r="F32" s="24">
        <f>IF(C32=0,0,E32/C32)</f>
        <v>-0.8985450362134401</v>
      </c>
    </row>
    <row r="33" spans="1:6" ht="24" customHeight="1">
      <c r="A33" s="21">
        <v>7</v>
      </c>
      <c r="B33" s="22" t="s">
        <v>191</v>
      </c>
      <c r="C33" s="23">
        <v>3320012</v>
      </c>
      <c r="D33" s="23">
        <v>2297615</v>
      </c>
      <c r="E33" s="23">
        <f>D33-C33</f>
        <v>-1022397</v>
      </c>
      <c r="F33" s="24">
        <f>IF(C33=0,0,E33/C33)</f>
        <v>-0.30794979054292576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192</v>
      </c>
      <c r="B35" s="30" t="s">
        <v>193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194</v>
      </c>
      <c r="C36" s="23">
        <v>89891637</v>
      </c>
      <c r="D36" s="23">
        <v>94462346</v>
      </c>
      <c r="E36" s="23">
        <f>D36-C36</f>
        <v>4570709</v>
      </c>
      <c r="F36" s="24">
        <f>IF(C36=0,0,E36/C36)</f>
        <v>0.05084687689022729</v>
      </c>
    </row>
    <row r="37" spans="1:6" ht="24" customHeight="1">
      <c r="A37" s="21">
        <v>2</v>
      </c>
      <c r="B37" s="22" t="s">
        <v>195</v>
      </c>
      <c r="C37" s="23">
        <v>52772521</v>
      </c>
      <c r="D37" s="23">
        <v>57981855</v>
      </c>
      <c r="E37" s="23">
        <f>D37-C37</f>
        <v>5209334</v>
      </c>
      <c r="F37" s="24">
        <f>IF(C37=0,0,E37/C37)</f>
        <v>0.09871300254918654</v>
      </c>
    </row>
    <row r="38" spans="1:6" ht="24" customHeight="1">
      <c r="A38" s="25"/>
      <c r="B38" s="26" t="s">
        <v>196</v>
      </c>
      <c r="C38" s="27">
        <f>C36-C37</f>
        <v>37119116</v>
      </c>
      <c r="D38" s="27">
        <f>D36-D37</f>
        <v>36480491</v>
      </c>
      <c r="E38" s="27">
        <f>D38-C38</f>
        <v>-638625</v>
      </c>
      <c r="F38" s="28">
        <f>IF(C38=0,0,E38/C38)</f>
        <v>-0.017204747009600122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197</v>
      </c>
      <c r="C40" s="23">
        <v>0</v>
      </c>
      <c r="D40" s="23">
        <v>428448</v>
      </c>
      <c r="E40" s="23">
        <f>D40-C40</f>
        <v>428448</v>
      </c>
      <c r="F40" s="24">
        <f>IF(C40=0,0,E40/C40)</f>
        <v>0</v>
      </c>
    </row>
    <row r="41" spans="1:6" ht="24" customHeight="1">
      <c r="A41" s="25"/>
      <c r="B41" s="26" t="s">
        <v>198</v>
      </c>
      <c r="C41" s="27">
        <f>+C38+C40</f>
        <v>37119116</v>
      </c>
      <c r="D41" s="27">
        <f>+D38+D40</f>
        <v>36908939</v>
      </c>
      <c r="E41" s="27">
        <f>D41-C41</f>
        <v>-210177</v>
      </c>
      <c r="F41" s="28">
        <f>IF(C41=0,0,E41/C41)</f>
        <v>-0.0056622307492452135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199</v>
      </c>
      <c r="C43" s="27">
        <f>C22+C29+C31+C32+C33+C41</f>
        <v>70121163</v>
      </c>
      <c r="D43" s="27">
        <f>D22+D29+D31+D32+D33+D41</f>
        <v>69708385</v>
      </c>
      <c r="E43" s="27">
        <f>D43-C43</f>
        <v>-412778</v>
      </c>
      <c r="F43" s="28">
        <f>IF(C43=0,0,E43/C43)</f>
        <v>-0.005886639387313071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200</v>
      </c>
      <c r="B46" s="16" t="s">
        <v>201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170</v>
      </c>
      <c r="B48" s="41" t="s">
        <v>202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203</v>
      </c>
      <c r="C49" s="23">
        <v>3283294</v>
      </c>
      <c r="D49" s="23">
        <v>3370047</v>
      </c>
      <c r="E49" s="23">
        <f aca="true" t="shared" si="2" ref="E49:E56">D49-C49</f>
        <v>86753</v>
      </c>
      <c r="F49" s="24">
        <f aca="true" t="shared" si="3" ref="F49:F56">IF(C49=0,0,E49/C49)</f>
        <v>0.026422550036640034</v>
      </c>
    </row>
    <row r="50" spans="1:6" ht="24" customHeight="1">
      <c r="A50" s="21">
        <f aca="true" t="shared" si="4" ref="A50:A55">1+A49</f>
        <v>2</v>
      </c>
      <c r="B50" s="22" t="s">
        <v>204</v>
      </c>
      <c r="C50" s="23">
        <v>1074903</v>
      </c>
      <c r="D50" s="23">
        <v>1276413</v>
      </c>
      <c r="E50" s="23">
        <f t="shared" si="2"/>
        <v>201510</v>
      </c>
      <c r="F50" s="24">
        <f t="shared" si="3"/>
        <v>0.1874680785149916</v>
      </c>
    </row>
    <row r="51" spans="1:6" ht="24" customHeight="1">
      <c r="A51" s="21">
        <f t="shared" si="4"/>
        <v>3</v>
      </c>
      <c r="B51" s="22" t="s">
        <v>205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206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207</v>
      </c>
      <c r="C53" s="23">
        <v>309541</v>
      </c>
      <c r="D53" s="23">
        <v>325901</v>
      </c>
      <c r="E53" s="23">
        <f t="shared" si="2"/>
        <v>16360</v>
      </c>
      <c r="F53" s="24">
        <f t="shared" si="3"/>
        <v>0.05285244927166353</v>
      </c>
    </row>
    <row r="54" spans="1:6" ht="24" customHeight="1">
      <c r="A54" s="21">
        <f t="shared" si="4"/>
        <v>6</v>
      </c>
      <c r="B54" s="22" t="s">
        <v>208</v>
      </c>
      <c r="C54" s="23">
        <v>464111</v>
      </c>
      <c r="D54" s="23">
        <v>530010</v>
      </c>
      <c r="E54" s="23">
        <f t="shared" si="2"/>
        <v>65899</v>
      </c>
      <c r="F54" s="24">
        <f t="shared" si="3"/>
        <v>0.14198973952351915</v>
      </c>
    </row>
    <row r="55" spans="1:6" ht="24" customHeight="1">
      <c r="A55" s="21">
        <f t="shared" si="4"/>
        <v>7</v>
      </c>
      <c r="B55" s="22" t="s">
        <v>209</v>
      </c>
      <c r="C55" s="23">
        <v>4308911</v>
      </c>
      <c r="D55" s="23">
        <v>3625641</v>
      </c>
      <c r="E55" s="23">
        <f t="shared" si="2"/>
        <v>-683270</v>
      </c>
      <c r="F55" s="24">
        <f t="shared" si="3"/>
        <v>-0.15857138845522686</v>
      </c>
    </row>
    <row r="56" spans="1:6" ht="24" customHeight="1">
      <c r="A56" s="25"/>
      <c r="B56" s="26" t="s">
        <v>210</v>
      </c>
      <c r="C56" s="27">
        <f>SUM(C49:C55)</f>
        <v>9440760</v>
      </c>
      <c r="D56" s="27">
        <f>SUM(D49:D55)</f>
        <v>9128012</v>
      </c>
      <c r="E56" s="27">
        <f t="shared" si="2"/>
        <v>-312748</v>
      </c>
      <c r="F56" s="28">
        <f t="shared" si="3"/>
        <v>-0.0331274177078964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182</v>
      </c>
      <c r="B58" s="41" t="s">
        <v>211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212</v>
      </c>
      <c r="C59" s="23">
        <v>20021887</v>
      </c>
      <c r="D59" s="23">
        <v>19698257</v>
      </c>
      <c r="E59" s="23">
        <f>D59-C59</f>
        <v>-323630</v>
      </c>
      <c r="F59" s="24">
        <f>IF(C59=0,0,E59/C59)</f>
        <v>-0.01616381113328629</v>
      </c>
    </row>
    <row r="60" spans="1:6" ht="24" customHeight="1">
      <c r="A60" s="21">
        <v>2</v>
      </c>
      <c r="B60" s="22" t="s">
        <v>213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214</v>
      </c>
      <c r="C61" s="27">
        <f>SUM(C59:C60)</f>
        <v>20021887</v>
      </c>
      <c r="D61" s="27">
        <f>SUM(D59:D60)</f>
        <v>19698257</v>
      </c>
      <c r="E61" s="27">
        <f>D61-C61</f>
        <v>-323630</v>
      </c>
      <c r="F61" s="28">
        <f>IF(C61=0,0,E61/C61)</f>
        <v>-0.01616381113328629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215</v>
      </c>
      <c r="C63" s="23">
        <v>24984787</v>
      </c>
      <c r="D63" s="23">
        <v>57389912</v>
      </c>
      <c r="E63" s="23">
        <f>D63-C63</f>
        <v>32405125</v>
      </c>
      <c r="F63" s="24">
        <f>IF(C63=0,0,E63/C63)</f>
        <v>1.2969942469391473</v>
      </c>
    </row>
    <row r="64" spans="1:6" ht="24" customHeight="1">
      <c r="A64" s="21">
        <v>4</v>
      </c>
      <c r="B64" s="22" t="s">
        <v>216</v>
      </c>
      <c r="C64" s="23">
        <v>2401742</v>
      </c>
      <c r="D64" s="23">
        <v>3663526</v>
      </c>
      <c r="E64" s="23">
        <f>D64-C64</f>
        <v>1261784</v>
      </c>
      <c r="F64" s="24">
        <f>IF(C64=0,0,E64/C64)</f>
        <v>0.525362008075805</v>
      </c>
    </row>
    <row r="65" spans="1:6" ht="24" customHeight="1">
      <c r="A65" s="25"/>
      <c r="B65" s="26" t="s">
        <v>217</v>
      </c>
      <c r="C65" s="27">
        <f>SUM(C61:C64)</f>
        <v>47408416</v>
      </c>
      <c r="D65" s="27">
        <f>SUM(D61:D64)</f>
        <v>80751695</v>
      </c>
      <c r="E65" s="27">
        <f>D65-C65</f>
        <v>33343279</v>
      </c>
      <c r="F65" s="28">
        <f>IF(C65=0,0,E65/C65)</f>
        <v>0.7033198282769034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218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192</v>
      </c>
      <c r="B69" s="41" t="s">
        <v>219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220</v>
      </c>
      <c r="C70" s="23">
        <v>10143299</v>
      </c>
      <c r="D70" s="23">
        <v>-25502905</v>
      </c>
      <c r="E70" s="23">
        <f>D70-C70</f>
        <v>-35646204</v>
      </c>
      <c r="F70" s="24">
        <f>IF(C70=0,0,E70/C70)</f>
        <v>-3.514261385768082</v>
      </c>
    </row>
    <row r="71" spans="1:6" ht="24" customHeight="1">
      <c r="A71" s="21">
        <v>2</v>
      </c>
      <c r="B71" s="22" t="s">
        <v>221</v>
      </c>
      <c r="C71" s="23">
        <v>1866961</v>
      </c>
      <c r="D71" s="23">
        <v>2104204</v>
      </c>
      <c r="E71" s="23">
        <f>D71-C71</f>
        <v>237243</v>
      </c>
      <c r="F71" s="24">
        <f>IF(C71=0,0,E71/C71)</f>
        <v>0.12707442737154123</v>
      </c>
    </row>
    <row r="72" spans="1:6" ht="24" customHeight="1">
      <c r="A72" s="21">
        <v>3</v>
      </c>
      <c r="B72" s="22" t="s">
        <v>222</v>
      </c>
      <c r="C72" s="23">
        <v>1261727</v>
      </c>
      <c r="D72" s="23">
        <v>3227379</v>
      </c>
      <c r="E72" s="23">
        <f>D72-C72</f>
        <v>1965652</v>
      </c>
      <c r="F72" s="24">
        <f>IF(C72=0,0,E72/C72)</f>
        <v>1.5579059495437602</v>
      </c>
    </row>
    <row r="73" spans="1:6" ht="24" customHeight="1">
      <c r="A73" s="21"/>
      <c r="B73" s="26" t="s">
        <v>223</v>
      </c>
      <c r="C73" s="27">
        <f>SUM(C70:C72)</f>
        <v>13271987</v>
      </c>
      <c r="D73" s="27">
        <f>SUM(D70:D72)</f>
        <v>-20171322</v>
      </c>
      <c r="E73" s="27">
        <f>D73-C73</f>
        <v>-33443309</v>
      </c>
      <c r="F73" s="28">
        <f>IF(C73=0,0,E73/C73)</f>
        <v>-2.5198419046070493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224</v>
      </c>
      <c r="C75" s="27">
        <f>C56+C65+C67+C73</f>
        <v>70121163</v>
      </c>
      <c r="D75" s="27">
        <f>D56+D65+D67+D73</f>
        <v>69708385</v>
      </c>
      <c r="E75" s="27">
        <f>D75-C75</f>
        <v>-412778</v>
      </c>
      <c r="F75" s="28">
        <f>IF(C75=0,0,E75/C75)</f>
        <v>-0.005886639387313071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FILING&amp;RWINDHAM COMMUNITY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156</v>
      </c>
      <c r="B1" s="696"/>
      <c r="C1" s="696"/>
      <c r="D1" s="696"/>
      <c r="E1" s="697"/>
    </row>
    <row r="2" spans="1:5" ht="24" customHeight="1">
      <c r="A2" s="695" t="s">
        <v>157</v>
      </c>
      <c r="B2" s="696"/>
      <c r="C2" s="696"/>
      <c r="D2" s="696"/>
      <c r="E2" s="697"/>
    </row>
    <row r="3" spans="1:5" ht="24" customHeight="1">
      <c r="A3" s="695" t="s">
        <v>158</v>
      </c>
      <c r="B3" s="696"/>
      <c r="C3" s="696"/>
      <c r="D3" s="696"/>
      <c r="E3" s="697"/>
    </row>
    <row r="4" spans="1:5" ht="24" customHeight="1">
      <c r="A4" s="695" t="s">
        <v>637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166</v>
      </c>
      <c r="D7" s="59" t="s">
        <v>166</v>
      </c>
      <c r="E7" s="59" t="s">
        <v>166</v>
      </c>
      <c r="F7" s="59"/>
    </row>
    <row r="8" spans="1:6" ht="24" customHeight="1">
      <c r="A8" s="61" t="s">
        <v>164</v>
      </c>
      <c r="B8" s="62" t="s">
        <v>165</v>
      </c>
      <c r="C8" s="264" t="s">
        <v>463</v>
      </c>
      <c r="D8" s="264" t="s">
        <v>160</v>
      </c>
      <c r="E8" s="264" t="s">
        <v>161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170</v>
      </c>
      <c r="B10" s="187" t="s">
        <v>638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639</v>
      </c>
      <c r="C11" s="51">
        <v>76196541</v>
      </c>
      <c r="D11" s="51">
        <v>81011511</v>
      </c>
      <c r="E11" s="51">
        <v>83605148</v>
      </c>
      <c r="F11" s="28"/>
    </row>
    <row r="12" spans="1:6" ht="24" customHeight="1">
      <c r="A12" s="44">
        <v>2</v>
      </c>
      <c r="B12" s="48" t="s">
        <v>232</v>
      </c>
      <c r="C12" s="49">
        <v>5646903</v>
      </c>
      <c r="D12" s="49">
        <v>4257607</v>
      </c>
      <c r="E12" s="49">
        <v>2401877</v>
      </c>
      <c r="F12" s="28"/>
    </row>
    <row r="13" spans="1:6" s="56" customFormat="1" ht="24" customHeight="1">
      <c r="A13" s="44">
        <v>3</v>
      </c>
      <c r="B13" s="48" t="s">
        <v>234</v>
      </c>
      <c r="C13" s="51">
        <f>+C11+C12</f>
        <v>81843444</v>
      </c>
      <c r="D13" s="51">
        <f>+D11+D12</f>
        <v>85269118</v>
      </c>
      <c r="E13" s="51">
        <f>+E11+E12</f>
        <v>86007025</v>
      </c>
      <c r="F13" s="70"/>
    </row>
    <row r="14" spans="1:6" s="56" customFormat="1" ht="24" customHeight="1">
      <c r="A14" s="44">
        <v>4</v>
      </c>
      <c r="B14" s="48" t="s">
        <v>245</v>
      </c>
      <c r="C14" s="49">
        <v>81098944</v>
      </c>
      <c r="D14" s="49">
        <v>83487134</v>
      </c>
      <c r="E14" s="49">
        <v>85401157</v>
      </c>
      <c r="F14" s="70"/>
    </row>
    <row r="15" spans="1:6" s="56" customFormat="1" ht="24" customHeight="1">
      <c r="A15" s="44">
        <v>5</v>
      </c>
      <c r="B15" s="48" t="s">
        <v>246</v>
      </c>
      <c r="C15" s="51">
        <f>+C13-C14</f>
        <v>744500</v>
      </c>
      <c r="D15" s="51">
        <f>+D13-D14</f>
        <v>1781984</v>
      </c>
      <c r="E15" s="51">
        <f>+E13-E14</f>
        <v>605868</v>
      </c>
      <c r="F15" s="70"/>
    </row>
    <row r="16" spans="1:6" s="56" customFormat="1" ht="24" customHeight="1">
      <c r="A16" s="44">
        <v>6</v>
      </c>
      <c r="B16" s="48" t="s">
        <v>251</v>
      </c>
      <c r="C16" s="49">
        <v>1627039</v>
      </c>
      <c r="D16" s="49">
        <v>310467</v>
      </c>
      <c r="E16" s="49">
        <v>-1790872</v>
      </c>
      <c r="F16" s="70"/>
    </row>
    <row r="17" spans="1:6" s="56" customFormat="1" ht="24" customHeight="1">
      <c r="A17" s="44">
        <v>7</v>
      </c>
      <c r="B17" s="45" t="s">
        <v>466</v>
      </c>
      <c r="C17" s="51">
        <f>C15+C16</f>
        <v>2371539</v>
      </c>
      <c r="D17" s="51">
        <f>D15+D16</f>
        <v>2092451</v>
      </c>
      <c r="E17" s="51">
        <f>E15+E16</f>
        <v>-1185004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182</v>
      </c>
      <c r="B19" s="30" t="s">
        <v>640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641</v>
      </c>
      <c r="C20" s="169">
        <f>IF(+C27=0,0,+C24/+C27)</f>
        <v>0.0089193206178045</v>
      </c>
      <c r="D20" s="169">
        <f>IF(+D27=0,0,+D24/+D27)</f>
        <v>0.020822536122370772</v>
      </c>
      <c r="E20" s="169">
        <f>IF(+E27=0,0,+E24/+E27)</f>
        <v>0.00719420180591721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642</v>
      </c>
      <c r="C21" s="169">
        <f>IF(+C27=0,0,+C26/+C27)</f>
        <v>0.01949238750661117</v>
      </c>
      <c r="D21" s="169">
        <f>IF(+D27=0,0,+D26/+D27)</f>
        <v>0.0036278161433009985</v>
      </c>
      <c r="E21" s="169">
        <f>IF(+E27=0,0,+E26/+E27)</f>
        <v>-0.021265184126850346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643</v>
      </c>
      <c r="C22" s="169">
        <f>IF(+C27=0,0,+C28/+C27)</f>
        <v>0.02841170812441567</v>
      </c>
      <c r="D22" s="169">
        <f>IF(+D27=0,0,+D28/+D27)</f>
        <v>0.02445035226567177</v>
      </c>
      <c r="E22" s="169">
        <f>IF(+E27=0,0,+E28/+E27)</f>
        <v>-0.014070982320933135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246</v>
      </c>
      <c r="C24" s="51">
        <f>+C15</f>
        <v>744500</v>
      </c>
      <c r="D24" s="51">
        <f>+D15</f>
        <v>1781984</v>
      </c>
      <c r="E24" s="51">
        <f>+E15</f>
        <v>605868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234</v>
      </c>
      <c r="C25" s="51">
        <f>+C13</f>
        <v>81843444</v>
      </c>
      <c r="D25" s="51">
        <f>+D13</f>
        <v>85269118</v>
      </c>
      <c r="E25" s="51">
        <f>+E13</f>
        <v>86007025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251</v>
      </c>
      <c r="C26" s="51">
        <f>+C16</f>
        <v>1627039</v>
      </c>
      <c r="D26" s="51">
        <f>+D16</f>
        <v>310467</v>
      </c>
      <c r="E26" s="51">
        <f>+E16</f>
        <v>-1790872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471</v>
      </c>
      <c r="C27" s="51">
        <f>SUM(C25:C26)</f>
        <v>83470483</v>
      </c>
      <c r="D27" s="51">
        <f>SUM(D25:D26)</f>
        <v>85579585</v>
      </c>
      <c r="E27" s="51">
        <f>SUM(E25:E26)</f>
        <v>84216153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466</v>
      </c>
      <c r="C28" s="51">
        <f>+C17</f>
        <v>2371539</v>
      </c>
      <c r="D28" s="51">
        <f>+D17</f>
        <v>2092451</v>
      </c>
      <c r="E28" s="51">
        <f>+E17</f>
        <v>-1185004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192</v>
      </c>
      <c r="B30" s="41" t="s">
        <v>644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645</v>
      </c>
      <c r="C31" s="51">
        <v>8993301</v>
      </c>
      <c r="D31" s="51">
        <v>10143299</v>
      </c>
      <c r="E31" s="52">
        <v>-25502905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646</v>
      </c>
      <c r="C32" s="51">
        <v>12692298</v>
      </c>
      <c r="D32" s="51">
        <v>13271987</v>
      </c>
      <c r="E32" s="51">
        <v>-20171322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647</v>
      </c>
      <c r="C33" s="51">
        <v>12692298</v>
      </c>
      <c r="D33" s="51">
        <f>+D32-C32</f>
        <v>579689</v>
      </c>
      <c r="E33" s="51">
        <f>+E32-D32</f>
        <v>-33443309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648</v>
      </c>
      <c r="C34" s="171">
        <v>0</v>
      </c>
      <c r="D34" s="171">
        <f>IF(C32=0,0,+D33/C32)</f>
        <v>0.045672501543849664</v>
      </c>
      <c r="E34" s="171">
        <f>IF(D32=0,0,+E33/D32)</f>
        <v>-2.5198419046070493</v>
      </c>
      <c r="F34" s="28"/>
    </row>
    <row r="35" spans="5:6" ht="24" customHeight="1">
      <c r="E35" s="55"/>
      <c r="F35" s="28"/>
    </row>
    <row r="36" spans="1:6" ht="15.75" customHeight="1">
      <c r="A36" s="20" t="s">
        <v>477</v>
      </c>
      <c r="B36" s="16" t="s">
        <v>499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500</v>
      </c>
      <c r="C38" s="269">
        <f>IF(+C40=0,0,+C39/+C40)</f>
        <v>2.275130606420293</v>
      </c>
      <c r="D38" s="269">
        <f>IF(+D40=0,0,+D39/+D40)</f>
        <v>2.5709401573602126</v>
      </c>
      <c r="E38" s="269">
        <f>IF(+E40=0,0,+E39/+E40)</f>
        <v>2.629698449125615</v>
      </c>
      <c r="F38" s="28"/>
    </row>
    <row r="39" spans="1:6" ht="24" customHeight="1">
      <c r="A39" s="17">
        <v>2</v>
      </c>
      <c r="B39" s="45" t="s">
        <v>181</v>
      </c>
      <c r="C39" s="270">
        <v>21323946</v>
      </c>
      <c r="D39" s="270">
        <v>24271629</v>
      </c>
      <c r="E39" s="270">
        <v>24003919</v>
      </c>
      <c r="F39" s="28"/>
    </row>
    <row r="40" spans="1:5" ht="24" customHeight="1">
      <c r="A40" s="17">
        <v>3</v>
      </c>
      <c r="B40" s="45" t="s">
        <v>210</v>
      </c>
      <c r="C40" s="270">
        <v>9372625</v>
      </c>
      <c r="D40" s="270">
        <v>9440760</v>
      </c>
      <c r="E40" s="270">
        <v>9128012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501</v>
      </c>
      <c r="C42" s="271">
        <f>IF((C48/365)=0,0,+C45/(C48/365))</f>
        <v>5.221466853588835</v>
      </c>
      <c r="D42" s="271">
        <f>IF((D48/365)=0,0,+D45/(D48/365))</f>
        <v>12.761845900174334</v>
      </c>
      <c r="E42" s="271">
        <f>IF((E48/365)=0,0,+E45/(E48/365))</f>
        <v>15.13280825515159</v>
      </c>
    </row>
    <row r="43" spans="1:5" ht="24" customHeight="1">
      <c r="A43" s="17">
        <v>5</v>
      </c>
      <c r="B43" s="188" t="s">
        <v>172</v>
      </c>
      <c r="C43" s="272">
        <v>1105693</v>
      </c>
      <c r="D43" s="272">
        <v>2778004</v>
      </c>
      <c r="E43" s="272">
        <v>3357508</v>
      </c>
    </row>
    <row r="44" spans="1:5" ht="24" customHeight="1">
      <c r="A44" s="17">
        <v>6</v>
      </c>
      <c r="B44" s="273" t="s">
        <v>173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502</v>
      </c>
      <c r="C45" s="270">
        <f>+C43+C44</f>
        <v>1105693</v>
      </c>
      <c r="D45" s="270">
        <f>+D43+D44</f>
        <v>2778004</v>
      </c>
      <c r="E45" s="270">
        <f>+E43+E44</f>
        <v>3357508</v>
      </c>
    </row>
    <row r="46" spans="1:5" ht="24" customHeight="1">
      <c r="A46" s="17">
        <v>8</v>
      </c>
      <c r="B46" s="45" t="s">
        <v>480</v>
      </c>
      <c r="C46" s="270">
        <f>+C14</f>
        <v>81098944</v>
      </c>
      <c r="D46" s="270">
        <f>+D14</f>
        <v>83487134</v>
      </c>
      <c r="E46" s="270">
        <f>+E14</f>
        <v>85401157</v>
      </c>
    </row>
    <row r="47" spans="1:5" ht="24" customHeight="1">
      <c r="A47" s="17">
        <v>9</v>
      </c>
      <c r="B47" s="45" t="s">
        <v>503</v>
      </c>
      <c r="C47" s="270">
        <v>3806881</v>
      </c>
      <c r="D47" s="270">
        <v>4033780</v>
      </c>
      <c r="E47" s="270">
        <v>4418804</v>
      </c>
    </row>
    <row r="48" spans="1:5" ht="24" customHeight="1">
      <c r="A48" s="17">
        <v>10</v>
      </c>
      <c r="B48" s="45" t="s">
        <v>504</v>
      </c>
      <c r="C48" s="270">
        <f>+C46-C47</f>
        <v>77292063</v>
      </c>
      <c r="D48" s="270">
        <f>+D46-D47</f>
        <v>79453354</v>
      </c>
      <c r="E48" s="270">
        <f>+E46-E47</f>
        <v>80982353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505</v>
      </c>
      <c r="C50" s="278">
        <f>IF((C55/365)=0,0,+C54/(C55/365))</f>
        <v>69.9778438761413</v>
      </c>
      <c r="D50" s="278">
        <f>IF((D55/365)=0,0,+D54/(D55/365))</f>
        <v>63.81296591295526</v>
      </c>
      <c r="E50" s="278">
        <f>IF((E55/365)=0,0,+E54/(E55/365))</f>
        <v>62.755877185935965</v>
      </c>
    </row>
    <row r="51" spans="1:5" ht="24" customHeight="1">
      <c r="A51" s="17">
        <v>12</v>
      </c>
      <c r="B51" s="188" t="s">
        <v>506</v>
      </c>
      <c r="C51" s="279">
        <v>13196621</v>
      </c>
      <c r="D51" s="279">
        <v>11996552</v>
      </c>
      <c r="E51" s="279">
        <v>13116037</v>
      </c>
    </row>
    <row r="52" spans="1:5" ht="24" customHeight="1">
      <c r="A52" s="17">
        <v>13</v>
      </c>
      <c r="B52" s="188" t="s">
        <v>177</v>
      </c>
      <c r="C52" s="270">
        <v>1411789</v>
      </c>
      <c r="D52" s="270">
        <v>2166694</v>
      </c>
      <c r="E52" s="270">
        <v>1258523</v>
      </c>
    </row>
    <row r="53" spans="1:5" ht="24" customHeight="1">
      <c r="A53" s="17">
        <v>14</v>
      </c>
      <c r="B53" s="188" t="s">
        <v>205</v>
      </c>
      <c r="C53" s="270">
        <v>0</v>
      </c>
      <c r="D53" s="270">
        <v>0</v>
      </c>
      <c r="E53" s="270">
        <v>0</v>
      </c>
    </row>
    <row r="54" spans="1:5" ht="32.25" customHeight="1">
      <c r="A54" s="17">
        <v>15</v>
      </c>
      <c r="B54" s="45" t="s">
        <v>507</v>
      </c>
      <c r="C54" s="280">
        <f>+C51+C52-C53</f>
        <v>14608410</v>
      </c>
      <c r="D54" s="280">
        <f>+D51+D52-D53</f>
        <v>14163246</v>
      </c>
      <c r="E54" s="280">
        <f>+E51+E52-E53</f>
        <v>14374560</v>
      </c>
    </row>
    <row r="55" spans="1:5" ht="24" customHeight="1">
      <c r="A55" s="17">
        <v>16</v>
      </c>
      <c r="B55" s="45" t="s">
        <v>231</v>
      </c>
      <c r="C55" s="270">
        <f>+C11</f>
        <v>76196541</v>
      </c>
      <c r="D55" s="270">
        <f>+D11</f>
        <v>81011511</v>
      </c>
      <c r="E55" s="270">
        <f>+E11</f>
        <v>83605148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508</v>
      </c>
      <c r="C57" s="283">
        <f>IF((C61/365)=0,0,+C58/(C61/365))</f>
        <v>44.2607946044861</v>
      </c>
      <c r="D57" s="283">
        <f>IF((D61/365)=0,0,+D58/(D61/365))</f>
        <v>43.369816710317856</v>
      </c>
      <c r="E57" s="283">
        <f>IF((E61/365)=0,0,+E58/(E61/365))</f>
        <v>41.141362983118064</v>
      </c>
    </row>
    <row r="58" spans="1:5" ht="24" customHeight="1">
      <c r="A58" s="17">
        <v>18</v>
      </c>
      <c r="B58" s="45" t="s">
        <v>210</v>
      </c>
      <c r="C58" s="281">
        <f>+C40</f>
        <v>9372625</v>
      </c>
      <c r="D58" s="281">
        <f>+D40</f>
        <v>9440760</v>
      </c>
      <c r="E58" s="281">
        <f>+E40</f>
        <v>9128012</v>
      </c>
    </row>
    <row r="59" spans="1:5" ht="24" customHeight="1">
      <c r="A59" s="17">
        <v>19</v>
      </c>
      <c r="B59" s="45" t="s">
        <v>480</v>
      </c>
      <c r="C59" s="281">
        <f aca="true" t="shared" si="0" ref="C59:E60">+C46</f>
        <v>81098944</v>
      </c>
      <c r="D59" s="281">
        <f t="shared" si="0"/>
        <v>83487134</v>
      </c>
      <c r="E59" s="281">
        <f t="shared" si="0"/>
        <v>85401157</v>
      </c>
    </row>
    <row r="60" spans="1:5" ht="24" customHeight="1">
      <c r="A60" s="17">
        <v>20</v>
      </c>
      <c r="B60" s="45" t="s">
        <v>503</v>
      </c>
      <c r="C60" s="176">
        <f t="shared" si="0"/>
        <v>3806881</v>
      </c>
      <c r="D60" s="176">
        <f t="shared" si="0"/>
        <v>4033780</v>
      </c>
      <c r="E60" s="176">
        <f t="shared" si="0"/>
        <v>4418804</v>
      </c>
    </row>
    <row r="61" spans="1:5" ht="24" customHeight="1">
      <c r="A61" s="17">
        <v>21</v>
      </c>
      <c r="B61" s="45" t="s">
        <v>509</v>
      </c>
      <c r="C61" s="281">
        <f>+C59-C60</f>
        <v>77292063</v>
      </c>
      <c r="D61" s="281">
        <f>+D59-D60</f>
        <v>79453354</v>
      </c>
      <c r="E61" s="281">
        <f>+E59-E60</f>
        <v>80982353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498</v>
      </c>
      <c r="B63" s="16" t="s">
        <v>511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512</v>
      </c>
      <c r="C65" s="284">
        <f>IF(C67=0,0,(C66/C67)*100)</f>
        <v>18.64826168180304</v>
      </c>
      <c r="D65" s="284">
        <f>IF(D67=0,0,(D66/D67)*100)</f>
        <v>18.927220302949056</v>
      </c>
      <c r="E65" s="284">
        <f>IF(E67=0,0,(E66/E67)*100)</f>
        <v>-28.936722605178705</v>
      </c>
    </row>
    <row r="66" spans="1:5" ht="24" customHeight="1">
      <c r="A66" s="17">
        <v>2</v>
      </c>
      <c r="B66" s="45" t="s">
        <v>223</v>
      </c>
      <c r="C66" s="281">
        <f>+C32</f>
        <v>12692298</v>
      </c>
      <c r="D66" s="281">
        <f>+D32</f>
        <v>13271987</v>
      </c>
      <c r="E66" s="281">
        <f>+E32</f>
        <v>-20171322</v>
      </c>
    </row>
    <row r="67" spans="1:5" ht="24" customHeight="1">
      <c r="A67" s="17">
        <v>3</v>
      </c>
      <c r="B67" s="45" t="s">
        <v>199</v>
      </c>
      <c r="C67" s="281">
        <v>68061561</v>
      </c>
      <c r="D67" s="281">
        <v>70121163</v>
      </c>
      <c r="E67" s="281">
        <v>69708385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513</v>
      </c>
      <c r="C69" s="284">
        <f>IF(C75=0,0,(C72/C75)*100)</f>
        <v>26.56076100478143</v>
      </c>
      <c r="D69" s="284">
        <f>IF(D75=0,0,(D72/D75)*100)</f>
        <v>20.793213182780214</v>
      </c>
      <c r="E69" s="284">
        <f>IF(E75=0,0,(E72/E75)*100)</f>
        <v>11.218239863091544</v>
      </c>
    </row>
    <row r="70" spans="1:5" ht="24" customHeight="1">
      <c r="A70" s="17">
        <v>5</v>
      </c>
      <c r="B70" s="45" t="s">
        <v>514</v>
      </c>
      <c r="C70" s="281">
        <f>+C28</f>
        <v>2371539</v>
      </c>
      <c r="D70" s="281">
        <f>+D28</f>
        <v>2092451</v>
      </c>
      <c r="E70" s="281">
        <f>+E28</f>
        <v>-1185004</v>
      </c>
    </row>
    <row r="71" spans="1:5" ht="24" customHeight="1">
      <c r="A71" s="17">
        <v>6</v>
      </c>
      <c r="B71" s="45" t="s">
        <v>503</v>
      </c>
      <c r="C71" s="176">
        <f>+C47</f>
        <v>3806881</v>
      </c>
      <c r="D71" s="176">
        <f>+D47</f>
        <v>4033780</v>
      </c>
      <c r="E71" s="176">
        <f>+E47</f>
        <v>4418804</v>
      </c>
    </row>
    <row r="72" spans="1:5" ht="24" customHeight="1">
      <c r="A72" s="17">
        <v>7</v>
      </c>
      <c r="B72" s="45" t="s">
        <v>515</v>
      </c>
      <c r="C72" s="281">
        <f>+C70+C71</f>
        <v>6178420</v>
      </c>
      <c r="D72" s="281">
        <f>+D70+D71</f>
        <v>6126231</v>
      </c>
      <c r="E72" s="281">
        <f>+E70+E71</f>
        <v>3233800</v>
      </c>
    </row>
    <row r="73" spans="1:5" ht="24" customHeight="1">
      <c r="A73" s="17">
        <v>8</v>
      </c>
      <c r="B73" s="45" t="s">
        <v>210</v>
      </c>
      <c r="C73" s="270">
        <f>+C40</f>
        <v>9372625</v>
      </c>
      <c r="D73" s="270">
        <f>+D40</f>
        <v>9440760</v>
      </c>
      <c r="E73" s="270">
        <f>+E40</f>
        <v>9128012</v>
      </c>
    </row>
    <row r="74" spans="1:5" ht="24" customHeight="1">
      <c r="A74" s="17">
        <v>9</v>
      </c>
      <c r="B74" s="45" t="s">
        <v>214</v>
      </c>
      <c r="C74" s="281">
        <v>13888832</v>
      </c>
      <c r="D74" s="281">
        <v>20021887</v>
      </c>
      <c r="E74" s="281">
        <v>19698257</v>
      </c>
    </row>
    <row r="75" spans="1:5" ht="24" customHeight="1">
      <c r="A75" s="17">
        <v>10</v>
      </c>
      <c r="B75" s="285" t="s">
        <v>516</v>
      </c>
      <c r="C75" s="270">
        <f>+C73+C74</f>
        <v>23261457</v>
      </c>
      <c r="D75" s="270">
        <f>+D73+D74</f>
        <v>29462647</v>
      </c>
      <c r="E75" s="270">
        <f>+E73+E74</f>
        <v>28826269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517</v>
      </c>
      <c r="C77" s="286">
        <f>IF(C80=0,0,(C78/C80)*100)</f>
        <v>52.25072071804321</v>
      </c>
      <c r="D77" s="286">
        <f>IF(D80=0,0,(D78/D80)*100)</f>
        <v>60.13684980005631</v>
      </c>
      <c r="E77" s="286">
        <f>IF(E80=0,0,(E78/E80)*100)</f>
        <v>-4163.964148689926</v>
      </c>
    </row>
    <row r="78" spans="1:5" ht="24" customHeight="1">
      <c r="A78" s="17">
        <v>12</v>
      </c>
      <c r="B78" s="45" t="s">
        <v>214</v>
      </c>
      <c r="C78" s="270">
        <f>+C74</f>
        <v>13888832</v>
      </c>
      <c r="D78" s="270">
        <f>+D74</f>
        <v>20021887</v>
      </c>
      <c r="E78" s="270">
        <f>+E74</f>
        <v>19698257</v>
      </c>
    </row>
    <row r="79" spans="1:5" ht="24" customHeight="1">
      <c r="A79" s="17">
        <v>13</v>
      </c>
      <c r="B79" s="45" t="s">
        <v>223</v>
      </c>
      <c r="C79" s="270">
        <f>+C32</f>
        <v>12692298</v>
      </c>
      <c r="D79" s="270">
        <f>+D32</f>
        <v>13271987</v>
      </c>
      <c r="E79" s="270">
        <f>+E32</f>
        <v>-20171322</v>
      </c>
    </row>
    <row r="80" spans="1:5" ht="24" customHeight="1">
      <c r="A80" s="17">
        <v>14</v>
      </c>
      <c r="B80" s="45" t="s">
        <v>518</v>
      </c>
      <c r="C80" s="270">
        <f>+C78+C79</f>
        <v>26581130</v>
      </c>
      <c r="D80" s="270">
        <f>+D78+D79</f>
        <v>33293874</v>
      </c>
      <c r="E80" s="270">
        <f>+E78+E79</f>
        <v>-473065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FILING&amp;R&amp;8WINDHAM COMMUNITY MEMORIAL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156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157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158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649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650</v>
      </c>
      <c r="G7" s="126" t="s">
        <v>650</v>
      </c>
      <c r="H7" s="125"/>
      <c r="I7" s="289"/>
    </row>
    <row r="8" spans="1:9" ht="15.75" customHeight="1">
      <c r="A8" s="287"/>
      <c r="B8" s="126"/>
      <c r="C8" s="126" t="s">
        <v>651</v>
      </c>
      <c r="D8" s="126" t="s">
        <v>652</v>
      </c>
      <c r="E8" s="126" t="s">
        <v>653</v>
      </c>
      <c r="F8" s="126" t="s">
        <v>654</v>
      </c>
      <c r="G8" s="126" t="s">
        <v>655</v>
      </c>
      <c r="H8" s="125"/>
      <c r="I8" s="289"/>
    </row>
    <row r="9" spans="1:9" ht="15.75" customHeight="1">
      <c r="A9" s="290" t="s">
        <v>164</v>
      </c>
      <c r="B9" s="291" t="s">
        <v>165</v>
      </c>
      <c r="C9" s="292" t="s">
        <v>656</v>
      </c>
      <c r="D9" s="292" t="s">
        <v>657</v>
      </c>
      <c r="E9" s="292" t="s">
        <v>658</v>
      </c>
      <c r="F9" s="292" t="s">
        <v>657</v>
      </c>
      <c r="G9" s="292" t="s">
        <v>658</v>
      </c>
      <c r="H9" s="125"/>
      <c r="I9" s="56"/>
    </row>
    <row r="10" spans="1:9" ht="15.75" customHeight="1">
      <c r="A10" s="293" t="s">
        <v>659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660</v>
      </c>
      <c r="C11" s="296">
        <v>16063</v>
      </c>
      <c r="D11" s="297">
        <v>53</v>
      </c>
      <c r="E11" s="297">
        <v>104</v>
      </c>
      <c r="F11" s="298">
        <f>IF(D11=0,0,$C11/(D11*365))</f>
        <v>0.8303437580770224</v>
      </c>
      <c r="G11" s="298">
        <f>IF(E11=0,0,$C11/(E11*365))</f>
        <v>0.4231559536354057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661</v>
      </c>
      <c r="C13" s="296">
        <v>2400</v>
      </c>
      <c r="D13" s="297">
        <v>12</v>
      </c>
      <c r="E13" s="297">
        <v>12</v>
      </c>
      <c r="F13" s="298">
        <f>IF(D13=0,0,$C13/(D13*365))</f>
        <v>0.547945205479452</v>
      </c>
      <c r="G13" s="298">
        <f>IF(E13=0,0,$C13/(E13*365))</f>
        <v>0.547945205479452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662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663</v>
      </c>
      <c r="C16" s="296">
        <v>0</v>
      </c>
      <c r="D16" s="297">
        <v>0</v>
      </c>
      <c r="E16" s="297">
        <v>0</v>
      </c>
      <c r="F16" s="298">
        <f t="shared" si="0"/>
        <v>0</v>
      </c>
      <c r="G16" s="298">
        <f t="shared" si="0"/>
        <v>0</v>
      </c>
      <c r="H16" s="125"/>
      <c r="I16" s="299"/>
    </row>
    <row r="17" spans="1:9" ht="15.75" customHeight="1">
      <c r="A17" s="293"/>
      <c r="B17" s="135" t="s">
        <v>664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1">
        <f t="shared" si="0"/>
        <v>0</v>
      </c>
      <c r="G17" s="301">
        <f t="shared" si="0"/>
        <v>0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665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666</v>
      </c>
      <c r="C21" s="296">
        <v>1236</v>
      </c>
      <c r="D21" s="297">
        <v>14</v>
      </c>
      <c r="E21" s="297">
        <v>14</v>
      </c>
      <c r="F21" s="298">
        <f>IF(D21=0,0,$C21/(D21*365))</f>
        <v>0.24187866927592955</v>
      </c>
      <c r="G21" s="298">
        <f>IF(E21=0,0,$C21/(E21*365))</f>
        <v>0.24187866927592955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667</v>
      </c>
      <c r="C23" s="296">
        <v>997</v>
      </c>
      <c r="D23" s="297">
        <v>8</v>
      </c>
      <c r="E23" s="297">
        <v>14</v>
      </c>
      <c r="F23" s="298">
        <f>IF(D23=0,0,$C23/(D23*365))</f>
        <v>0.34143835616438356</v>
      </c>
      <c r="G23" s="298">
        <f>IF(E23=0,0,$C23/(E23*365))</f>
        <v>0.19510763209393348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451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668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669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670</v>
      </c>
      <c r="C31" s="300">
        <f>SUM(C10:C29)-C17-C23</f>
        <v>19699</v>
      </c>
      <c r="D31" s="300">
        <f>SUM(D10:D29)-D17-D23</f>
        <v>79</v>
      </c>
      <c r="E31" s="300">
        <f>SUM(E10:E29)-E17-E23</f>
        <v>130</v>
      </c>
      <c r="F31" s="301">
        <f>IF(D31=0,0,$C31/(D31*365))</f>
        <v>0.6831628229582105</v>
      </c>
      <c r="G31" s="301">
        <f>IF(E31=0,0,$C31/(E31*365))</f>
        <v>0.4151527924130664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671</v>
      </c>
      <c r="C33" s="300">
        <f>SUM(C10:C29)-C17</f>
        <v>20696</v>
      </c>
      <c r="D33" s="300">
        <f>SUM(D10:D29)-D17</f>
        <v>87</v>
      </c>
      <c r="E33" s="300">
        <f>SUM(E10:E29)-E17</f>
        <v>144</v>
      </c>
      <c r="F33" s="301">
        <f>IF(D33=0,0,$C33/(D33*365))</f>
        <v>0.6517398834829161</v>
      </c>
      <c r="G33" s="301">
        <f>IF(E33=0,0,$C33/(E33*365))</f>
        <v>0.39375951293759515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672</v>
      </c>
      <c r="C36" s="300">
        <f>+C33</f>
        <v>20696</v>
      </c>
      <c r="D36" s="300">
        <f>+D33</f>
        <v>87</v>
      </c>
      <c r="E36" s="300">
        <f>+E33</f>
        <v>144</v>
      </c>
      <c r="F36" s="301">
        <f>+F33</f>
        <v>0.6517398834829161</v>
      </c>
      <c r="G36" s="301">
        <f>+G33</f>
        <v>0.39375951293759515</v>
      </c>
      <c r="H36" s="125"/>
      <c r="I36" s="299"/>
    </row>
    <row r="37" spans="1:9" ht="15.75" customHeight="1">
      <c r="A37" s="293"/>
      <c r="B37" s="135" t="s">
        <v>673</v>
      </c>
      <c r="C37" s="300">
        <v>21050</v>
      </c>
      <c r="D37" s="302">
        <v>87</v>
      </c>
      <c r="E37" s="302">
        <v>144</v>
      </c>
      <c r="F37" s="301">
        <f>IF(D37=0,0,$C37/(D37*365))</f>
        <v>0.6628877342150843</v>
      </c>
      <c r="G37" s="301">
        <f>IF(E37=0,0,$C37/(E37*365))</f>
        <v>0.4004946727549467</v>
      </c>
      <c r="H37" s="125"/>
      <c r="I37" s="299"/>
    </row>
    <row r="38" spans="1:9" ht="15.75" customHeight="1">
      <c r="A38" s="293"/>
      <c r="B38" s="135" t="s">
        <v>674</v>
      </c>
      <c r="C38" s="300">
        <f>+C36-C37</f>
        <v>-354</v>
      </c>
      <c r="D38" s="300">
        <f>+D36-D37</f>
        <v>0</v>
      </c>
      <c r="E38" s="300">
        <f>+E36-E37</f>
        <v>0</v>
      </c>
      <c r="F38" s="301">
        <f>+F36-F37</f>
        <v>-0.011147850732168174</v>
      </c>
      <c r="G38" s="301">
        <f>+G36-G37</f>
        <v>-0.006735159817351566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675</v>
      </c>
      <c r="C40" s="148">
        <f>IF(C37=0,0,C38/C37)</f>
        <v>-0.01681710213776722</v>
      </c>
      <c r="D40" s="148">
        <f>IF(D37=0,0,D38/D37)</f>
        <v>0</v>
      </c>
      <c r="E40" s="148">
        <f>IF(E37=0,0,E38/E37)</f>
        <v>0</v>
      </c>
      <c r="F40" s="148">
        <f>IF(F37=0,0,F38/F37)</f>
        <v>-0.016817102137767236</v>
      </c>
      <c r="G40" s="148">
        <f>IF(G37=0,0,G38/G37)</f>
        <v>-0.016817102137767142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676</v>
      </c>
      <c r="C42" s="295">
        <v>144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677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659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FILING&amp;RWINDHAM COMMUNITY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156</v>
      </c>
      <c r="B1" s="698"/>
      <c r="C1" s="698"/>
      <c r="D1" s="698"/>
      <c r="E1" s="698"/>
      <c r="F1" s="698"/>
    </row>
    <row r="2" spans="1:6" ht="15.75" customHeight="1">
      <c r="A2" s="698" t="s">
        <v>157</v>
      </c>
      <c r="B2" s="698"/>
      <c r="C2" s="698"/>
      <c r="D2" s="698"/>
      <c r="E2" s="698"/>
      <c r="F2" s="698"/>
    </row>
    <row r="3" spans="1:6" ht="15.75" customHeight="1">
      <c r="A3" s="698" t="s">
        <v>158</v>
      </c>
      <c r="B3" s="698"/>
      <c r="C3" s="698"/>
      <c r="D3" s="698"/>
      <c r="E3" s="698"/>
      <c r="F3" s="698"/>
    </row>
    <row r="4" spans="1:6" ht="15.75" customHeight="1">
      <c r="A4" s="698" t="s">
        <v>678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166</v>
      </c>
      <c r="D8" s="312" t="s">
        <v>166</v>
      </c>
      <c r="E8" s="126" t="s">
        <v>162</v>
      </c>
      <c r="F8" s="126" t="s">
        <v>163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164</v>
      </c>
      <c r="B9" s="291" t="s">
        <v>165</v>
      </c>
      <c r="C9" s="292" t="s">
        <v>160</v>
      </c>
      <c r="D9" s="292" t="s">
        <v>161</v>
      </c>
      <c r="E9" s="315" t="s">
        <v>167</v>
      </c>
      <c r="F9" s="315" t="s">
        <v>167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170</v>
      </c>
      <c r="B11" s="291" t="s">
        <v>679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680</v>
      </c>
      <c r="C12" s="296">
        <v>3647</v>
      </c>
      <c r="D12" s="296">
        <v>3816</v>
      </c>
      <c r="E12" s="296">
        <f>+D12-C12</f>
        <v>169</v>
      </c>
      <c r="F12" s="316">
        <f>IF(C12=0,0,+E12/C12)</f>
        <v>0.046339457088017545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681</v>
      </c>
      <c r="C13" s="296">
        <v>4876</v>
      </c>
      <c r="D13" s="296">
        <v>4457</v>
      </c>
      <c r="E13" s="296">
        <f>+D13-C13</f>
        <v>-419</v>
      </c>
      <c r="F13" s="316">
        <f>IF(C13=0,0,+E13/C13)</f>
        <v>-0.08593109105824447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682</v>
      </c>
      <c r="C14" s="296">
        <v>4507</v>
      </c>
      <c r="D14" s="296">
        <v>3816</v>
      </c>
      <c r="E14" s="296">
        <f>+D14-C14</f>
        <v>-691</v>
      </c>
      <c r="F14" s="316">
        <f>IF(C14=0,0,+E14/C14)</f>
        <v>-0.1533170623474595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683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684</v>
      </c>
      <c r="C16" s="300">
        <f>SUM(C12:C15)</f>
        <v>13030</v>
      </c>
      <c r="D16" s="300">
        <f>SUM(D12:D15)</f>
        <v>12089</v>
      </c>
      <c r="E16" s="300">
        <f>+D16-C16</f>
        <v>-941</v>
      </c>
      <c r="F16" s="309">
        <f>IF(C16=0,0,+E16/C16)</f>
        <v>-0.07221795855717575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182</v>
      </c>
      <c r="B18" s="291" t="s">
        <v>685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680</v>
      </c>
      <c r="C19" s="296">
        <v>505</v>
      </c>
      <c r="D19" s="296">
        <v>438</v>
      </c>
      <c r="E19" s="296">
        <f>+D19-C19</f>
        <v>-67</v>
      </c>
      <c r="F19" s="316">
        <f>IF(C19=0,0,+E19/C19)</f>
        <v>-0.13267326732673268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681</v>
      </c>
      <c r="C20" s="296">
        <v>3485</v>
      </c>
      <c r="D20" s="296">
        <v>3493</v>
      </c>
      <c r="E20" s="296">
        <f>+D20-C20</f>
        <v>8</v>
      </c>
      <c r="F20" s="316">
        <f>IF(C20=0,0,+E20/C20)</f>
        <v>0.0022955523672883787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682</v>
      </c>
      <c r="C21" s="296">
        <v>90</v>
      </c>
      <c r="D21" s="296">
        <v>82</v>
      </c>
      <c r="E21" s="296">
        <f>+D21-C21</f>
        <v>-8</v>
      </c>
      <c r="F21" s="316">
        <f>IF(C21=0,0,+E21/C21)</f>
        <v>-0.08888888888888889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683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686</v>
      </c>
      <c r="C23" s="300">
        <f>SUM(C19:C22)</f>
        <v>4080</v>
      </c>
      <c r="D23" s="300">
        <f>SUM(D19:D22)</f>
        <v>4013</v>
      </c>
      <c r="E23" s="300">
        <f>+D23-C23</f>
        <v>-67</v>
      </c>
      <c r="F23" s="309">
        <f>IF(C23=0,0,+E23/C23)</f>
        <v>-0.01642156862745098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192</v>
      </c>
      <c r="B25" s="291" t="s">
        <v>687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680</v>
      </c>
      <c r="C26" s="296">
        <v>4</v>
      </c>
      <c r="D26" s="296">
        <v>0</v>
      </c>
      <c r="E26" s="296">
        <f>+D26-C26</f>
        <v>-4</v>
      </c>
      <c r="F26" s="316">
        <f>IF(C26=0,0,+E26/C26)</f>
        <v>-1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681</v>
      </c>
      <c r="C27" s="296">
        <v>83</v>
      </c>
      <c r="D27" s="296">
        <v>0</v>
      </c>
      <c r="E27" s="296">
        <f>+D27-C27</f>
        <v>-83</v>
      </c>
      <c r="F27" s="316">
        <f>IF(C27=0,0,+E27/C27)</f>
        <v>-1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682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683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688</v>
      </c>
      <c r="C30" s="300">
        <f>SUM(C26:C29)</f>
        <v>87</v>
      </c>
      <c r="D30" s="300">
        <f>SUM(D26:D29)</f>
        <v>0</v>
      </c>
      <c r="E30" s="300">
        <f>+D30-C30</f>
        <v>-87</v>
      </c>
      <c r="F30" s="309">
        <f>IF(C30=0,0,+E30/C30)</f>
        <v>-1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477</v>
      </c>
      <c r="B32" s="291" t="s">
        <v>689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680</v>
      </c>
      <c r="C33" s="296">
        <v>0</v>
      </c>
      <c r="D33" s="296">
        <v>5</v>
      </c>
      <c r="E33" s="296">
        <f>+D33-C33</f>
        <v>5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681</v>
      </c>
      <c r="C34" s="296">
        <v>0</v>
      </c>
      <c r="D34" s="296">
        <v>101</v>
      </c>
      <c r="E34" s="296">
        <f>+D34-C34</f>
        <v>101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682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683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690</v>
      </c>
      <c r="C37" s="300">
        <f>SUM(C33:C36)</f>
        <v>0</v>
      </c>
      <c r="D37" s="300">
        <f>SUM(D33:D36)</f>
        <v>106</v>
      </c>
      <c r="E37" s="300">
        <f>+D37-C37</f>
        <v>106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691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692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498</v>
      </c>
      <c r="B42" s="291" t="s">
        <v>693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694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695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696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510</v>
      </c>
      <c r="B47" s="291" t="s">
        <v>697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694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695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698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522</v>
      </c>
      <c r="B52" s="291" t="s">
        <v>699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700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701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702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526</v>
      </c>
      <c r="B57" s="291" t="s">
        <v>703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704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705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706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168</v>
      </c>
      <c r="B62" s="291" t="s">
        <v>707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708</v>
      </c>
      <c r="C63" s="296">
        <v>1339</v>
      </c>
      <c r="D63" s="296">
        <v>1356</v>
      </c>
      <c r="E63" s="296">
        <f>+D63-C63</f>
        <v>17</v>
      </c>
      <c r="F63" s="316">
        <f>IF(C63=0,0,+E63/C63)</f>
        <v>0.012696041822255415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709</v>
      </c>
      <c r="C64" s="296">
        <v>5555</v>
      </c>
      <c r="D64" s="296">
        <v>5916</v>
      </c>
      <c r="E64" s="296">
        <f>+D64-C64</f>
        <v>361</v>
      </c>
      <c r="F64" s="316">
        <f>IF(C64=0,0,+E64/C64)</f>
        <v>0.06498649864986498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710</v>
      </c>
      <c r="C65" s="300">
        <f>SUM(C63:C64)</f>
        <v>6894</v>
      </c>
      <c r="D65" s="300">
        <f>SUM(D63:D64)</f>
        <v>7272</v>
      </c>
      <c r="E65" s="300">
        <f>+D65-C65</f>
        <v>378</v>
      </c>
      <c r="F65" s="309">
        <f>IF(C65=0,0,+E65/C65)</f>
        <v>0.05483028720626632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552</v>
      </c>
      <c r="B67" s="291" t="s">
        <v>711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712</v>
      </c>
      <c r="C68" s="296">
        <v>1171</v>
      </c>
      <c r="D68" s="296">
        <v>1055</v>
      </c>
      <c r="E68" s="296">
        <f>+D68-C68</f>
        <v>-116</v>
      </c>
      <c r="F68" s="316">
        <f>IF(C68=0,0,+E68/C68)</f>
        <v>-0.0990606319385141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713</v>
      </c>
      <c r="C69" s="296">
        <v>4025</v>
      </c>
      <c r="D69" s="296">
        <v>4608</v>
      </c>
      <c r="E69" s="296">
        <f>+D69-C69</f>
        <v>583</v>
      </c>
      <c r="F69" s="318">
        <f>IF(C69=0,0,+E69/C69)</f>
        <v>0.1448447204968944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714</v>
      </c>
      <c r="C70" s="300">
        <f>SUM(C68:C69)</f>
        <v>5196</v>
      </c>
      <c r="D70" s="300">
        <f>SUM(D68:D69)</f>
        <v>5663</v>
      </c>
      <c r="E70" s="300">
        <f>+D70-C70</f>
        <v>467</v>
      </c>
      <c r="F70" s="309">
        <f>IF(C70=0,0,+E70/C70)</f>
        <v>0.08987682832948422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568</v>
      </c>
      <c r="B72" s="291" t="s">
        <v>715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716</v>
      </c>
      <c r="C73" s="319">
        <v>3890</v>
      </c>
      <c r="D73" s="319">
        <v>3721</v>
      </c>
      <c r="E73" s="296">
        <f>+D73-C73</f>
        <v>-169</v>
      </c>
      <c r="F73" s="316">
        <f>IF(C73=0,0,+E73/C73)</f>
        <v>-0.043444730077120824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717</v>
      </c>
      <c r="C74" s="319">
        <v>24778</v>
      </c>
      <c r="D74" s="319">
        <v>26293</v>
      </c>
      <c r="E74" s="296">
        <f>+D74-C74</f>
        <v>1515</v>
      </c>
      <c r="F74" s="316">
        <f>IF(C74=0,0,+E74/C74)</f>
        <v>0.061142949390588425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584</v>
      </c>
      <c r="C75" s="300">
        <f>SUM(C73:C74)</f>
        <v>28668</v>
      </c>
      <c r="D75" s="300">
        <f>SUM(D73:D74)</f>
        <v>30014</v>
      </c>
      <c r="E75" s="300">
        <f>SUM(E73:E74)</f>
        <v>1346</v>
      </c>
      <c r="F75" s="309">
        <f>IF(C75=0,0,+E75/C75)</f>
        <v>0.04695130459048416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577</v>
      </c>
      <c r="B78" s="291" t="s">
        <v>718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719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720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721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722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723</v>
      </c>
      <c r="C83" s="319">
        <v>5416</v>
      </c>
      <c r="D83" s="319">
        <v>5554</v>
      </c>
      <c r="E83" s="296">
        <f t="shared" si="0"/>
        <v>138</v>
      </c>
      <c r="F83" s="316">
        <f t="shared" si="1"/>
        <v>0.025480059084194977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724</v>
      </c>
      <c r="C84" s="320">
        <f>SUM(C79:C83)</f>
        <v>5416</v>
      </c>
      <c r="D84" s="320">
        <f>SUM(D79:D83)</f>
        <v>5554</v>
      </c>
      <c r="E84" s="300">
        <f t="shared" si="0"/>
        <v>138</v>
      </c>
      <c r="F84" s="309">
        <f t="shared" si="1"/>
        <v>0.025480059084194977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580</v>
      </c>
      <c r="B86" s="291" t="s">
        <v>725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726</v>
      </c>
      <c r="C87" s="322">
        <v>11283</v>
      </c>
      <c r="D87" s="322">
        <v>11960</v>
      </c>
      <c r="E87" s="323">
        <f aca="true" t="shared" si="2" ref="E87:E92">+D87-C87</f>
        <v>677</v>
      </c>
      <c r="F87" s="318">
        <f aca="true" t="shared" si="3" ref="F87:F92">IF(C87=0,0,+E87/C87)</f>
        <v>0.06000177257821501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419</v>
      </c>
      <c r="C88" s="322">
        <v>8416</v>
      </c>
      <c r="D88" s="322">
        <v>8518</v>
      </c>
      <c r="E88" s="296">
        <f t="shared" si="2"/>
        <v>102</v>
      </c>
      <c r="F88" s="316">
        <f t="shared" si="3"/>
        <v>0.01211977186311787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727</v>
      </c>
      <c r="C89" s="322">
        <v>1326</v>
      </c>
      <c r="D89" s="322">
        <v>1355</v>
      </c>
      <c r="E89" s="296">
        <f t="shared" si="2"/>
        <v>29</v>
      </c>
      <c r="F89" s="316">
        <f t="shared" si="3"/>
        <v>0.021870286576168928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728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729</v>
      </c>
      <c r="C91" s="322">
        <v>4828</v>
      </c>
      <c r="D91" s="322">
        <v>5143</v>
      </c>
      <c r="E91" s="296">
        <f t="shared" si="2"/>
        <v>315</v>
      </c>
      <c r="F91" s="316">
        <f t="shared" si="3"/>
        <v>0.0652444076222038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730</v>
      </c>
      <c r="C92" s="320">
        <f>SUM(C87:C91)</f>
        <v>25853</v>
      </c>
      <c r="D92" s="320">
        <f>SUM(D87:D91)</f>
        <v>26976</v>
      </c>
      <c r="E92" s="300">
        <f t="shared" si="2"/>
        <v>1123</v>
      </c>
      <c r="F92" s="309">
        <f t="shared" si="3"/>
        <v>0.04343789888987738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731</v>
      </c>
      <c r="B95" s="291" t="s">
        <v>732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733</v>
      </c>
      <c r="C96" s="325">
        <v>180.8</v>
      </c>
      <c r="D96" s="325">
        <v>219</v>
      </c>
      <c r="E96" s="326">
        <f>+D96-C96</f>
        <v>38.19999999999999</v>
      </c>
      <c r="F96" s="316">
        <f>IF(C96=0,0,+E96/C96)</f>
        <v>0.21128318584070788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734</v>
      </c>
      <c r="C97" s="325">
        <v>4.7</v>
      </c>
      <c r="D97" s="325">
        <v>1.1</v>
      </c>
      <c r="E97" s="326">
        <f>+D97-C97</f>
        <v>-3.6</v>
      </c>
      <c r="F97" s="316">
        <f>IF(C97=0,0,+E97/C97)</f>
        <v>-0.7659574468085106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735</v>
      </c>
      <c r="C98" s="325">
        <v>409.3</v>
      </c>
      <c r="D98" s="325">
        <v>387.9</v>
      </c>
      <c r="E98" s="326">
        <f>+D98-C98</f>
        <v>-21.400000000000034</v>
      </c>
      <c r="F98" s="316">
        <f>IF(C98=0,0,+E98/C98)</f>
        <v>-0.05228438797947724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736</v>
      </c>
      <c r="C99" s="327">
        <f>SUM(C96:C98)</f>
        <v>594.8</v>
      </c>
      <c r="D99" s="327">
        <f>SUM(D96:D98)</f>
        <v>608</v>
      </c>
      <c r="E99" s="327">
        <f>+D99-C99</f>
        <v>13.200000000000045</v>
      </c>
      <c r="F99" s="309">
        <f>IF(C99=0,0,+E99/C99)</f>
        <v>0.022192333557498396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/>
  <headerFooter alignWithMargins="0">
    <oddHeader>&amp;LOFFICE OF HEALTH CARE ACCESS&amp;CTWELVE MONTHS ACTUAL FILING&amp;RWINDHAM COMMUNITY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156</v>
      </c>
      <c r="B1" s="698"/>
      <c r="C1" s="698"/>
      <c r="D1" s="698"/>
      <c r="E1" s="698"/>
      <c r="F1" s="698"/>
    </row>
    <row r="2" spans="1:6" ht="15.75" customHeight="1">
      <c r="A2" s="698" t="s">
        <v>157</v>
      </c>
      <c r="B2" s="698"/>
      <c r="C2" s="698"/>
      <c r="D2" s="698"/>
      <c r="E2" s="698"/>
      <c r="F2" s="698"/>
    </row>
    <row r="3" spans="1:6" ht="15.75" customHeight="1">
      <c r="A3" s="698" t="s">
        <v>158</v>
      </c>
      <c r="B3" s="698"/>
      <c r="C3" s="698"/>
      <c r="D3" s="698"/>
      <c r="E3" s="698"/>
      <c r="F3" s="698"/>
    </row>
    <row r="4" spans="1:6" ht="15.75" customHeight="1">
      <c r="A4" s="698" t="s">
        <v>737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166</v>
      </c>
      <c r="D8" s="312" t="s">
        <v>166</v>
      </c>
      <c r="E8" s="126" t="s">
        <v>162</v>
      </c>
      <c r="F8" s="126" t="s">
        <v>163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164</v>
      </c>
      <c r="B9" s="291" t="s">
        <v>165</v>
      </c>
      <c r="C9" s="292" t="s">
        <v>160</v>
      </c>
      <c r="D9" s="292" t="s">
        <v>161</v>
      </c>
      <c r="E9" s="315" t="s">
        <v>167</v>
      </c>
      <c r="F9" s="315" t="s">
        <v>167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266</v>
      </c>
      <c r="B11" s="291" t="s">
        <v>709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738</v>
      </c>
      <c r="C12" s="296">
        <v>5555</v>
      </c>
      <c r="D12" s="296">
        <v>5916</v>
      </c>
      <c r="E12" s="296">
        <f>+D12-C12</f>
        <v>361</v>
      </c>
      <c r="F12" s="316">
        <f>IF(C12=0,0,+E12/C12)</f>
        <v>0.06498649864986498</v>
      </c>
    </row>
    <row r="13" spans="1:6" ht="15.75" customHeight="1">
      <c r="A13" s="294"/>
      <c r="B13" s="135" t="s">
        <v>739</v>
      </c>
      <c r="C13" s="300">
        <f>SUM(C11:C12)</f>
        <v>5555</v>
      </c>
      <c r="D13" s="300">
        <f>SUM(D11:D12)</f>
        <v>5916</v>
      </c>
      <c r="E13" s="300">
        <f>+D13-C13</f>
        <v>361</v>
      </c>
      <c r="F13" s="309">
        <f>IF(C13=0,0,+E13/C13)</f>
        <v>0.06498649864986498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280</v>
      </c>
      <c r="B15" s="291" t="s">
        <v>713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738</v>
      </c>
      <c r="C16" s="296">
        <v>4025</v>
      </c>
      <c r="D16" s="296">
        <v>4608</v>
      </c>
      <c r="E16" s="296">
        <f>+D16-C16</f>
        <v>583</v>
      </c>
      <c r="F16" s="316">
        <f>IF(C16=0,0,+E16/C16)</f>
        <v>0.1448447204968944</v>
      </c>
    </row>
    <row r="17" spans="1:6" ht="15.75" customHeight="1">
      <c r="A17" s="294"/>
      <c r="B17" s="135" t="s">
        <v>740</v>
      </c>
      <c r="C17" s="300">
        <f>SUM(C15:C16)</f>
        <v>4025</v>
      </c>
      <c r="D17" s="300">
        <f>SUM(D15:D16)</f>
        <v>4608</v>
      </c>
      <c r="E17" s="300">
        <f>+D17-C17</f>
        <v>583</v>
      </c>
      <c r="F17" s="309">
        <f>IF(C17=0,0,+E17/C17)</f>
        <v>0.1448447204968944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297</v>
      </c>
      <c r="B19" s="291" t="s">
        <v>741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738</v>
      </c>
      <c r="C20" s="296">
        <v>24778</v>
      </c>
      <c r="D20" s="296">
        <v>26293</v>
      </c>
      <c r="E20" s="296">
        <f>+D20-C20</f>
        <v>1515</v>
      </c>
      <c r="F20" s="316">
        <f>IF(C20=0,0,+E20/C20)</f>
        <v>0.061142949390588425</v>
      </c>
    </row>
    <row r="21" spans="1:6" ht="15.75" customHeight="1">
      <c r="A21" s="294"/>
      <c r="B21" s="135" t="s">
        <v>742</v>
      </c>
      <c r="C21" s="300">
        <f>SUM(C19:C20)</f>
        <v>24778</v>
      </c>
      <c r="D21" s="300">
        <f>SUM(D19:D20)</f>
        <v>26293</v>
      </c>
      <c r="E21" s="300">
        <f>+D21-C21</f>
        <v>1515</v>
      </c>
      <c r="F21" s="309">
        <f>IF(C21=0,0,+E21/C21)</f>
        <v>0.061142949390588425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743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744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745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FILING&amp;RWINDHAM COMMUNITY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286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156</v>
      </c>
      <c r="B1" s="705"/>
      <c r="C1" s="705"/>
      <c r="D1" s="705"/>
      <c r="E1" s="705"/>
      <c r="F1" s="705"/>
    </row>
    <row r="2" spans="1:6" ht="15.75" customHeight="1">
      <c r="A2" s="706" t="s">
        <v>746</v>
      </c>
      <c r="B2" s="707"/>
      <c r="C2" s="707"/>
      <c r="D2" s="707"/>
      <c r="E2" s="707"/>
      <c r="F2" s="708"/>
    </row>
    <row r="3" spans="1:6" ht="15.75" customHeight="1">
      <c r="A3" s="706" t="s">
        <v>747</v>
      </c>
      <c r="B3" s="707"/>
      <c r="C3" s="707"/>
      <c r="D3" s="707"/>
      <c r="E3" s="707"/>
      <c r="F3" s="708"/>
    </row>
    <row r="4" spans="1:6" ht="15.75" customHeight="1">
      <c r="A4" s="702" t="s">
        <v>748</v>
      </c>
      <c r="B4" s="703"/>
      <c r="C4" s="703"/>
      <c r="D4" s="703"/>
      <c r="E4" s="703"/>
      <c r="F4" s="704"/>
    </row>
    <row r="5" spans="1:6" ht="15.75" customHeight="1">
      <c r="A5" s="702" t="s">
        <v>749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750</v>
      </c>
      <c r="D7" s="341" t="s">
        <v>750</v>
      </c>
      <c r="E7" s="341" t="s">
        <v>751</v>
      </c>
      <c r="F7" s="341" t="s">
        <v>163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164</v>
      </c>
      <c r="B8" s="343" t="s">
        <v>165</v>
      </c>
      <c r="C8" s="344" t="s">
        <v>752</v>
      </c>
      <c r="D8" s="344" t="s">
        <v>753</v>
      </c>
      <c r="E8" s="344" t="s">
        <v>167</v>
      </c>
      <c r="F8" s="344" t="s">
        <v>167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168</v>
      </c>
      <c r="B10" s="349" t="s">
        <v>754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170</v>
      </c>
      <c r="B12" s="356" t="s">
        <v>755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756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757</v>
      </c>
      <c r="C15" s="361">
        <v>42802972</v>
      </c>
      <c r="D15" s="361">
        <v>41659535</v>
      </c>
      <c r="E15" s="361">
        <f aca="true" t="shared" si="0" ref="E15:E24">D15-C15</f>
        <v>-1143437</v>
      </c>
      <c r="F15" s="362">
        <f aca="true" t="shared" si="1" ref="F15:F24">IF(C15=0,0,E15/C15)</f>
        <v>-0.026713962759408388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758</v>
      </c>
      <c r="C16" s="361">
        <v>25047816</v>
      </c>
      <c r="D16" s="361">
        <v>24697646</v>
      </c>
      <c r="E16" s="361">
        <f t="shared" si="0"/>
        <v>-350170</v>
      </c>
      <c r="F16" s="362">
        <f t="shared" si="1"/>
        <v>-0.013980061175792731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759</v>
      </c>
      <c r="C17" s="366">
        <f>IF(C15=0,0,C16/C15)</f>
        <v>0.5851887107278438</v>
      </c>
      <c r="D17" s="366">
        <f>IF(LN_IA1=0,0,LN_IA2/LN_IA1)</f>
        <v>0.5928449753459802</v>
      </c>
      <c r="E17" s="367">
        <f t="shared" si="0"/>
        <v>0.007656264618136399</v>
      </c>
      <c r="F17" s="362">
        <f t="shared" si="1"/>
        <v>0.013083411347108387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293</v>
      </c>
      <c r="C18" s="369">
        <v>2628</v>
      </c>
      <c r="D18" s="369">
        <v>2534</v>
      </c>
      <c r="E18" s="369">
        <f t="shared" si="0"/>
        <v>-94</v>
      </c>
      <c r="F18" s="362">
        <f t="shared" si="1"/>
        <v>-0.03576864535768645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760</v>
      </c>
      <c r="C19" s="372">
        <v>1.169</v>
      </c>
      <c r="D19" s="372">
        <v>1.1832</v>
      </c>
      <c r="E19" s="373">
        <f t="shared" si="0"/>
        <v>0.01419999999999999</v>
      </c>
      <c r="F19" s="362">
        <f t="shared" si="1"/>
        <v>0.012147134302822916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761</v>
      </c>
      <c r="C20" s="376">
        <f>C18*C19</f>
        <v>3072.132</v>
      </c>
      <c r="D20" s="376">
        <f>LN_IA4*LN_IA5</f>
        <v>2998.2288</v>
      </c>
      <c r="E20" s="376">
        <f t="shared" si="0"/>
        <v>-73.9032000000002</v>
      </c>
      <c r="F20" s="362">
        <f t="shared" si="1"/>
        <v>-0.02405599759385345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762</v>
      </c>
      <c r="C21" s="378">
        <f>IF(C20=0,0,C16/C20)</f>
        <v>8153.235603157676</v>
      </c>
      <c r="D21" s="378">
        <f>IF(LN_IA6=0,0,LN_IA2/LN_IA6)</f>
        <v>8237.412034731973</v>
      </c>
      <c r="E21" s="378">
        <f t="shared" si="0"/>
        <v>84.17643157429666</v>
      </c>
      <c r="F21" s="362">
        <f t="shared" si="1"/>
        <v>0.010324297698657925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295</v>
      </c>
      <c r="C22" s="369">
        <v>12098</v>
      </c>
      <c r="D22" s="369">
        <v>11993</v>
      </c>
      <c r="E22" s="369">
        <f t="shared" si="0"/>
        <v>-105</v>
      </c>
      <c r="F22" s="362">
        <f t="shared" si="1"/>
        <v>-0.008679120515787734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763</v>
      </c>
      <c r="C23" s="378">
        <f>IF(C22=0,0,C16/C22)</f>
        <v>2070.409654488345</v>
      </c>
      <c r="D23" s="378">
        <f>IF(LN_IA8=0,0,LN_IA2/LN_IA8)</f>
        <v>2059.3384474276663</v>
      </c>
      <c r="E23" s="378">
        <f t="shared" si="0"/>
        <v>-11.071207060678717</v>
      </c>
      <c r="F23" s="362">
        <f t="shared" si="1"/>
        <v>-0.005347350963456898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764</v>
      </c>
      <c r="C24" s="379">
        <f>IF(C18=0,0,C22/C18)</f>
        <v>4.603500761035008</v>
      </c>
      <c r="D24" s="379">
        <f>IF(LN_IA4=0,0,LN_IA8/LN_IA4)</f>
        <v>4.732833464877664</v>
      </c>
      <c r="E24" s="379">
        <f t="shared" si="0"/>
        <v>0.12933270384265594</v>
      </c>
      <c r="F24" s="362">
        <f t="shared" si="1"/>
        <v>0.028094424342742584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765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766</v>
      </c>
      <c r="C27" s="361">
        <v>33883714</v>
      </c>
      <c r="D27" s="361">
        <v>34320309</v>
      </c>
      <c r="E27" s="361">
        <f aca="true" t="shared" si="2" ref="E27:E32">D27-C27</f>
        <v>436595</v>
      </c>
      <c r="F27" s="362">
        <f aca="true" t="shared" si="3" ref="F27:F32">IF(C27=0,0,E27/C27)</f>
        <v>0.012885098723239135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767</v>
      </c>
      <c r="C28" s="361">
        <v>8162612</v>
      </c>
      <c r="D28" s="361">
        <v>8883904</v>
      </c>
      <c r="E28" s="361">
        <f t="shared" si="2"/>
        <v>721292</v>
      </c>
      <c r="F28" s="362">
        <f t="shared" si="3"/>
        <v>0.08836534187831052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768</v>
      </c>
      <c r="C29" s="366">
        <f>IF(C27=0,0,C28/C27)</f>
        <v>0.24090074659466196</v>
      </c>
      <c r="D29" s="366">
        <f>IF(LN_IA11=0,0,LN_IA12/LN_IA11)</f>
        <v>0.25885268107580267</v>
      </c>
      <c r="E29" s="367">
        <f t="shared" si="2"/>
        <v>0.017951934481140713</v>
      </c>
      <c r="F29" s="362">
        <f t="shared" si="3"/>
        <v>0.07452004501815232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769</v>
      </c>
      <c r="C30" s="366">
        <f>IF(C15=0,0,C27/C15)</f>
        <v>0.7916205912056761</v>
      </c>
      <c r="D30" s="366">
        <f>IF(LN_IA1=0,0,LN_IA11/LN_IA1)</f>
        <v>0.8238284224727904</v>
      </c>
      <c r="E30" s="367">
        <f t="shared" si="2"/>
        <v>0.03220783126711435</v>
      </c>
      <c r="F30" s="362">
        <f t="shared" si="3"/>
        <v>0.04068594428305646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770</v>
      </c>
      <c r="C31" s="376">
        <f>C30*C18</f>
        <v>2080.3789136885166</v>
      </c>
      <c r="D31" s="376">
        <f>LN_IA14*LN_IA4</f>
        <v>2087.581222546051</v>
      </c>
      <c r="E31" s="376">
        <f t="shared" si="2"/>
        <v>7.202308857534263</v>
      </c>
      <c r="F31" s="362">
        <f t="shared" si="3"/>
        <v>0.003462017813266792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771</v>
      </c>
      <c r="C32" s="378">
        <f>IF(C31=0,0,C28/C31)</f>
        <v>3923.6179266630184</v>
      </c>
      <c r="D32" s="378">
        <f>IF(LN_IA15=0,0,LN_IA12/LN_IA15)</f>
        <v>4255.596814175707</v>
      </c>
      <c r="E32" s="378">
        <f t="shared" si="2"/>
        <v>331.9788875126883</v>
      </c>
      <c r="F32" s="362">
        <f t="shared" si="3"/>
        <v>0.08461040134838808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772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773</v>
      </c>
      <c r="C35" s="361">
        <f>C15+C27</f>
        <v>76686686</v>
      </c>
      <c r="D35" s="361">
        <f>LN_IA1+LN_IA11</f>
        <v>75979844</v>
      </c>
      <c r="E35" s="361">
        <f>D35-C35</f>
        <v>-706842</v>
      </c>
      <c r="F35" s="362">
        <f>IF(C35=0,0,E35/C35)</f>
        <v>-0.009217271430923485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774</v>
      </c>
      <c r="C36" s="361">
        <f>C16+C28</f>
        <v>33210428</v>
      </c>
      <c r="D36" s="361">
        <f>LN_IA2+LN_IA12</f>
        <v>33581550</v>
      </c>
      <c r="E36" s="361">
        <f>D36-C36</f>
        <v>371122</v>
      </c>
      <c r="F36" s="362">
        <f>IF(C36=0,0,E36/C36)</f>
        <v>0.011174863509738567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775</v>
      </c>
      <c r="C37" s="361">
        <f>C35-C36</f>
        <v>43476258</v>
      </c>
      <c r="D37" s="361">
        <f>LN_IA17-LN_IA18</f>
        <v>42398294</v>
      </c>
      <c r="E37" s="361">
        <f>D37-C37</f>
        <v>-1077964</v>
      </c>
      <c r="F37" s="362">
        <f>IF(C37=0,0,E37/C37)</f>
        <v>-0.02479431417487678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182</v>
      </c>
      <c r="B39" s="356" t="s">
        <v>776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777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757</v>
      </c>
      <c r="C42" s="361">
        <v>19027618</v>
      </c>
      <c r="D42" s="361">
        <v>18807636</v>
      </c>
      <c r="E42" s="361">
        <f aca="true" t="shared" si="4" ref="E42:E53">D42-C42</f>
        <v>-219982</v>
      </c>
      <c r="F42" s="362">
        <f aca="true" t="shared" si="5" ref="F42:F53">IF(C42=0,0,E42/C42)</f>
        <v>-0.011561194890500745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758</v>
      </c>
      <c r="C43" s="361">
        <v>9024908</v>
      </c>
      <c r="D43" s="361">
        <v>10072435</v>
      </c>
      <c r="E43" s="361">
        <f t="shared" si="4"/>
        <v>1047527</v>
      </c>
      <c r="F43" s="362">
        <f t="shared" si="5"/>
        <v>0.11607065689755508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759</v>
      </c>
      <c r="C44" s="366">
        <f>IF(C42=0,0,C43/C42)</f>
        <v>0.47430571708975866</v>
      </c>
      <c r="D44" s="366">
        <f>IF(LN_IB1=0,0,LN_IB2/LN_IB1)</f>
        <v>0.535550294571843</v>
      </c>
      <c r="E44" s="367">
        <f t="shared" si="4"/>
        <v>0.06124457748208434</v>
      </c>
      <c r="F44" s="362">
        <f t="shared" si="5"/>
        <v>0.1291246874650138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293</v>
      </c>
      <c r="C45" s="369">
        <v>1707</v>
      </c>
      <c r="D45" s="369">
        <v>1601</v>
      </c>
      <c r="E45" s="369">
        <f t="shared" si="4"/>
        <v>-106</v>
      </c>
      <c r="F45" s="362">
        <f t="shared" si="5"/>
        <v>-0.062097246631517285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760</v>
      </c>
      <c r="C46" s="372">
        <v>0.9449</v>
      </c>
      <c r="D46" s="372">
        <v>0.942</v>
      </c>
      <c r="E46" s="373">
        <f t="shared" si="4"/>
        <v>-0.0029000000000000137</v>
      </c>
      <c r="F46" s="362">
        <f t="shared" si="5"/>
        <v>-0.003069107842099708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761</v>
      </c>
      <c r="C47" s="376">
        <f>C45*C46</f>
        <v>1612.9442999999999</v>
      </c>
      <c r="D47" s="376">
        <f>LN_IB4*LN_IB5</f>
        <v>1508.1419999999998</v>
      </c>
      <c r="E47" s="376">
        <f t="shared" si="4"/>
        <v>-104.80230000000006</v>
      </c>
      <c r="F47" s="362">
        <f t="shared" si="5"/>
        <v>-0.06497577132700742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762</v>
      </c>
      <c r="C48" s="378">
        <f>IF(C47=0,0,C43/C47)</f>
        <v>5595.300470078229</v>
      </c>
      <c r="D48" s="378">
        <f>IF(LN_IB6=0,0,LN_IB2/LN_IB6)</f>
        <v>6678.704657784215</v>
      </c>
      <c r="E48" s="378">
        <f t="shared" si="4"/>
        <v>1083.4041877059854</v>
      </c>
      <c r="F48" s="362">
        <f t="shared" si="5"/>
        <v>0.19362752608187242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778</v>
      </c>
      <c r="C49" s="378">
        <f>C21-C48</f>
        <v>2557.935133079447</v>
      </c>
      <c r="D49" s="378">
        <f>LN_IA7-LN_IB7</f>
        <v>1558.7073769477583</v>
      </c>
      <c r="E49" s="378">
        <f t="shared" si="4"/>
        <v>-999.2277561316887</v>
      </c>
      <c r="F49" s="362">
        <f t="shared" si="5"/>
        <v>-0.3906384267566388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779</v>
      </c>
      <c r="C50" s="391">
        <f>C49*C47</f>
        <v>4125806.892670235</v>
      </c>
      <c r="D50" s="391">
        <f>LN_IB8*LN_IB6</f>
        <v>2350752.060884746</v>
      </c>
      <c r="E50" s="391">
        <f t="shared" si="4"/>
        <v>-1775054.8317854893</v>
      </c>
      <c r="F50" s="362">
        <f t="shared" si="5"/>
        <v>-0.4302321649951649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295</v>
      </c>
      <c r="C51" s="369">
        <v>4780</v>
      </c>
      <c r="D51" s="369">
        <v>4844</v>
      </c>
      <c r="E51" s="369">
        <f t="shared" si="4"/>
        <v>64</v>
      </c>
      <c r="F51" s="362">
        <f t="shared" si="5"/>
        <v>0.013389121338912133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763</v>
      </c>
      <c r="C52" s="378">
        <f>IF(C51=0,0,C43/C51)</f>
        <v>1888.0560669456067</v>
      </c>
      <c r="D52" s="378">
        <f>IF(LN_IB10=0,0,LN_IB2/LN_IB10)</f>
        <v>2079.3631296449216</v>
      </c>
      <c r="E52" s="378">
        <f t="shared" si="4"/>
        <v>191.30706269931488</v>
      </c>
      <c r="F52" s="362">
        <f t="shared" si="5"/>
        <v>0.10132488438693504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764</v>
      </c>
      <c r="C53" s="379">
        <f>IF(C45=0,0,C51/C45)</f>
        <v>2.800234329232572</v>
      </c>
      <c r="D53" s="379">
        <f>IF(LN_IB4=0,0,LN_IB10/LN_IB4)</f>
        <v>3.0256089943785134</v>
      </c>
      <c r="E53" s="379">
        <f t="shared" si="4"/>
        <v>0.2253746651459414</v>
      </c>
      <c r="F53" s="362">
        <f t="shared" si="5"/>
        <v>0.08048421619333095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780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766</v>
      </c>
      <c r="C56" s="361">
        <v>62433108</v>
      </c>
      <c r="D56" s="361">
        <v>58938336</v>
      </c>
      <c r="E56" s="361">
        <f aca="true" t="shared" si="6" ref="E56:E63">D56-C56</f>
        <v>-3494772</v>
      </c>
      <c r="F56" s="362">
        <f aca="true" t="shared" si="7" ref="F56:F63">IF(C56=0,0,E56/C56)</f>
        <v>-0.05597626182569671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767</v>
      </c>
      <c r="C57" s="361">
        <v>23706004</v>
      </c>
      <c r="D57" s="361">
        <v>23900949</v>
      </c>
      <c r="E57" s="361">
        <f t="shared" si="6"/>
        <v>194945</v>
      </c>
      <c r="F57" s="362">
        <f t="shared" si="7"/>
        <v>0.008223444153641415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768</v>
      </c>
      <c r="C58" s="366">
        <f>IF(C56=0,0,C57/C56)</f>
        <v>0.3797024488993884</v>
      </c>
      <c r="D58" s="366">
        <f>IF(LN_IB13=0,0,LN_IB14/LN_IB13)</f>
        <v>0.40552466564376705</v>
      </c>
      <c r="E58" s="367">
        <f t="shared" si="6"/>
        <v>0.025822216744378623</v>
      </c>
      <c r="F58" s="362">
        <f t="shared" si="7"/>
        <v>0.06800645299820245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769</v>
      </c>
      <c r="C59" s="366">
        <f>IF(C42=0,0,C56/C42)</f>
        <v>3.2811835932379974</v>
      </c>
      <c r="D59" s="366">
        <f>IF(LN_IB1=0,0,LN_IB13/LN_IB1)</f>
        <v>3.1337450384514036</v>
      </c>
      <c r="E59" s="367">
        <f t="shared" si="6"/>
        <v>-0.14743855478659373</v>
      </c>
      <c r="F59" s="362">
        <f t="shared" si="7"/>
        <v>-0.04493456418910584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770</v>
      </c>
      <c r="C60" s="376">
        <f>C59*C45</f>
        <v>5600.980393657262</v>
      </c>
      <c r="D60" s="376">
        <f>LN_IB16*LN_IB4</f>
        <v>5017.125806560697</v>
      </c>
      <c r="E60" s="376">
        <f t="shared" si="6"/>
        <v>-583.8545870965645</v>
      </c>
      <c r="F60" s="362">
        <f t="shared" si="7"/>
        <v>-0.1042414981058925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771</v>
      </c>
      <c r="C61" s="378">
        <f>IF(C60=0,0,C57/C60)</f>
        <v>4232.474019520846</v>
      </c>
      <c r="D61" s="378">
        <f>IF(LN_IB17=0,0,LN_IB14/LN_IB17)</f>
        <v>4763.872767301485</v>
      </c>
      <c r="E61" s="378">
        <f t="shared" si="6"/>
        <v>531.3987477806386</v>
      </c>
      <c r="F61" s="362">
        <f t="shared" si="7"/>
        <v>0.1255527488957387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781</v>
      </c>
      <c r="C62" s="378">
        <f>C32-C61</f>
        <v>-308.85609285782766</v>
      </c>
      <c r="D62" s="378">
        <f>LN_IA16-LN_IB18</f>
        <v>-508.27595312577796</v>
      </c>
      <c r="E62" s="378">
        <f t="shared" si="6"/>
        <v>-199.4198602679503</v>
      </c>
      <c r="F62" s="362">
        <f t="shared" si="7"/>
        <v>0.645672417930078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782</v>
      </c>
      <c r="C63" s="361">
        <f>C62*C60</f>
        <v>-1729896.9205582794</v>
      </c>
      <c r="D63" s="361">
        <f>LN_IB19*LN_IB17</f>
        <v>-2550084.4012815757</v>
      </c>
      <c r="E63" s="361">
        <f t="shared" si="6"/>
        <v>-820187.4807232963</v>
      </c>
      <c r="F63" s="362">
        <f t="shared" si="7"/>
        <v>0.47412505969350016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783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773</v>
      </c>
      <c r="C66" s="361">
        <f>C42+C56</f>
        <v>81460726</v>
      </c>
      <c r="D66" s="361">
        <f>LN_IB1+LN_IB13</f>
        <v>77745972</v>
      </c>
      <c r="E66" s="361">
        <f>D66-C66</f>
        <v>-3714754</v>
      </c>
      <c r="F66" s="362">
        <f>IF(C66=0,0,E66/C66)</f>
        <v>-0.045601778702536976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774</v>
      </c>
      <c r="C67" s="361">
        <f>C43+C57</f>
        <v>32730912</v>
      </c>
      <c r="D67" s="361">
        <f>LN_IB2+LN_IB14</f>
        <v>33973384</v>
      </c>
      <c r="E67" s="361">
        <f>D67-C67</f>
        <v>1242472</v>
      </c>
      <c r="F67" s="362">
        <f>IF(C67=0,0,E67/C67)</f>
        <v>0.037960201047865696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775</v>
      </c>
      <c r="C68" s="361">
        <f>C66-C67</f>
        <v>48729814</v>
      </c>
      <c r="D68" s="361">
        <f>LN_IB21-LN_IB22</f>
        <v>43772588</v>
      </c>
      <c r="E68" s="361">
        <f>D68-C68</f>
        <v>-4957226</v>
      </c>
      <c r="F68" s="362">
        <f>IF(C68=0,0,E68/C68)</f>
        <v>-0.10172881021052123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784</v>
      </c>
      <c r="C70" s="353">
        <f>C50+C63</f>
        <v>2395909.9721119558</v>
      </c>
      <c r="D70" s="353">
        <f>LN_IB9+LN_IB20</f>
        <v>-199332.34039682988</v>
      </c>
      <c r="E70" s="361">
        <f>D70-C70</f>
        <v>-2595242.3125087856</v>
      </c>
      <c r="F70" s="362">
        <f>IF(C70=0,0,E70/C70)</f>
        <v>-1.0831969242237935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785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786</v>
      </c>
      <c r="C73" s="400">
        <v>72150715</v>
      </c>
      <c r="D73" s="400">
        <v>68498602</v>
      </c>
      <c r="E73" s="400">
        <f>D73-C73</f>
        <v>-3652113</v>
      </c>
      <c r="F73" s="401">
        <f>IF(C73=0,0,E73/C73)</f>
        <v>-0.050617835180150325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787</v>
      </c>
      <c r="C74" s="400">
        <v>32299682</v>
      </c>
      <c r="D74" s="400">
        <v>32953588</v>
      </c>
      <c r="E74" s="400">
        <f>D74-C74</f>
        <v>653906</v>
      </c>
      <c r="F74" s="401">
        <f>IF(C74=0,0,E74/C74)</f>
        <v>0.020244967117632923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788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789</v>
      </c>
      <c r="C76" s="353">
        <f>C73-C74</f>
        <v>39851033</v>
      </c>
      <c r="D76" s="353">
        <f>LN_IB32-LN_IB33</f>
        <v>35545014</v>
      </c>
      <c r="E76" s="400">
        <f>D76-C76</f>
        <v>-4306019</v>
      </c>
      <c r="F76" s="401">
        <f>IF(C76=0,0,E76/C76)</f>
        <v>-0.10805288284496917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790</v>
      </c>
      <c r="C77" s="366">
        <f>IF(C73=0,0,C76/C73)</f>
        <v>0.5523303961714031</v>
      </c>
      <c r="D77" s="366">
        <f>IF(LN_IB1=0,0,LN_IB34/LN_IB32)</f>
        <v>0.5189159042983096</v>
      </c>
      <c r="E77" s="405">
        <f>D77-C77</f>
        <v>-0.03341449187309353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192</v>
      </c>
      <c r="B79" s="356" t="s">
        <v>791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792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757</v>
      </c>
      <c r="C83" s="361">
        <v>1705284</v>
      </c>
      <c r="D83" s="361">
        <v>921311</v>
      </c>
      <c r="E83" s="361">
        <f aca="true" t="shared" si="8" ref="E83:E95">D83-C83</f>
        <v>-783973</v>
      </c>
      <c r="F83" s="362">
        <f aca="true" t="shared" si="9" ref="F83:F95">IF(C83=0,0,E83/C83)</f>
        <v>-0.45973163414422463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758</v>
      </c>
      <c r="C84" s="361">
        <v>218457</v>
      </c>
      <c r="D84" s="361">
        <v>74458</v>
      </c>
      <c r="E84" s="361">
        <f t="shared" si="8"/>
        <v>-143999</v>
      </c>
      <c r="F84" s="362">
        <f t="shared" si="9"/>
        <v>-0.659164046013632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759</v>
      </c>
      <c r="C85" s="366">
        <f>IF(C83=0,0,C84/C83)</f>
        <v>0.12810593426080347</v>
      </c>
      <c r="D85" s="366">
        <f>IF(LN_IC1=0,0,LN_IC2/LN_IC1)</f>
        <v>0.08081744383818276</v>
      </c>
      <c r="E85" s="367">
        <f t="shared" si="8"/>
        <v>-0.047288490422620705</v>
      </c>
      <c r="F85" s="362">
        <f t="shared" si="9"/>
        <v>-0.36913583040071196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293</v>
      </c>
      <c r="C86" s="369">
        <v>143</v>
      </c>
      <c r="D86" s="369">
        <v>87</v>
      </c>
      <c r="E86" s="369">
        <f t="shared" si="8"/>
        <v>-56</v>
      </c>
      <c r="F86" s="362">
        <f t="shared" si="9"/>
        <v>-0.3916083916083916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760</v>
      </c>
      <c r="C87" s="372">
        <v>1.051</v>
      </c>
      <c r="D87" s="372">
        <v>0.836</v>
      </c>
      <c r="E87" s="373">
        <f t="shared" si="8"/>
        <v>-0.21499999999999997</v>
      </c>
      <c r="F87" s="362">
        <f t="shared" si="9"/>
        <v>-0.20456707897240722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761</v>
      </c>
      <c r="C88" s="376">
        <f>C86*C87</f>
        <v>150.29299999999998</v>
      </c>
      <c r="D88" s="376">
        <f>LN_IC4*LN_IC5</f>
        <v>72.732</v>
      </c>
      <c r="E88" s="376">
        <f t="shared" si="8"/>
        <v>-77.56099999999998</v>
      </c>
      <c r="F88" s="362">
        <f t="shared" si="9"/>
        <v>-0.5160652858083875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762</v>
      </c>
      <c r="C89" s="378">
        <f>IF(C88=0,0,C84/C88)</f>
        <v>1453.5407504008838</v>
      </c>
      <c r="D89" s="378">
        <f>IF(LN_IC6=0,0,LN_IC2/LN_IC6)</f>
        <v>1023.7309574877632</v>
      </c>
      <c r="E89" s="378">
        <f t="shared" si="8"/>
        <v>-429.80979291312053</v>
      </c>
      <c r="F89" s="362">
        <f t="shared" si="9"/>
        <v>-0.2956984816521861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793</v>
      </c>
      <c r="C90" s="378">
        <f>C48-C89</f>
        <v>4141.759719677346</v>
      </c>
      <c r="D90" s="378">
        <f>LN_IB7-LN_IC7</f>
        <v>5654.973700296451</v>
      </c>
      <c r="E90" s="378">
        <f t="shared" si="8"/>
        <v>1513.2139806191053</v>
      </c>
      <c r="F90" s="362">
        <f t="shared" si="9"/>
        <v>0.36535532793703174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794</v>
      </c>
      <c r="C91" s="378">
        <f>C21-C89</f>
        <v>6699.694852756793</v>
      </c>
      <c r="D91" s="378">
        <f>LN_IA7-LN_IC7</f>
        <v>7213.6810772442095</v>
      </c>
      <c r="E91" s="378">
        <f t="shared" si="8"/>
        <v>513.9862244874166</v>
      </c>
      <c r="F91" s="362">
        <f t="shared" si="9"/>
        <v>0.07671785592979975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779</v>
      </c>
      <c r="C92" s="353">
        <f>C91*C88</f>
        <v>1006917.2385053765</v>
      </c>
      <c r="D92" s="353">
        <f>LN_IC9*LN_IC6</f>
        <v>524665.4521101258</v>
      </c>
      <c r="E92" s="353">
        <f t="shared" si="8"/>
        <v>-482251.7863952507</v>
      </c>
      <c r="F92" s="362">
        <f t="shared" si="9"/>
        <v>-0.4789388521256066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295</v>
      </c>
      <c r="C93" s="369">
        <v>433</v>
      </c>
      <c r="D93" s="369">
        <v>242</v>
      </c>
      <c r="E93" s="369">
        <f t="shared" si="8"/>
        <v>-191</v>
      </c>
      <c r="F93" s="362">
        <f t="shared" si="9"/>
        <v>-0.44110854503464203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763</v>
      </c>
      <c r="C94" s="411">
        <f>IF(C93=0,0,C84/C93)</f>
        <v>504.51963048498845</v>
      </c>
      <c r="D94" s="411">
        <f>IF(LN_IC11=0,0,LN_IC2/LN_IC11)</f>
        <v>307.6776859504132</v>
      </c>
      <c r="E94" s="411">
        <f t="shared" si="8"/>
        <v>-196.84194453457525</v>
      </c>
      <c r="F94" s="362">
        <f t="shared" si="9"/>
        <v>-0.39015715671034157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764</v>
      </c>
      <c r="C95" s="379">
        <f>IF(C86=0,0,C93/C86)</f>
        <v>3.027972027972028</v>
      </c>
      <c r="D95" s="379">
        <f>IF(LN_IC4=0,0,LN_IC11/LN_IC4)</f>
        <v>2.781609195402299</v>
      </c>
      <c r="E95" s="379">
        <f t="shared" si="8"/>
        <v>-0.24636283256972913</v>
      </c>
      <c r="F95" s="362">
        <f t="shared" si="9"/>
        <v>-0.08136232114889438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795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766</v>
      </c>
      <c r="C98" s="361">
        <v>3802879</v>
      </c>
      <c r="D98" s="361">
        <v>3276135</v>
      </c>
      <c r="E98" s="361">
        <f aca="true" t="shared" si="10" ref="E98:E106">D98-C98</f>
        <v>-526744</v>
      </c>
      <c r="F98" s="362">
        <f aca="true" t="shared" si="11" ref="F98:F106">IF(C98=0,0,E98/C98)</f>
        <v>-0.13851190111491846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767</v>
      </c>
      <c r="C99" s="361">
        <v>212773</v>
      </c>
      <c r="D99" s="361">
        <v>176601</v>
      </c>
      <c r="E99" s="361">
        <f t="shared" si="10"/>
        <v>-36172</v>
      </c>
      <c r="F99" s="362">
        <f t="shared" si="11"/>
        <v>-0.17000277290821675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768</v>
      </c>
      <c r="C100" s="366">
        <f>IF(C98=0,0,C99/C98)</f>
        <v>0.05595050486749644</v>
      </c>
      <c r="D100" s="366">
        <f>IF(LN_IC14=0,0,LN_IC15/LN_IC14)</f>
        <v>0.053905287785759745</v>
      </c>
      <c r="E100" s="367">
        <f t="shared" si="10"/>
        <v>-0.0020452170817366958</v>
      </c>
      <c r="F100" s="362">
        <f t="shared" si="11"/>
        <v>-0.036554041586938965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769</v>
      </c>
      <c r="C101" s="366">
        <f>IF(C83=0,0,C98/C83)</f>
        <v>2.2300561079562113</v>
      </c>
      <c r="D101" s="366">
        <f>IF(LN_IC1=0,0,LN_IC14/LN_IC1)</f>
        <v>3.5559490769132247</v>
      </c>
      <c r="E101" s="367">
        <f t="shared" si="10"/>
        <v>1.3258929689570134</v>
      </c>
      <c r="F101" s="362">
        <f t="shared" si="11"/>
        <v>0.5945558787631402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770</v>
      </c>
      <c r="C102" s="376">
        <f>C101*C86</f>
        <v>318.89802343773823</v>
      </c>
      <c r="D102" s="376">
        <f>LN_IC17*LN_IC4</f>
        <v>309.36756969145057</v>
      </c>
      <c r="E102" s="376">
        <f t="shared" si="10"/>
        <v>-9.530453746287662</v>
      </c>
      <c r="F102" s="362">
        <f t="shared" si="11"/>
        <v>-0.02988558424899862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771</v>
      </c>
      <c r="C103" s="378">
        <f>IF(C102=0,0,C99/C102)</f>
        <v>667.2132919053413</v>
      </c>
      <c r="D103" s="378">
        <f>IF(LN_IC18=0,0,LN_IC15/LN_IC18)</f>
        <v>570.8452252320241</v>
      </c>
      <c r="E103" s="378">
        <f t="shared" si="10"/>
        <v>-96.36806667331723</v>
      </c>
      <c r="F103" s="362">
        <f t="shared" si="11"/>
        <v>-0.14443367337320542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796</v>
      </c>
      <c r="C104" s="378">
        <f>C61-C103</f>
        <v>3565.260727615505</v>
      </c>
      <c r="D104" s="378">
        <f>LN_IB18-LN_IC19</f>
        <v>4193.027542069461</v>
      </c>
      <c r="E104" s="378">
        <f t="shared" si="10"/>
        <v>627.7668144539557</v>
      </c>
      <c r="F104" s="362">
        <f t="shared" si="11"/>
        <v>0.1760787954696976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797</v>
      </c>
      <c r="C105" s="378">
        <f>C32-C103</f>
        <v>3256.404634757677</v>
      </c>
      <c r="D105" s="378">
        <f>LN_IA16-LN_IC19</f>
        <v>3684.7515889436827</v>
      </c>
      <c r="E105" s="378">
        <f t="shared" si="10"/>
        <v>428.34695418600586</v>
      </c>
      <c r="F105" s="362">
        <f t="shared" si="11"/>
        <v>0.13153984293413248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782</v>
      </c>
      <c r="C106" s="361">
        <f>C105*C102</f>
        <v>1038461.001537713</v>
      </c>
      <c r="D106" s="361">
        <f>LN_IC21*LN_IC18</f>
        <v>1139942.643988218</v>
      </c>
      <c r="E106" s="361">
        <f t="shared" si="10"/>
        <v>101481.64245050494</v>
      </c>
      <c r="F106" s="362">
        <f t="shared" si="11"/>
        <v>0.09772311362702579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798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773</v>
      </c>
      <c r="C109" s="361">
        <f>C83+C98</f>
        <v>5508163</v>
      </c>
      <c r="D109" s="361">
        <f>LN_IC1+LN_IC14</f>
        <v>4197446</v>
      </c>
      <c r="E109" s="361">
        <f>D109-C109</f>
        <v>-1310717</v>
      </c>
      <c r="F109" s="362">
        <f>IF(C109=0,0,E109/C109)</f>
        <v>-0.237959007385947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774</v>
      </c>
      <c r="C110" s="361">
        <f>C84+C99</f>
        <v>431230</v>
      </c>
      <c r="D110" s="361">
        <f>LN_IC2+LN_IC15</f>
        <v>251059</v>
      </c>
      <c r="E110" s="361">
        <f>D110-C110</f>
        <v>-180171</v>
      </c>
      <c r="F110" s="362">
        <f>IF(C110=0,0,E110/C110)</f>
        <v>-0.41780720265287663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775</v>
      </c>
      <c r="C111" s="361">
        <f>C109-C110</f>
        <v>5076933</v>
      </c>
      <c r="D111" s="361">
        <f>LN_IC23-LN_IC24</f>
        <v>3946387</v>
      </c>
      <c r="E111" s="361">
        <f>D111-C111</f>
        <v>-1130546</v>
      </c>
      <c r="F111" s="362">
        <f>IF(C111=0,0,E111/C111)</f>
        <v>-0.222682867786516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784</v>
      </c>
      <c r="C113" s="361">
        <f>C92+C106</f>
        <v>2045378.2400430895</v>
      </c>
      <c r="D113" s="361">
        <f>LN_IC10+LN_IC22</f>
        <v>1664608.0960983438</v>
      </c>
      <c r="E113" s="361">
        <f>D113-C113</f>
        <v>-380770.14394474565</v>
      </c>
      <c r="F113" s="362">
        <f>IF(C113=0,0,E113/C113)</f>
        <v>-0.18616123731556078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477</v>
      </c>
      <c r="B115" s="356" t="s">
        <v>799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800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757</v>
      </c>
      <c r="C118" s="361">
        <v>9051503</v>
      </c>
      <c r="D118" s="361">
        <v>8797246</v>
      </c>
      <c r="E118" s="361">
        <f aca="true" t="shared" si="12" ref="E118:E130">D118-C118</f>
        <v>-254257</v>
      </c>
      <c r="F118" s="362">
        <f aca="true" t="shared" si="13" ref="F118:F130">IF(C118=0,0,E118/C118)</f>
        <v>-0.028090031014738656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758</v>
      </c>
      <c r="C119" s="361">
        <v>4081835</v>
      </c>
      <c r="D119" s="361">
        <v>4524924</v>
      </c>
      <c r="E119" s="361">
        <f t="shared" si="12"/>
        <v>443089</v>
      </c>
      <c r="F119" s="362">
        <f t="shared" si="13"/>
        <v>0.10855142356317686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759</v>
      </c>
      <c r="C120" s="366">
        <f>IF(C118=0,0,C119/C118)</f>
        <v>0.4509565980368122</v>
      </c>
      <c r="D120" s="366">
        <f>IF(LN_ID1=0,0,LN_1D2/LN_ID1)</f>
        <v>0.5143568794143076</v>
      </c>
      <c r="E120" s="367">
        <f t="shared" si="12"/>
        <v>0.06340028137749543</v>
      </c>
      <c r="F120" s="362">
        <f t="shared" si="13"/>
        <v>0.1405906503053759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293</v>
      </c>
      <c r="C121" s="369">
        <v>1144</v>
      </c>
      <c r="D121" s="369">
        <v>961</v>
      </c>
      <c r="E121" s="369">
        <f t="shared" si="12"/>
        <v>-183</v>
      </c>
      <c r="F121" s="362">
        <f t="shared" si="13"/>
        <v>-0.15996503496503497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760</v>
      </c>
      <c r="C122" s="372">
        <v>0.7563</v>
      </c>
      <c r="D122" s="372">
        <v>0.7489</v>
      </c>
      <c r="E122" s="373">
        <f t="shared" si="12"/>
        <v>-0.007399999999999962</v>
      </c>
      <c r="F122" s="362">
        <f t="shared" si="13"/>
        <v>-0.009784477059367925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761</v>
      </c>
      <c r="C123" s="376">
        <f>C121*C122</f>
        <v>865.2072</v>
      </c>
      <c r="D123" s="376">
        <f>LN_ID4*LN_ID5</f>
        <v>719.6929</v>
      </c>
      <c r="E123" s="376">
        <f t="shared" si="12"/>
        <v>-145.51429999999993</v>
      </c>
      <c r="F123" s="362">
        <f t="shared" si="13"/>
        <v>-0.1681843378094865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762</v>
      </c>
      <c r="C124" s="378">
        <f>IF(C123=0,0,C119/C123)</f>
        <v>4717.7543136488</v>
      </c>
      <c r="D124" s="378">
        <f>IF(LN_ID6=0,0,LN_1D2/LN_ID6)</f>
        <v>6287.298374070385</v>
      </c>
      <c r="E124" s="378">
        <f t="shared" si="12"/>
        <v>1569.5440604215846</v>
      </c>
      <c r="F124" s="362">
        <f t="shared" si="13"/>
        <v>0.3326888082918565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801</v>
      </c>
      <c r="C125" s="378">
        <f>C48-C124</f>
        <v>877.5461564294292</v>
      </c>
      <c r="D125" s="378">
        <f>LN_IB7-LN_ID7</f>
        <v>391.4062837138299</v>
      </c>
      <c r="E125" s="378">
        <f t="shared" si="12"/>
        <v>-486.13987271559927</v>
      </c>
      <c r="F125" s="362">
        <f t="shared" si="13"/>
        <v>-0.5539764138374342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802</v>
      </c>
      <c r="C126" s="378">
        <f>C21-C124</f>
        <v>3435.481289508876</v>
      </c>
      <c r="D126" s="378">
        <f>LN_IA7-LN_ID7</f>
        <v>1950.1136606615883</v>
      </c>
      <c r="E126" s="378">
        <f t="shared" si="12"/>
        <v>-1485.367628847288</v>
      </c>
      <c r="F126" s="362">
        <f t="shared" si="13"/>
        <v>-0.4323608553431041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779</v>
      </c>
      <c r="C127" s="391">
        <f>C126*C123</f>
        <v>2972403.1471483638</v>
      </c>
      <c r="D127" s="391">
        <f>LN_ID9*LN_ID6</f>
        <v>1403482.9557711545</v>
      </c>
      <c r="E127" s="391">
        <f t="shared" si="12"/>
        <v>-1568920.1913772093</v>
      </c>
      <c r="F127" s="362">
        <f t="shared" si="13"/>
        <v>-0.5278288690019673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295</v>
      </c>
      <c r="C128" s="369">
        <v>3249</v>
      </c>
      <c r="D128" s="369">
        <v>3054</v>
      </c>
      <c r="E128" s="369">
        <f t="shared" si="12"/>
        <v>-195</v>
      </c>
      <c r="F128" s="362">
        <f t="shared" si="13"/>
        <v>-0.06001846722068329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763</v>
      </c>
      <c r="C129" s="378">
        <f>IF(C128=0,0,C119/C128)</f>
        <v>1256.3357956294244</v>
      </c>
      <c r="D129" s="378">
        <f>IF(LN_ID11=0,0,LN_1D2/LN_ID11)</f>
        <v>1481.638506876228</v>
      </c>
      <c r="E129" s="378">
        <f t="shared" si="12"/>
        <v>225.30271124680348</v>
      </c>
      <c r="F129" s="362">
        <f t="shared" si="13"/>
        <v>0.17933319422290822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764</v>
      </c>
      <c r="C130" s="379">
        <f>IF(C121=0,0,C128/C121)</f>
        <v>2.840034965034965</v>
      </c>
      <c r="D130" s="379">
        <f>IF(LN_ID4=0,0,LN_ID11/LN_ID4)</f>
        <v>3.177939646201873</v>
      </c>
      <c r="E130" s="379">
        <f t="shared" si="12"/>
        <v>0.3379046811669082</v>
      </c>
      <c r="F130" s="362">
        <f t="shared" si="13"/>
        <v>0.11897905671127823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803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766</v>
      </c>
      <c r="C133" s="361">
        <v>16929555</v>
      </c>
      <c r="D133" s="361">
        <v>17239057</v>
      </c>
      <c r="E133" s="361">
        <f aca="true" t="shared" si="14" ref="E133:E141">D133-C133</f>
        <v>309502</v>
      </c>
      <c r="F133" s="362">
        <f aca="true" t="shared" si="15" ref="F133:F141">IF(C133=0,0,E133/C133)</f>
        <v>0.018281756372214155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767</v>
      </c>
      <c r="C134" s="361">
        <v>4511925</v>
      </c>
      <c r="D134" s="361">
        <v>5025171</v>
      </c>
      <c r="E134" s="361">
        <f t="shared" si="14"/>
        <v>513246</v>
      </c>
      <c r="F134" s="362">
        <f t="shared" si="15"/>
        <v>0.11375322063199189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768</v>
      </c>
      <c r="C135" s="366">
        <f>IF(C133=0,0,C134/C133)</f>
        <v>0.26651173052097354</v>
      </c>
      <c r="D135" s="366">
        <f>IF(LN_ID14=0,0,LN_ID15/LN_ID14)</f>
        <v>0.2914991811907113</v>
      </c>
      <c r="E135" s="367">
        <f t="shared" si="14"/>
        <v>0.024987450669737732</v>
      </c>
      <c r="F135" s="362">
        <f t="shared" si="15"/>
        <v>0.09375741405788256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769</v>
      </c>
      <c r="C136" s="366">
        <f>IF(C118=0,0,C133/C118)</f>
        <v>1.870358436604396</v>
      </c>
      <c r="D136" s="366">
        <f>IF(LN_ID1=0,0,LN_ID14/LN_ID1)</f>
        <v>1.9595970147930386</v>
      </c>
      <c r="E136" s="367">
        <f t="shared" si="14"/>
        <v>0.08923857818864267</v>
      </c>
      <c r="F136" s="362">
        <f t="shared" si="15"/>
        <v>0.0477120194943242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770</v>
      </c>
      <c r="C137" s="376">
        <f>C136*C121</f>
        <v>2139.690051475429</v>
      </c>
      <c r="D137" s="376">
        <f>LN_ID17*LN_ID4</f>
        <v>1883.1727312161102</v>
      </c>
      <c r="E137" s="376">
        <f t="shared" si="14"/>
        <v>-256.5173202593187</v>
      </c>
      <c r="F137" s="362">
        <f t="shared" si="15"/>
        <v>-0.1198852703373727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771</v>
      </c>
      <c r="C138" s="378">
        <f>IF(C137=0,0,C134/C137)</f>
        <v>2108.681580721839</v>
      </c>
      <c r="D138" s="378">
        <f>IF(LN_ID18=0,0,LN_ID15/LN_ID18)</f>
        <v>2668.459943530968</v>
      </c>
      <c r="E138" s="378">
        <f t="shared" si="14"/>
        <v>559.7783628091288</v>
      </c>
      <c r="F138" s="362">
        <f t="shared" si="15"/>
        <v>0.26546367546754346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804</v>
      </c>
      <c r="C139" s="378">
        <f>C61-C138</f>
        <v>2123.792438799007</v>
      </c>
      <c r="D139" s="378">
        <f>LN_IB18-LN_ID19</f>
        <v>2095.4128237705168</v>
      </c>
      <c r="E139" s="378">
        <f t="shared" si="14"/>
        <v>-28.379615028490207</v>
      </c>
      <c r="F139" s="362">
        <f t="shared" si="15"/>
        <v>-0.013362706500894562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805</v>
      </c>
      <c r="C140" s="378">
        <f>C32-C138</f>
        <v>1814.9363459411793</v>
      </c>
      <c r="D140" s="378">
        <f>LN_IA16-LN_ID19</f>
        <v>1587.1368706447388</v>
      </c>
      <c r="E140" s="378">
        <f t="shared" si="14"/>
        <v>-227.7994752964405</v>
      </c>
      <c r="F140" s="362">
        <f t="shared" si="15"/>
        <v>-0.125513754686702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782</v>
      </c>
      <c r="C141" s="353">
        <f>C140*C137</f>
        <v>3883401.243471509</v>
      </c>
      <c r="D141" s="353">
        <f>LN_ID21*LN_ID18</f>
        <v>2988852.8755058427</v>
      </c>
      <c r="E141" s="353">
        <f t="shared" si="14"/>
        <v>-894548.3679656661</v>
      </c>
      <c r="F141" s="362">
        <f t="shared" si="15"/>
        <v>-0.23035177461240083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806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773</v>
      </c>
      <c r="C144" s="361">
        <f>C118+C133</f>
        <v>25981058</v>
      </c>
      <c r="D144" s="361">
        <f>LN_ID1+LN_ID14</f>
        <v>26036303</v>
      </c>
      <c r="E144" s="361">
        <f>D144-C144</f>
        <v>55245</v>
      </c>
      <c r="F144" s="362">
        <f>IF(C144=0,0,E144/C144)</f>
        <v>0.002126356825037687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774</v>
      </c>
      <c r="C145" s="361">
        <f>C119+C134</f>
        <v>8593760</v>
      </c>
      <c r="D145" s="361">
        <f>LN_1D2+LN_ID15</f>
        <v>9550095</v>
      </c>
      <c r="E145" s="361">
        <f>D145-C145</f>
        <v>956335</v>
      </c>
      <c r="F145" s="362">
        <f>IF(C145=0,0,E145/C145)</f>
        <v>0.1112824886894677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775</v>
      </c>
      <c r="C146" s="361">
        <f>C144-C145</f>
        <v>17387298</v>
      </c>
      <c r="D146" s="361">
        <f>LN_ID23-LN_ID24</f>
        <v>16486208</v>
      </c>
      <c r="E146" s="361">
        <f>D146-C146</f>
        <v>-901090</v>
      </c>
      <c r="F146" s="362">
        <f>IF(C146=0,0,E146/C146)</f>
        <v>-0.05182461357710669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784</v>
      </c>
      <c r="C148" s="361">
        <f>C127+C141</f>
        <v>6855804.390619872</v>
      </c>
      <c r="D148" s="361">
        <f>LN_ID10+LN_ID22</f>
        <v>4392335.831276997</v>
      </c>
      <c r="E148" s="361">
        <f>D148-C148</f>
        <v>-2463468.559342875</v>
      </c>
      <c r="F148" s="415">
        <f>IF(C148=0,0,E148/C148)</f>
        <v>-0.35932596949723344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498</v>
      </c>
      <c r="B150" s="356" t="s">
        <v>807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808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757</v>
      </c>
      <c r="C153" s="361">
        <v>3477931</v>
      </c>
      <c r="D153" s="361">
        <v>3005404</v>
      </c>
      <c r="E153" s="361">
        <f aca="true" t="shared" si="16" ref="E153:E165">D153-C153</f>
        <v>-472527</v>
      </c>
      <c r="F153" s="362">
        <f aca="true" t="shared" si="17" ref="F153:F165">IF(C153=0,0,E153/C153)</f>
        <v>-0.13586439753980167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758</v>
      </c>
      <c r="C154" s="361">
        <v>689692</v>
      </c>
      <c r="D154" s="361">
        <v>689247</v>
      </c>
      <c r="E154" s="361">
        <f t="shared" si="16"/>
        <v>-445</v>
      </c>
      <c r="F154" s="362">
        <f t="shared" si="17"/>
        <v>-0.0006452155454898708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759</v>
      </c>
      <c r="C155" s="366">
        <f>IF(C153=0,0,C154/C153)</f>
        <v>0.19830525677478938</v>
      </c>
      <c r="D155" s="366">
        <f>IF(LN_IE1=0,0,LN_IE2/LN_IE1)</f>
        <v>0.22933588961750234</v>
      </c>
      <c r="E155" s="367">
        <f t="shared" si="16"/>
        <v>0.031030632842712957</v>
      </c>
      <c r="F155" s="362">
        <f t="shared" si="17"/>
        <v>0.15647912388905413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293</v>
      </c>
      <c r="C156" s="419">
        <v>253</v>
      </c>
      <c r="D156" s="419">
        <v>234</v>
      </c>
      <c r="E156" s="419">
        <f t="shared" si="16"/>
        <v>-19</v>
      </c>
      <c r="F156" s="362">
        <f t="shared" si="17"/>
        <v>-0.07509881422924901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760</v>
      </c>
      <c r="C157" s="372">
        <v>0.99909</v>
      </c>
      <c r="D157" s="372">
        <v>0.90524</v>
      </c>
      <c r="E157" s="373">
        <f t="shared" si="16"/>
        <v>-0.09384999999999999</v>
      </c>
      <c r="F157" s="362">
        <f t="shared" si="17"/>
        <v>-0.09393548128797204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761</v>
      </c>
      <c r="C158" s="376">
        <f>C156*C157</f>
        <v>252.76977000000002</v>
      </c>
      <c r="D158" s="376">
        <f>LN_IE4*LN_IE5</f>
        <v>211.82616000000002</v>
      </c>
      <c r="E158" s="376">
        <f t="shared" si="16"/>
        <v>-40.94361000000001</v>
      </c>
      <c r="F158" s="362">
        <f t="shared" si="17"/>
        <v>-0.16197985225844058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762</v>
      </c>
      <c r="C159" s="378">
        <f>IF(C158=0,0,C154/C158)</f>
        <v>2728.5383058266816</v>
      </c>
      <c r="D159" s="378">
        <f>IF(LN_IE6=0,0,LN_IE2/LN_IE6)</f>
        <v>3253.8332375944497</v>
      </c>
      <c r="E159" s="378">
        <f t="shared" si="16"/>
        <v>525.294931767768</v>
      </c>
      <c r="F159" s="362">
        <f t="shared" si="17"/>
        <v>0.1925188041692588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809</v>
      </c>
      <c r="C160" s="378">
        <f>C48-C159</f>
        <v>2866.762164251548</v>
      </c>
      <c r="D160" s="378">
        <f>LN_IB7-LN_IE7</f>
        <v>3424.871420189765</v>
      </c>
      <c r="E160" s="378">
        <f t="shared" si="16"/>
        <v>558.1092559382173</v>
      </c>
      <c r="F160" s="362">
        <f t="shared" si="17"/>
        <v>0.19468278983789647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810</v>
      </c>
      <c r="C161" s="378">
        <f>C21-C159</f>
        <v>5424.697297330995</v>
      </c>
      <c r="D161" s="378">
        <f>LN_IA7-LN_IE7</f>
        <v>4983.578797137523</v>
      </c>
      <c r="E161" s="378">
        <f t="shared" si="16"/>
        <v>-441.11850019347185</v>
      </c>
      <c r="F161" s="362">
        <f t="shared" si="17"/>
        <v>-0.08131670322148787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779</v>
      </c>
      <c r="C162" s="391">
        <f>C161*C158</f>
        <v>1371199.4881659774</v>
      </c>
      <c r="D162" s="391">
        <f>LN_IE9*LN_IE6</f>
        <v>1055652.3596550606</v>
      </c>
      <c r="E162" s="391">
        <f t="shared" si="16"/>
        <v>-315547.12851091684</v>
      </c>
      <c r="F162" s="362">
        <f t="shared" si="17"/>
        <v>-0.23012488790596844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295</v>
      </c>
      <c r="C163" s="369">
        <v>888</v>
      </c>
      <c r="D163" s="369">
        <v>777</v>
      </c>
      <c r="E163" s="419">
        <f t="shared" si="16"/>
        <v>-111</v>
      </c>
      <c r="F163" s="362">
        <f t="shared" si="17"/>
        <v>-0.125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763</v>
      </c>
      <c r="C164" s="378">
        <f>IF(C163=0,0,C154/C163)</f>
        <v>776.6801801801802</v>
      </c>
      <c r="D164" s="378">
        <f>IF(LN_IE11=0,0,LN_IE2/LN_IE11)</f>
        <v>887.0617760617761</v>
      </c>
      <c r="E164" s="378">
        <f t="shared" si="16"/>
        <v>110.3815958815959</v>
      </c>
      <c r="F164" s="362">
        <f t="shared" si="17"/>
        <v>0.14211975366229732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764</v>
      </c>
      <c r="C165" s="379">
        <f>IF(C156=0,0,C163/C156)</f>
        <v>3.5098814229249014</v>
      </c>
      <c r="D165" s="379">
        <f>IF(LN_IE4=0,0,LN_IE11/LN_IE4)</f>
        <v>3.3205128205128207</v>
      </c>
      <c r="E165" s="379">
        <f t="shared" si="16"/>
        <v>-0.18936860241208064</v>
      </c>
      <c r="F165" s="362">
        <f t="shared" si="17"/>
        <v>-0.05395299145299144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811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766</v>
      </c>
      <c r="C168" s="424">
        <v>5641365</v>
      </c>
      <c r="D168" s="424">
        <v>6827399</v>
      </c>
      <c r="E168" s="424">
        <f aca="true" t="shared" si="18" ref="E168:E176">D168-C168</f>
        <v>1186034</v>
      </c>
      <c r="F168" s="362">
        <f aca="true" t="shared" si="19" ref="F168:F176">IF(C168=0,0,E168/C168)</f>
        <v>0.21023883404105212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767</v>
      </c>
      <c r="C169" s="424">
        <v>795081</v>
      </c>
      <c r="D169" s="424">
        <v>945338</v>
      </c>
      <c r="E169" s="424">
        <f t="shared" si="18"/>
        <v>150257</v>
      </c>
      <c r="F169" s="362">
        <f t="shared" si="19"/>
        <v>0.1889832608249977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768</v>
      </c>
      <c r="C170" s="366">
        <f>IF(C168=0,0,C169/C168)</f>
        <v>0.14093769858890534</v>
      </c>
      <c r="D170" s="366">
        <f>IF(LN_IE14=0,0,LN_IE15/LN_IE14)</f>
        <v>0.13846239248650913</v>
      </c>
      <c r="E170" s="367">
        <f t="shared" si="18"/>
        <v>-0.002475306102396213</v>
      </c>
      <c r="F170" s="362">
        <f t="shared" si="19"/>
        <v>-0.01756312276402582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769</v>
      </c>
      <c r="C171" s="366">
        <f>IF(C153=0,0,C168/C153)</f>
        <v>1.622046268312971</v>
      </c>
      <c r="D171" s="366">
        <f>IF(LN_IE1=0,0,LN_IE14/LN_IE1)</f>
        <v>2.271707564107854</v>
      </c>
      <c r="E171" s="367">
        <f t="shared" si="18"/>
        <v>0.6496612957948829</v>
      </c>
      <c r="F171" s="362">
        <f t="shared" si="19"/>
        <v>0.4005195834953407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770</v>
      </c>
      <c r="C172" s="376">
        <f>C171*C156</f>
        <v>410.37770588318165</v>
      </c>
      <c r="D172" s="376">
        <f>LN_IE17*LN_IE4</f>
        <v>531.5795700012378</v>
      </c>
      <c r="E172" s="376">
        <f t="shared" si="18"/>
        <v>121.20186411805616</v>
      </c>
      <c r="F172" s="362">
        <f t="shared" si="19"/>
        <v>0.295342223469999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771</v>
      </c>
      <c r="C173" s="378">
        <f>IF(C172=0,0,C169/C172)</f>
        <v>1937.4371185415423</v>
      </c>
      <c r="D173" s="378">
        <f>IF(LN_IE18=0,0,LN_IE15/LN_IE18)</f>
        <v>1778.3565308911302</v>
      </c>
      <c r="E173" s="378">
        <f t="shared" si="18"/>
        <v>-159.0805876504121</v>
      </c>
      <c r="F173" s="362">
        <f t="shared" si="19"/>
        <v>-0.08210877459092157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812</v>
      </c>
      <c r="C174" s="378">
        <f>C61-C173</f>
        <v>2295.036900979304</v>
      </c>
      <c r="D174" s="378">
        <f>LN_IB18-LN_IE19</f>
        <v>2985.5162364103544</v>
      </c>
      <c r="E174" s="378">
        <f t="shared" si="18"/>
        <v>690.4793354310505</v>
      </c>
      <c r="F174" s="362">
        <f t="shared" si="19"/>
        <v>0.3008576180785675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813</v>
      </c>
      <c r="C175" s="378">
        <f>C32-C173</f>
        <v>1986.180808121476</v>
      </c>
      <c r="D175" s="378">
        <f>LN_IA16-LN_IE19</f>
        <v>2477.2402832845764</v>
      </c>
      <c r="E175" s="378">
        <f t="shared" si="18"/>
        <v>491.0594751631004</v>
      </c>
      <c r="F175" s="362">
        <f t="shared" si="19"/>
        <v>0.24723805262600587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782</v>
      </c>
      <c r="C176" s="353">
        <f>C175*C172</f>
        <v>815084.3235060951</v>
      </c>
      <c r="D176" s="353">
        <f>LN_IE21*LN_IE18</f>
        <v>1316850.3245781597</v>
      </c>
      <c r="E176" s="353">
        <f t="shared" si="18"/>
        <v>501766.0010720646</v>
      </c>
      <c r="F176" s="362">
        <f t="shared" si="19"/>
        <v>0.6156001122849623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814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773</v>
      </c>
      <c r="C179" s="361">
        <f>C153+C168</f>
        <v>9119296</v>
      </c>
      <c r="D179" s="361">
        <f>LN_IE1+LN_IE14</f>
        <v>9832803</v>
      </c>
      <c r="E179" s="361">
        <f>D179-C179</f>
        <v>713507</v>
      </c>
      <c r="F179" s="362">
        <f>IF(C179=0,0,E179/C179)</f>
        <v>0.07824145635803466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774</v>
      </c>
      <c r="C180" s="361">
        <f>C154+C169</f>
        <v>1484773</v>
      </c>
      <c r="D180" s="361">
        <f>LN_IE15+LN_IE2</f>
        <v>1634585</v>
      </c>
      <c r="E180" s="361">
        <f>D180-C180</f>
        <v>149812</v>
      </c>
      <c r="F180" s="362">
        <f>IF(C180=0,0,E180/C180)</f>
        <v>0.10089892529026323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775</v>
      </c>
      <c r="C181" s="361">
        <f>C179-C180</f>
        <v>7634523</v>
      </c>
      <c r="D181" s="361">
        <f>LN_IE23-LN_IE24</f>
        <v>8198218</v>
      </c>
      <c r="E181" s="361">
        <f>D181-C181</f>
        <v>563695</v>
      </c>
      <c r="F181" s="362">
        <f>IF(C181=0,0,E181/C181)</f>
        <v>0.07383499925273655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815</v>
      </c>
      <c r="C183" s="361">
        <f>C162+C176</f>
        <v>2186283.8116720724</v>
      </c>
      <c r="D183" s="361">
        <f>LN_IE10+LN_IE22</f>
        <v>2372502.6842332203</v>
      </c>
      <c r="E183" s="353">
        <f>D183-C183</f>
        <v>186218.8725611479</v>
      </c>
      <c r="F183" s="362">
        <f>IF(C183=0,0,E183/C183)</f>
        <v>0.08517598290165607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510</v>
      </c>
      <c r="B185" s="356" t="s">
        <v>816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817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757</v>
      </c>
      <c r="C188" s="361">
        <f>C118+C153</f>
        <v>12529434</v>
      </c>
      <c r="D188" s="361">
        <f>LN_ID1+LN_IE1</f>
        <v>11802650</v>
      </c>
      <c r="E188" s="361">
        <f aca="true" t="shared" si="20" ref="E188:E200">D188-C188</f>
        <v>-726784</v>
      </c>
      <c r="F188" s="362">
        <f aca="true" t="shared" si="21" ref="F188:F200">IF(C188=0,0,E188/C188)</f>
        <v>-0.05800613180132479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758</v>
      </c>
      <c r="C189" s="361">
        <f>C119+C154</f>
        <v>4771527</v>
      </c>
      <c r="D189" s="361">
        <f>LN_1D2+LN_IE2</f>
        <v>5214171</v>
      </c>
      <c r="E189" s="361">
        <f t="shared" si="20"/>
        <v>442644</v>
      </c>
      <c r="F189" s="362">
        <f t="shared" si="21"/>
        <v>0.09276778691601242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759</v>
      </c>
      <c r="C190" s="366">
        <f>IF(C188=0,0,C189/C188)</f>
        <v>0.38082542276051734</v>
      </c>
      <c r="D190" s="366">
        <f>IF(LN_IF1=0,0,LN_IF2/LN_IF1)</f>
        <v>0.4417796850707256</v>
      </c>
      <c r="E190" s="367">
        <f t="shared" si="20"/>
        <v>0.060954262310208285</v>
      </c>
      <c r="F190" s="362">
        <f t="shared" si="21"/>
        <v>0.160058280427721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293</v>
      </c>
      <c r="C191" s="369">
        <f>C121+C156</f>
        <v>1397</v>
      </c>
      <c r="D191" s="369">
        <f>LN_ID4+LN_IE4</f>
        <v>1195</v>
      </c>
      <c r="E191" s="369">
        <f t="shared" si="20"/>
        <v>-202</v>
      </c>
      <c r="F191" s="362">
        <f t="shared" si="21"/>
        <v>-0.14459556191839656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760</v>
      </c>
      <c r="C192" s="372">
        <f>IF((C121+C156)=0,0,(C123+C158)/(C121+C156))</f>
        <v>0.800269842519685</v>
      </c>
      <c r="D192" s="372">
        <f>IF((LN_ID4+LN_IE4)=0,0,(LN_ID6+LN_IE6)/(LN_ID4+LN_IE4))</f>
        <v>0.7795138577405858</v>
      </c>
      <c r="E192" s="373">
        <f t="shared" si="20"/>
        <v>-0.020755984779099235</v>
      </c>
      <c r="F192" s="362">
        <f t="shared" si="21"/>
        <v>-0.025936232600928828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761</v>
      </c>
      <c r="C193" s="376">
        <f>C123+C158</f>
        <v>1117.97697</v>
      </c>
      <c r="D193" s="376">
        <f>LN_IF4*LN_IF5</f>
        <v>931.51906</v>
      </c>
      <c r="E193" s="376">
        <f t="shared" si="20"/>
        <v>-186.45790999999997</v>
      </c>
      <c r="F193" s="362">
        <f t="shared" si="21"/>
        <v>-0.16678153039234786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762</v>
      </c>
      <c r="C194" s="378">
        <f>IF(C193=0,0,C189/C193)</f>
        <v>4268.001155694647</v>
      </c>
      <c r="D194" s="378">
        <f>IF(LN_IF6=0,0,LN_IF2/LN_IF6)</f>
        <v>5597.492551574844</v>
      </c>
      <c r="E194" s="378">
        <f t="shared" si="20"/>
        <v>1329.4913958801963</v>
      </c>
      <c r="F194" s="362">
        <f t="shared" si="21"/>
        <v>0.31150211712250864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818</v>
      </c>
      <c r="C195" s="378">
        <f>C48-C194</f>
        <v>1327.299314383582</v>
      </c>
      <c r="D195" s="378">
        <f>LN_IB7-LN_IF7</f>
        <v>1081.212106209371</v>
      </c>
      <c r="E195" s="378">
        <f t="shared" si="20"/>
        <v>-246.0872081742109</v>
      </c>
      <c r="F195" s="362">
        <f t="shared" si="21"/>
        <v>-0.18540445663418242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819</v>
      </c>
      <c r="C196" s="378">
        <f>C21-C194</f>
        <v>3885.234447463029</v>
      </c>
      <c r="D196" s="378">
        <f>LN_IA7-LN_IF7</f>
        <v>2639.9194831571294</v>
      </c>
      <c r="E196" s="378">
        <f t="shared" si="20"/>
        <v>-1245.3149643058996</v>
      </c>
      <c r="F196" s="362">
        <f t="shared" si="21"/>
        <v>-0.32052504968369727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779</v>
      </c>
      <c r="C197" s="391">
        <f>C127+C162</f>
        <v>4343602.635314342</v>
      </c>
      <c r="D197" s="391">
        <f>LN_IF9*LN_IF6</f>
        <v>2459135.315426215</v>
      </c>
      <c r="E197" s="391">
        <f t="shared" si="20"/>
        <v>-1884467.3198881266</v>
      </c>
      <c r="F197" s="362">
        <f t="shared" si="21"/>
        <v>-0.4338489217607148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295</v>
      </c>
      <c r="C198" s="369">
        <f>C128+C163</f>
        <v>4137</v>
      </c>
      <c r="D198" s="369">
        <f>LN_ID11+LN_IE11</f>
        <v>3831</v>
      </c>
      <c r="E198" s="369">
        <f t="shared" si="20"/>
        <v>-306</v>
      </c>
      <c r="F198" s="362">
        <f t="shared" si="21"/>
        <v>-0.07396664249456128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763</v>
      </c>
      <c r="C199" s="432">
        <f>IF(C198=0,0,C189/C198)</f>
        <v>1153.3785351704134</v>
      </c>
      <c r="D199" s="432">
        <f>IF(LN_IF11=0,0,LN_IF2/LN_IF11)</f>
        <v>1361.0469851213782</v>
      </c>
      <c r="E199" s="432">
        <f t="shared" si="20"/>
        <v>207.6684499509647</v>
      </c>
      <c r="F199" s="362">
        <f t="shared" si="21"/>
        <v>0.18005229299700934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764</v>
      </c>
      <c r="C200" s="379">
        <f>IF(C191=0,0,C198/C191)</f>
        <v>2.9613457408732997</v>
      </c>
      <c r="D200" s="379">
        <f>IF(LN_IF4=0,0,LN_IF11/LN_IF4)</f>
        <v>3.205857740585774</v>
      </c>
      <c r="E200" s="379">
        <f t="shared" si="20"/>
        <v>0.24451199971247428</v>
      </c>
      <c r="F200" s="362">
        <f t="shared" si="21"/>
        <v>0.08256786647288533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820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766</v>
      </c>
      <c r="C203" s="361">
        <f>C133+C168</f>
        <v>22570920</v>
      </c>
      <c r="D203" s="361">
        <f>LN_ID14+LN_IE14</f>
        <v>24066456</v>
      </c>
      <c r="E203" s="361">
        <f aca="true" t="shared" si="22" ref="E203:E211">D203-C203</f>
        <v>1495536</v>
      </c>
      <c r="F203" s="362">
        <f aca="true" t="shared" si="23" ref="F203:F211">IF(C203=0,0,E203/C203)</f>
        <v>0.06625941698433205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767</v>
      </c>
      <c r="C204" s="361">
        <f>C134+C169</f>
        <v>5307006</v>
      </c>
      <c r="D204" s="361">
        <f>LN_ID15+LN_IE15</f>
        <v>5970509</v>
      </c>
      <c r="E204" s="361">
        <f t="shared" si="22"/>
        <v>663503</v>
      </c>
      <c r="F204" s="362">
        <f t="shared" si="23"/>
        <v>0.12502397773810695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768</v>
      </c>
      <c r="C205" s="366">
        <f>IF(C203=0,0,C204/C203)</f>
        <v>0.23512581675890926</v>
      </c>
      <c r="D205" s="366">
        <f>IF(LN_IF14=0,0,LN_IF15/LN_IF14)</f>
        <v>0.24808426300906125</v>
      </c>
      <c r="E205" s="367">
        <f t="shared" si="22"/>
        <v>0.012958446250151995</v>
      </c>
      <c r="F205" s="362">
        <f t="shared" si="23"/>
        <v>0.055112817591779745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769</v>
      </c>
      <c r="C206" s="366">
        <f>IF(C188=0,0,C203/C188)</f>
        <v>1.8014317326704463</v>
      </c>
      <c r="D206" s="366">
        <f>IF(LN_IF1=0,0,LN_IF14/LN_IF1)</f>
        <v>2.039072242250681</v>
      </c>
      <c r="E206" s="367">
        <f t="shared" si="22"/>
        <v>0.23764050958023453</v>
      </c>
      <c r="F206" s="362">
        <f t="shared" si="23"/>
        <v>0.13191757715289923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770</v>
      </c>
      <c r="C207" s="376">
        <f>C137+C172</f>
        <v>2550.0677573586104</v>
      </c>
      <c r="D207" s="376">
        <f>LN_ID18+LN_IE18</f>
        <v>2414.752301217348</v>
      </c>
      <c r="E207" s="376">
        <f t="shared" si="22"/>
        <v>-135.31545614126253</v>
      </c>
      <c r="F207" s="362">
        <f t="shared" si="23"/>
        <v>-0.05306347478445978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771</v>
      </c>
      <c r="C208" s="378">
        <f>IF(C207=0,0,C204/C207)</f>
        <v>2081.123524928239</v>
      </c>
      <c r="D208" s="378">
        <f>IF(LN_IF18=0,0,LN_IF15/LN_IF18)</f>
        <v>2472.5140533006597</v>
      </c>
      <c r="E208" s="378">
        <f t="shared" si="22"/>
        <v>391.3905283724207</v>
      </c>
      <c r="F208" s="362">
        <f t="shared" si="23"/>
        <v>0.18806693773062633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821</v>
      </c>
      <c r="C209" s="378">
        <f>C61-C208</f>
        <v>2151.350494592607</v>
      </c>
      <c r="D209" s="378">
        <f>LN_IB18-LN_IF19</f>
        <v>2291.358714000825</v>
      </c>
      <c r="E209" s="378">
        <f t="shared" si="22"/>
        <v>140.00821940821788</v>
      </c>
      <c r="F209" s="362">
        <f t="shared" si="23"/>
        <v>0.0650792233809074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822</v>
      </c>
      <c r="C210" s="378">
        <f>C32-C208</f>
        <v>1842.4944017347793</v>
      </c>
      <c r="D210" s="378">
        <f>LN_IA16-LN_IF19</f>
        <v>1783.082760875047</v>
      </c>
      <c r="E210" s="378">
        <f t="shared" si="22"/>
        <v>-59.411640859732415</v>
      </c>
      <c r="F210" s="362">
        <f t="shared" si="23"/>
        <v>-0.03224522191426692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782</v>
      </c>
      <c r="C211" s="391">
        <f>C141+C176</f>
        <v>4698485.566977604</v>
      </c>
      <c r="D211" s="353">
        <f>LN_IF21*LN_IF18</f>
        <v>4305703.200084002</v>
      </c>
      <c r="E211" s="353">
        <f t="shared" si="22"/>
        <v>-392782.36689360254</v>
      </c>
      <c r="F211" s="362">
        <f t="shared" si="23"/>
        <v>-0.08359765317875983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823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773</v>
      </c>
      <c r="C214" s="361">
        <f>C188+C203</f>
        <v>35100354</v>
      </c>
      <c r="D214" s="361">
        <f>LN_IF1+LN_IF14</f>
        <v>35869106</v>
      </c>
      <c r="E214" s="361">
        <f>D214-C214</f>
        <v>768752</v>
      </c>
      <c r="F214" s="362">
        <f>IF(C214=0,0,E214/C214)</f>
        <v>0.021901545494384472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774</v>
      </c>
      <c r="C215" s="361">
        <f>C189+C204</f>
        <v>10078533</v>
      </c>
      <c r="D215" s="361">
        <f>LN_IF2+LN_IF15</f>
        <v>11184680</v>
      </c>
      <c r="E215" s="361">
        <f>D215-C215</f>
        <v>1106147</v>
      </c>
      <c r="F215" s="362">
        <f>IF(C215=0,0,E215/C215)</f>
        <v>0.10975277850457006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775</v>
      </c>
      <c r="C216" s="361">
        <f>C214-C215</f>
        <v>25021821</v>
      </c>
      <c r="D216" s="361">
        <f>LN_IF23-LN_IF24</f>
        <v>24684426</v>
      </c>
      <c r="E216" s="361">
        <f>D216-C216</f>
        <v>-337395</v>
      </c>
      <c r="F216" s="362">
        <f>IF(C216=0,0,E216/C216)</f>
        <v>-0.013484030598732202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522</v>
      </c>
      <c r="B218" s="356" t="s">
        <v>824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825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757</v>
      </c>
      <c r="C221" s="361">
        <v>145351</v>
      </c>
      <c r="D221" s="361">
        <v>176391</v>
      </c>
      <c r="E221" s="361">
        <f aca="true" t="shared" si="24" ref="E221:E230">D221-C221</f>
        <v>31040</v>
      </c>
      <c r="F221" s="362">
        <f aca="true" t="shared" si="25" ref="F221:F230">IF(C221=0,0,E221/C221)</f>
        <v>0.2135520223459075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758</v>
      </c>
      <c r="C222" s="361">
        <v>60824</v>
      </c>
      <c r="D222" s="361">
        <v>62014</v>
      </c>
      <c r="E222" s="361">
        <f t="shared" si="24"/>
        <v>1190</v>
      </c>
      <c r="F222" s="362">
        <f t="shared" si="25"/>
        <v>0.019564645534657372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759</v>
      </c>
      <c r="C223" s="366">
        <f>IF(C221=0,0,C222/C221)</f>
        <v>0.4184628932721481</v>
      </c>
      <c r="D223" s="366">
        <f>IF(LN_IG1=0,0,LN_IG2/LN_IG1)</f>
        <v>0.35157122528927215</v>
      </c>
      <c r="E223" s="367">
        <f t="shared" si="24"/>
        <v>-0.06689166798287594</v>
      </c>
      <c r="F223" s="362">
        <f t="shared" si="25"/>
        <v>-0.1598508949259996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293</v>
      </c>
      <c r="C224" s="369">
        <v>12</v>
      </c>
      <c r="D224" s="369">
        <v>13</v>
      </c>
      <c r="E224" s="369">
        <f t="shared" si="24"/>
        <v>1</v>
      </c>
      <c r="F224" s="362">
        <f t="shared" si="25"/>
        <v>0.08333333333333333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760</v>
      </c>
      <c r="C225" s="372">
        <v>1.0473</v>
      </c>
      <c r="D225" s="372">
        <v>0.955</v>
      </c>
      <c r="E225" s="373">
        <f t="shared" si="24"/>
        <v>-0.09229999999999994</v>
      </c>
      <c r="F225" s="362">
        <f t="shared" si="25"/>
        <v>-0.0881313854673923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761</v>
      </c>
      <c r="C226" s="376">
        <f>C224*C225</f>
        <v>12.567599999999999</v>
      </c>
      <c r="D226" s="376">
        <f>LN_IG3*LN_IG4</f>
        <v>12.415</v>
      </c>
      <c r="E226" s="376">
        <f t="shared" si="24"/>
        <v>-0.15259999999999962</v>
      </c>
      <c r="F226" s="362">
        <f t="shared" si="25"/>
        <v>-0.012142334256341675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762</v>
      </c>
      <c r="C227" s="378">
        <f>IF(C226=0,0,C222/C226)</f>
        <v>4839.7466501161725</v>
      </c>
      <c r="D227" s="378">
        <f>IF(LN_IG5=0,0,LN_IG2/LN_IG5)</f>
        <v>4995.086588803867</v>
      </c>
      <c r="E227" s="378">
        <f t="shared" si="24"/>
        <v>155.33993868769448</v>
      </c>
      <c r="F227" s="362">
        <f t="shared" si="25"/>
        <v>0.03209670875725814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295</v>
      </c>
      <c r="C228" s="369">
        <v>35</v>
      </c>
      <c r="D228" s="369">
        <v>28</v>
      </c>
      <c r="E228" s="369">
        <f t="shared" si="24"/>
        <v>-7</v>
      </c>
      <c r="F228" s="362">
        <f t="shared" si="25"/>
        <v>-0.2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763</v>
      </c>
      <c r="C229" s="378">
        <f>IF(C228=0,0,C222/C228)</f>
        <v>1737.8285714285714</v>
      </c>
      <c r="D229" s="378">
        <f>IF(LN_IG6=0,0,LN_IG2/LN_IG6)</f>
        <v>2214.785714285714</v>
      </c>
      <c r="E229" s="378">
        <f t="shared" si="24"/>
        <v>476.9571428571428</v>
      </c>
      <c r="F229" s="362">
        <f t="shared" si="25"/>
        <v>0.27445580691832167</v>
      </c>
      <c r="Q229" s="330"/>
      <c r="U229" s="375"/>
    </row>
    <row r="230" spans="1:21" ht="11.25" customHeight="1">
      <c r="A230" s="364">
        <v>10</v>
      </c>
      <c r="B230" s="360" t="s">
        <v>764</v>
      </c>
      <c r="C230" s="379">
        <f>IF(C224=0,0,C228/C224)</f>
        <v>2.9166666666666665</v>
      </c>
      <c r="D230" s="379">
        <f>IF(LN_IG3=0,0,LN_IG6/LN_IG3)</f>
        <v>2.1538461538461537</v>
      </c>
      <c r="E230" s="379">
        <f t="shared" si="24"/>
        <v>-0.7628205128205128</v>
      </c>
      <c r="F230" s="362">
        <f t="shared" si="25"/>
        <v>-0.26153846153846155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826</v>
      </c>
      <c r="C232" s="330"/>
      <c r="Q232" s="330"/>
      <c r="U232" s="399"/>
    </row>
    <row r="233" spans="1:21" ht="11.25" customHeight="1">
      <c r="A233" s="364">
        <v>11</v>
      </c>
      <c r="B233" s="360" t="s">
        <v>766</v>
      </c>
      <c r="C233" s="361">
        <v>401747</v>
      </c>
      <c r="D233" s="361">
        <v>412560</v>
      </c>
      <c r="E233" s="361">
        <f>D233-C233</f>
        <v>10813</v>
      </c>
      <c r="F233" s="362">
        <f>IF(C233=0,0,E233/C233)</f>
        <v>0.026914948960415387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767</v>
      </c>
      <c r="C234" s="361">
        <v>158727</v>
      </c>
      <c r="D234" s="361">
        <v>167114</v>
      </c>
      <c r="E234" s="361">
        <f>D234-C234</f>
        <v>8387</v>
      </c>
      <c r="F234" s="362">
        <f>IF(C234=0,0,E234/C234)</f>
        <v>0.052839151499114834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827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773</v>
      </c>
      <c r="C237" s="361">
        <f>C221+C233</f>
        <v>547098</v>
      </c>
      <c r="D237" s="361">
        <f>LN_IG1+LN_IG9</f>
        <v>588951</v>
      </c>
      <c r="E237" s="361">
        <f>D237-C237</f>
        <v>41853</v>
      </c>
      <c r="F237" s="362">
        <f>IF(C237=0,0,E237/C237)</f>
        <v>0.07650000548347828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774</v>
      </c>
      <c r="C238" s="361">
        <f>C222+C234</f>
        <v>219551</v>
      </c>
      <c r="D238" s="361">
        <f>LN_IG2+LN_IG10</f>
        <v>229128</v>
      </c>
      <c r="E238" s="361">
        <f>D238-C238</f>
        <v>9577</v>
      </c>
      <c r="F238" s="362">
        <f>IF(C238=0,0,E238/C238)</f>
        <v>0.04362084435962487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775</v>
      </c>
      <c r="C239" s="361">
        <f>C237-C238</f>
        <v>327547</v>
      </c>
      <c r="D239" s="361">
        <f>LN_IG13-LN_IG14</f>
        <v>359823</v>
      </c>
      <c r="E239" s="361">
        <f>D239-C239</f>
        <v>32276</v>
      </c>
      <c r="F239" s="362">
        <f>IF(C239=0,0,E239/C239)</f>
        <v>0.09853853034831643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526</v>
      </c>
      <c r="B241" s="356" t="s">
        <v>828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829</v>
      </c>
      <c r="C243" s="361">
        <v>0</v>
      </c>
      <c r="D243" s="361">
        <v>0</v>
      </c>
      <c r="E243" s="353">
        <f>D243-C243</f>
        <v>0</v>
      </c>
      <c r="F243" s="415">
        <f>IF(C243=0,0,E243/C243)</f>
        <v>0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830</v>
      </c>
      <c r="C244" s="361">
        <v>74979824</v>
      </c>
      <c r="D244" s="361">
        <v>85401157</v>
      </c>
      <c r="E244" s="353">
        <f>D244-C244</f>
        <v>10421333</v>
      </c>
      <c r="F244" s="415">
        <f>IF(C244=0,0,E244/C244)</f>
        <v>0.13898849642538505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831</v>
      </c>
      <c r="C245" s="400">
        <v>522386</v>
      </c>
      <c r="D245" s="400">
        <v>494828</v>
      </c>
      <c r="E245" s="400">
        <f>D245-C245</f>
        <v>-27558</v>
      </c>
      <c r="F245" s="401">
        <f>IF(C245=0,0,E245/C245)</f>
        <v>-0.05275409371614094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832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833</v>
      </c>
      <c r="C248" s="353">
        <v>2586401</v>
      </c>
      <c r="D248" s="353">
        <v>2094259</v>
      </c>
      <c r="E248" s="353">
        <f>D248-C248</f>
        <v>-492142</v>
      </c>
      <c r="F248" s="362">
        <f>IF(C248=0,0,E248/C248)</f>
        <v>-0.19028062547145627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834</v>
      </c>
      <c r="C249" s="353">
        <v>4249703</v>
      </c>
      <c r="D249" s="353">
        <v>4141249</v>
      </c>
      <c r="E249" s="353">
        <f>D249-C249</f>
        <v>-108454</v>
      </c>
      <c r="F249" s="362">
        <f>IF(C249=0,0,E249/C249)</f>
        <v>-0.025520371658913577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835</v>
      </c>
      <c r="C250" s="353">
        <f>C248+C249</f>
        <v>6836104</v>
      </c>
      <c r="D250" s="353">
        <f>LN_IH4+LN_IH5</f>
        <v>6235508</v>
      </c>
      <c r="E250" s="353">
        <f>D250-C250</f>
        <v>-600596</v>
      </c>
      <c r="F250" s="362">
        <f>IF(C250=0,0,E250/C250)</f>
        <v>-0.08785647497463467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836</v>
      </c>
      <c r="C251" s="353">
        <f>C250*C313</f>
        <v>2707768.9550546603</v>
      </c>
      <c r="D251" s="353">
        <f>LN_IH6*LN_III10</f>
        <v>2607503.489456185</v>
      </c>
      <c r="E251" s="353">
        <f>D251-C251</f>
        <v>-100265.46559847519</v>
      </c>
      <c r="F251" s="362">
        <f>IF(C251=0,0,E251/C251)</f>
        <v>-0.03702881126962739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837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773</v>
      </c>
      <c r="C254" s="353">
        <f>C188+C203</f>
        <v>35100354</v>
      </c>
      <c r="D254" s="353">
        <f>LN_IF23</f>
        <v>35869106</v>
      </c>
      <c r="E254" s="353">
        <f>D254-C254</f>
        <v>768752</v>
      </c>
      <c r="F254" s="362">
        <f>IF(C254=0,0,E254/C254)</f>
        <v>0.021901545494384472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774</v>
      </c>
      <c r="C255" s="353">
        <f>C189+C204</f>
        <v>10078533</v>
      </c>
      <c r="D255" s="353">
        <f>LN_IF24</f>
        <v>11184680</v>
      </c>
      <c r="E255" s="353">
        <f>D255-C255</f>
        <v>1106147</v>
      </c>
      <c r="F255" s="362">
        <f>IF(C255=0,0,E255/C255)</f>
        <v>0.10975277850457006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838</v>
      </c>
      <c r="C256" s="353">
        <f>C254*C313</f>
        <v>13903189.429626679</v>
      </c>
      <c r="D256" s="353">
        <f>LN_IH8*LN_III10</f>
        <v>14999390.43597952</v>
      </c>
      <c r="E256" s="353">
        <f>D256-C256</f>
        <v>1096201.0063528419</v>
      </c>
      <c r="F256" s="362">
        <f>IF(C256=0,0,E256/C256)</f>
        <v>0.07884529027684235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839</v>
      </c>
      <c r="C257" s="353">
        <f>C256-C255</f>
        <v>3824656.429626679</v>
      </c>
      <c r="D257" s="353">
        <f>LN_IH10-LN_IH9</f>
        <v>3814710.435979521</v>
      </c>
      <c r="E257" s="353">
        <f>D257-C257</f>
        <v>-9945.993647158146</v>
      </c>
      <c r="F257" s="362">
        <f>IF(C257=0,0,E257/C257)</f>
        <v>-0.002600493359381032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200</v>
      </c>
      <c r="B258" s="349" t="s">
        <v>840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170</v>
      </c>
      <c r="B260" s="359" t="s">
        <v>841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842</v>
      </c>
      <c r="C261" s="361">
        <f>C15+C42+C188+C221</f>
        <v>74505375</v>
      </c>
      <c r="D261" s="361">
        <f>LN_IA1+LN_IB1+LN_IF1+LN_IG1</f>
        <v>72446212</v>
      </c>
      <c r="E261" s="361">
        <f aca="true" t="shared" si="26" ref="E261:E274">D261-C261</f>
        <v>-2059163</v>
      </c>
      <c r="F261" s="415">
        <f aca="true" t="shared" si="27" ref="F261:F274">IF(C261=0,0,E261/C261)</f>
        <v>-0.027637777811332403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843</v>
      </c>
      <c r="C262" s="361">
        <f>C16+C43+C189+C222</f>
        <v>38905075</v>
      </c>
      <c r="D262" s="361">
        <f>+LN_IA2+LN_IB2+LN_IF2+LN_IG2</f>
        <v>40046266</v>
      </c>
      <c r="E262" s="361">
        <f t="shared" si="26"/>
        <v>1141191</v>
      </c>
      <c r="F262" s="415">
        <f t="shared" si="27"/>
        <v>0.02933270273865299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844</v>
      </c>
      <c r="C263" s="366">
        <f>IF(C261=0,0,C262/C261)</f>
        <v>0.5221780978889107</v>
      </c>
      <c r="D263" s="366">
        <f>IF(LN_IIA1=0,0,LN_IIA2/LN_IIA1)</f>
        <v>0.5527723933999475</v>
      </c>
      <c r="E263" s="367">
        <f t="shared" si="26"/>
        <v>0.030594295511036873</v>
      </c>
      <c r="F263" s="371">
        <f t="shared" si="27"/>
        <v>0.058589771640605214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845</v>
      </c>
      <c r="C264" s="369">
        <f>C18+C45+C191+C224</f>
        <v>5744</v>
      </c>
      <c r="D264" s="369">
        <f>LN_IA4+LN_IB4+LN_IF4+LN_IG3</f>
        <v>5343</v>
      </c>
      <c r="E264" s="369">
        <f t="shared" si="26"/>
        <v>-401</v>
      </c>
      <c r="F264" s="415">
        <f t="shared" si="27"/>
        <v>-0.06981197771587744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846</v>
      </c>
      <c r="C265" s="439">
        <f>IF(C264=0,0,C266/C264)</f>
        <v>1.0124688144150418</v>
      </c>
      <c r="D265" s="439">
        <f>IF(LN_IIA4=0,0,LN_IIA6/LN_IIA4)</f>
        <v>1.0200832603406325</v>
      </c>
      <c r="E265" s="439">
        <f t="shared" si="26"/>
        <v>0.007614445925590685</v>
      </c>
      <c r="F265" s="415">
        <f t="shared" si="27"/>
        <v>0.007520672061380937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847</v>
      </c>
      <c r="C266" s="376">
        <f>C20+C47+C193+C226</f>
        <v>5815.62087</v>
      </c>
      <c r="D266" s="376">
        <f>LN_IA6+LN_IB6+LN_IF6+LN_IG5</f>
        <v>5450.304859999999</v>
      </c>
      <c r="E266" s="376">
        <f t="shared" si="26"/>
        <v>-365.31601000000046</v>
      </c>
      <c r="F266" s="415">
        <f t="shared" si="27"/>
        <v>-0.062816338644854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848</v>
      </c>
      <c r="C267" s="361">
        <f>C27+C56+C203+C233</f>
        <v>119289489</v>
      </c>
      <c r="D267" s="361">
        <f>LN_IA11+LN_IB13+LN_IF14+LN_IG9</f>
        <v>117737661</v>
      </c>
      <c r="E267" s="361">
        <f t="shared" si="26"/>
        <v>-1551828</v>
      </c>
      <c r="F267" s="415">
        <f t="shared" si="27"/>
        <v>-0.013008924868476886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769</v>
      </c>
      <c r="C268" s="366">
        <f>IF(C261=0,0,C267/C261)</f>
        <v>1.6010856800599957</v>
      </c>
      <c r="D268" s="366">
        <f>IF(LN_IIA1=0,0,LN_IIA7/LN_IIA1)</f>
        <v>1.6251734597248508</v>
      </c>
      <c r="E268" s="367">
        <f t="shared" si="26"/>
        <v>0.02408777966485509</v>
      </c>
      <c r="F268" s="371">
        <f t="shared" si="27"/>
        <v>0.015044653740174902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849</v>
      </c>
      <c r="C269" s="361">
        <f>C28+C57+C204+C234</f>
        <v>37334349</v>
      </c>
      <c r="D269" s="361">
        <f>LN_IA12+LN_IB14+LN_IF15+LN_IG10</f>
        <v>38922476</v>
      </c>
      <c r="E269" s="361">
        <f t="shared" si="26"/>
        <v>1588127</v>
      </c>
      <c r="F269" s="415">
        <f t="shared" si="27"/>
        <v>0.042537958811066985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768</v>
      </c>
      <c r="C270" s="366">
        <f>IF(C267=0,0,C269/C267)</f>
        <v>0.312972662662676</v>
      </c>
      <c r="D270" s="366">
        <f>IF(LN_IIA7=0,0,LN_IIA9/LN_IIA7)</f>
        <v>0.3305864552549587</v>
      </c>
      <c r="E270" s="367">
        <f t="shared" si="26"/>
        <v>0.01761379259228274</v>
      </c>
      <c r="F270" s="371">
        <f t="shared" si="27"/>
        <v>0.056279013133063965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850</v>
      </c>
      <c r="C271" s="353">
        <f>C261+C267</f>
        <v>193794864</v>
      </c>
      <c r="D271" s="353">
        <f>LN_IIA1+LN_IIA7</f>
        <v>190183873</v>
      </c>
      <c r="E271" s="353">
        <f t="shared" si="26"/>
        <v>-3610991</v>
      </c>
      <c r="F271" s="415">
        <f t="shared" si="27"/>
        <v>-0.018633058304372813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851</v>
      </c>
      <c r="C272" s="353">
        <f>C262+C269</f>
        <v>76239424</v>
      </c>
      <c r="D272" s="353">
        <f>LN_IIA2+LN_IIA9</f>
        <v>78968742</v>
      </c>
      <c r="E272" s="353">
        <f t="shared" si="26"/>
        <v>2729318</v>
      </c>
      <c r="F272" s="415">
        <f t="shared" si="27"/>
        <v>0.03579929984780578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852</v>
      </c>
      <c r="C273" s="366">
        <f>IF(C271=0,0,C272/C271)</f>
        <v>0.3934027064824587</v>
      </c>
      <c r="D273" s="366">
        <f>IF(LN_IIA11=0,0,LN_IIA12/LN_IIA11)</f>
        <v>0.41522312462319033</v>
      </c>
      <c r="E273" s="367">
        <f t="shared" si="26"/>
        <v>0.021820418140731657</v>
      </c>
      <c r="F273" s="371">
        <f t="shared" si="27"/>
        <v>0.05546585669385729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295</v>
      </c>
      <c r="C274" s="421">
        <f>C22+C51+C198+C228</f>
        <v>21050</v>
      </c>
      <c r="D274" s="421">
        <f>LN_IA8+LN_IB10+LN_IF11+LN_IG6</f>
        <v>20696</v>
      </c>
      <c r="E274" s="442">
        <f t="shared" si="26"/>
        <v>-354</v>
      </c>
      <c r="F274" s="371">
        <f t="shared" si="27"/>
        <v>-0.01681710213776722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182</v>
      </c>
      <c r="B276" s="359" t="s">
        <v>853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854</v>
      </c>
      <c r="C277" s="361">
        <f>C15+C188+C221</f>
        <v>55477757</v>
      </c>
      <c r="D277" s="361">
        <f>LN_IA1+LN_IF1+LN_IG1</f>
        <v>53638576</v>
      </c>
      <c r="E277" s="361">
        <f aca="true" t="shared" si="28" ref="E277:E291">D277-C277</f>
        <v>-1839181</v>
      </c>
      <c r="F277" s="415">
        <f aca="true" t="shared" si="29" ref="F277:F291">IF(C277=0,0,E277/C277)</f>
        <v>-0.03315168275458577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855</v>
      </c>
      <c r="C278" s="361">
        <f>C16+C189+C222</f>
        <v>29880167</v>
      </c>
      <c r="D278" s="361">
        <f>LN_IA2+LN_IF2+LN_IG2</f>
        <v>29973831</v>
      </c>
      <c r="E278" s="361">
        <f t="shared" si="28"/>
        <v>93664</v>
      </c>
      <c r="F278" s="415">
        <f t="shared" si="29"/>
        <v>0.0031346545017636616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856</v>
      </c>
      <c r="C279" s="366">
        <f>IF(C277=0,0,C278/C277)</f>
        <v>0.5385972435763761</v>
      </c>
      <c r="D279" s="366">
        <f>IF(D277=0,0,LN_IIB2/D277)</f>
        <v>0.558811087751472</v>
      </c>
      <c r="E279" s="367">
        <f t="shared" si="28"/>
        <v>0.020213844175095974</v>
      </c>
      <c r="F279" s="371">
        <f t="shared" si="29"/>
        <v>0.037530537737015986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857</v>
      </c>
      <c r="C280" s="369">
        <f>C18+C191+C224</f>
        <v>4037</v>
      </c>
      <c r="D280" s="369">
        <f>LN_IA4+LN_IF4+LN_IG3</f>
        <v>3742</v>
      </c>
      <c r="E280" s="369">
        <f t="shared" si="28"/>
        <v>-295</v>
      </c>
      <c r="F280" s="415">
        <f t="shared" si="29"/>
        <v>-0.07307406489967798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858</v>
      </c>
      <c r="C281" s="439">
        <f>IF(C280=0,0,C282/C280)</f>
        <v>1.0410395268763935</v>
      </c>
      <c r="D281" s="439">
        <f>IF(LN_IIB4=0,0,LN_IIB6/LN_IIB4)</f>
        <v>1.0534908765366113</v>
      </c>
      <c r="E281" s="439">
        <f t="shared" si="28"/>
        <v>0.01245134966021788</v>
      </c>
      <c r="F281" s="415">
        <f t="shared" si="29"/>
        <v>0.011960496540969742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859</v>
      </c>
      <c r="C282" s="376">
        <f>C20+C193+C226</f>
        <v>4202.6765700000005</v>
      </c>
      <c r="D282" s="376">
        <f>LN_IA6+LN_IF6+LN_IG5</f>
        <v>3942.16286</v>
      </c>
      <c r="E282" s="376">
        <f t="shared" si="28"/>
        <v>-260.51371000000063</v>
      </c>
      <c r="F282" s="415">
        <f t="shared" si="29"/>
        <v>-0.0619875704591754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860</v>
      </c>
      <c r="C283" s="361">
        <f>C27+C203+C233</f>
        <v>56856381</v>
      </c>
      <c r="D283" s="361">
        <f>LN_IA11+LN_IF14+LN_IG9</f>
        <v>58799325</v>
      </c>
      <c r="E283" s="361">
        <f t="shared" si="28"/>
        <v>1942944</v>
      </c>
      <c r="F283" s="415">
        <f t="shared" si="29"/>
        <v>0.03417283980842889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861</v>
      </c>
      <c r="C284" s="366">
        <f>IF(C277=0,0,C283/C277)</f>
        <v>1.0248500313377846</v>
      </c>
      <c r="D284" s="366">
        <f>IF(D277=0,0,LN_IIB7/D277)</f>
        <v>1.0962133856797391</v>
      </c>
      <c r="E284" s="367">
        <f t="shared" si="28"/>
        <v>0.07136335434195451</v>
      </c>
      <c r="F284" s="371">
        <f t="shared" si="29"/>
        <v>0.06963297278607739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862</v>
      </c>
      <c r="C285" s="361">
        <f>C28+C204+C234</f>
        <v>13628345</v>
      </c>
      <c r="D285" s="361">
        <f>LN_IA12+LN_IF15+LN_IG10</f>
        <v>15021527</v>
      </c>
      <c r="E285" s="361">
        <f t="shared" si="28"/>
        <v>1393182</v>
      </c>
      <c r="F285" s="415">
        <f t="shared" si="29"/>
        <v>0.10222679276170364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863</v>
      </c>
      <c r="C286" s="366">
        <f>IF(C283=0,0,C285/C283)</f>
        <v>0.23969772187927332</v>
      </c>
      <c r="D286" s="366">
        <f>IF(LN_IIB7=0,0,LN_IIB9/LN_IIB7)</f>
        <v>0.255471078962216</v>
      </c>
      <c r="E286" s="367">
        <f t="shared" si="28"/>
        <v>0.01577335708294267</v>
      </c>
      <c r="F286" s="371">
        <f t="shared" si="29"/>
        <v>0.06580520231596991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864</v>
      </c>
      <c r="C287" s="353">
        <f>C277+C283</f>
        <v>112334138</v>
      </c>
      <c r="D287" s="353">
        <f>D277+LN_IIB7</f>
        <v>112437901</v>
      </c>
      <c r="E287" s="353">
        <f t="shared" si="28"/>
        <v>103763</v>
      </c>
      <c r="F287" s="415">
        <f t="shared" si="29"/>
        <v>0.0009236996148045397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865</v>
      </c>
      <c r="C288" s="353">
        <f>C278+C285</f>
        <v>43508512</v>
      </c>
      <c r="D288" s="353">
        <f>LN_IIB2+LN_IIB9</f>
        <v>44995358</v>
      </c>
      <c r="E288" s="353">
        <f t="shared" si="28"/>
        <v>1486846</v>
      </c>
      <c r="F288" s="415">
        <f t="shared" si="29"/>
        <v>0.034173680773086426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866</v>
      </c>
      <c r="C289" s="366">
        <f>IF(C287=0,0,C288/C287)</f>
        <v>0.3873133561589265</v>
      </c>
      <c r="D289" s="366">
        <f>IF(LN_IIB11=0,0,LN_IIB12/LN_IIB11)</f>
        <v>0.4001796333782503</v>
      </c>
      <c r="E289" s="367">
        <f t="shared" si="28"/>
        <v>0.012866277219323818</v>
      </c>
      <c r="F289" s="371">
        <f t="shared" si="29"/>
        <v>0.033219296506894515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295</v>
      </c>
      <c r="C290" s="421">
        <f>C22+C198+C228</f>
        <v>16270</v>
      </c>
      <c r="D290" s="421">
        <f>LN_IA8+LN_IF11+LN_IG6</f>
        <v>15852</v>
      </c>
      <c r="E290" s="442">
        <f t="shared" si="28"/>
        <v>-418</v>
      </c>
      <c r="F290" s="371">
        <f t="shared" si="29"/>
        <v>-0.025691456668715428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867</v>
      </c>
      <c r="C291" s="361">
        <f>C287-C288</f>
        <v>68825626</v>
      </c>
      <c r="D291" s="429">
        <f>LN_IIB11-LN_IIB12</f>
        <v>67442543</v>
      </c>
      <c r="E291" s="353">
        <f t="shared" si="28"/>
        <v>-1383083</v>
      </c>
      <c r="F291" s="415">
        <f t="shared" si="29"/>
        <v>-0.020095465604628136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192</v>
      </c>
      <c r="B293" s="358" t="s">
        <v>764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755</v>
      </c>
      <c r="C294" s="379">
        <f>IF(C18=0,0,C22/C18)</f>
        <v>4.603500761035008</v>
      </c>
      <c r="D294" s="379">
        <f>IF(LN_IA4=0,0,LN_IA8/LN_IA4)</f>
        <v>4.732833464877664</v>
      </c>
      <c r="E294" s="379">
        <f aca="true" t="shared" si="30" ref="E294:E300">D294-C294</f>
        <v>0.12933270384265594</v>
      </c>
      <c r="F294" s="415">
        <f aca="true" t="shared" si="31" ref="F294:F300">IF(C294=0,0,E294/C294)</f>
        <v>0.028094424342742584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776</v>
      </c>
      <c r="C295" s="379">
        <f>IF(C45=0,0,C51/C45)</f>
        <v>2.800234329232572</v>
      </c>
      <c r="D295" s="379">
        <f>IF(LN_IB4=0,0,(LN_IB10)/(LN_IB4))</f>
        <v>3.0256089943785134</v>
      </c>
      <c r="E295" s="379">
        <f t="shared" si="30"/>
        <v>0.2253746651459414</v>
      </c>
      <c r="F295" s="415">
        <f t="shared" si="31"/>
        <v>0.08048421619333095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791</v>
      </c>
      <c r="C296" s="379">
        <f>IF(C86=0,0,C93/C86)</f>
        <v>3.027972027972028</v>
      </c>
      <c r="D296" s="379">
        <f>IF(LN_IC4=0,0,LN_IC11/LN_IC4)</f>
        <v>2.781609195402299</v>
      </c>
      <c r="E296" s="379">
        <f t="shared" si="30"/>
        <v>-0.24636283256972913</v>
      </c>
      <c r="F296" s="415">
        <f t="shared" si="31"/>
        <v>-0.08136232114889438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270</v>
      </c>
      <c r="C297" s="379">
        <f>IF(C121=0,0,C128/C121)</f>
        <v>2.840034965034965</v>
      </c>
      <c r="D297" s="379">
        <f>IF(LN_ID4=0,0,LN_ID11/LN_ID4)</f>
        <v>3.177939646201873</v>
      </c>
      <c r="E297" s="379">
        <f t="shared" si="30"/>
        <v>0.3379046811669082</v>
      </c>
      <c r="F297" s="415">
        <f t="shared" si="31"/>
        <v>0.11897905671127823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868</v>
      </c>
      <c r="C298" s="379">
        <f>IF(C156=0,0,C163/C156)</f>
        <v>3.5098814229249014</v>
      </c>
      <c r="D298" s="379">
        <f>IF(LN_IE4=0,0,LN_IE11/LN_IE4)</f>
        <v>3.3205128205128207</v>
      </c>
      <c r="E298" s="379">
        <f t="shared" si="30"/>
        <v>-0.18936860241208064</v>
      </c>
      <c r="F298" s="415">
        <f t="shared" si="31"/>
        <v>-0.05395299145299144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574</v>
      </c>
      <c r="C299" s="379">
        <f>IF(C224=0,0,C228/C224)</f>
        <v>2.9166666666666665</v>
      </c>
      <c r="D299" s="379">
        <f>IF(LN_IG3=0,0,LN_IG6/LN_IG3)</f>
        <v>2.1538461538461537</v>
      </c>
      <c r="E299" s="379">
        <f t="shared" si="30"/>
        <v>-0.7628205128205128</v>
      </c>
      <c r="F299" s="415">
        <f t="shared" si="31"/>
        <v>-0.26153846153846155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869</v>
      </c>
      <c r="C300" s="379">
        <f>IF(C264=0,0,C274/C264)</f>
        <v>3.6646935933147633</v>
      </c>
      <c r="D300" s="379">
        <f>IF(LN_IIA4=0,0,LN_IIA14/LN_IIA4)</f>
        <v>3.8734793187347933</v>
      </c>
      <c r="E300" s="379">
        <f t="shared" si="30"/>
        <v>0.20878572542003004</v>
      </c>
      <c r="F300" s="415">
        <f t="shared" si="31"/>
        <v>0.056972218850957365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291</v>
      </c>
      <c r="B302" s="446" t="s">
        <v>870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864</v>
      </c>
      <c r="C304" s="353">
        <f>C35+C66+C214+C221+C233</f>
        <v>193794864</v>
      </c>
      <c r="D304" s="353">
        <f>LN_IIA11</f>
        <v>190183873</v>
      </c>
      <c r="E304" s="353">
        <f aca="true" t="shared" si="32" ref="E304:E316">D304-C304</f>
        <v>-3610991</v>
      </c>
      <c r="F304" s="362">
        <f>IF(C304=0,0,E304/C304)</f>
        <v>-0.018633058304372813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867</v>
      </c>
      <c r="C305" s="353">
        <f>C291</f>
        <v>68825626</v>
      </c>
      <c r="D305" s="353">
        <f>LN_IIB14</f>
        <v>67442543</v>
      </c>
      <c r="E305" s="353">
        <f t="shared" si="32"/>
        <v>-1383083</v>
      </c>
      <c r="F305" s="362">
        <f>IF(C305=0,0,E305/C305)</f>
        <v>-0.020095465604628136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871</v>
      </c>
      <c r="C306" s="353">
        <f>C250</f>
        <v>6836104</v>
      </c>
      <c r="D306" s="353">
        <f>LN_IH6</f>
        <v>6235508</v>
      </c>
      <c r="E306" s="353">
        <f t="shared" si="32"/>
        <v>-600596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872</v>
      </c>
      <c r="C307" s="353">
        <f>C73-C74</f>
        <v>39851033</v>
      </c>
      <c r="D307" s="353">
        <f>LN_IB32-LN_IB33</f>
        <v>35545014</v>
      </c>
      <c r="E307" s="353">
        <f t="shared" si="32"/>
        <v>-4306019</v>
      </c>
      <c r="F307" s="362">
        <f aca="true" t="shared" si="33" ref="F307:F316">IF(C307=0,0,E307/C307)</f>
        <v>-0.10805288284496917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873</v>
      </c>
      <c r="C308" s="353">
        <v>2042677</v>
      </c>
      <c r="D308" s="353">
        <v>1926412</v>
      </c>
      <c r="E308" s="353">
        <f t="shared" si="32"/>
        <v>-116265</v>
      </c>
      <c r="F308" s="362">
        <f t="shared" si="33"/>
        <v>-0.05691795619180125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874</v>
      </c>
      <c r="C309" s="353">
        <f>C305+C307+C308+C306</f>
        <v>117555440</v>
      </c>
      <c r="D309" s="353">
        <f>LN_III2+LN_III3+LN_III4+LN_III5</f>
        <v>111149477</v>
      </c>
      <c r="E309" s="353">
        <f t="shared" si="32"/>
        <v>-6405963</v>
      </c>
      <c r="F309" s="362">
        <f t="shared" si="33"/>
        <v>-0.05449312256412804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875</v>
      </c>
      <c r="C310" s="353">
        <f>C304-C309</f>
        <v>76239424</v>
      </c>
      <c r="D310" s="353">
        <f>LN_III1-LN_III6</f>
        <v>79034396</v>
      </c>
      <c r="E310" s="353">
        <f t="shared" si="32"/>
        <v>2794972</v>
      </c>
      <c r="F310" s="362">
        <f t="shared" si="33"/>
        <v>0.03666045535706041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876</v>
      </c>
      <c r="C311" s="353">
        <f>C245</f>
        <v>522386</v>
      </c>
      <c r="D311" s="353">
        <f>LN_IH3</f>
        <v>494828</v>
      </c>
      <c r="E311" s="353">
        <f t="shared" si="32"/>
        <v>-27558</v>
      </c>
      <c r="F311" s="362">
        <f t="shared" si="33"/>
        <v>-0.05275409371614094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877</v>
      </c>
      <c r="C312" s="353">
        <f>C310+C311</f>
        <v>76761810</v>
      </c>
      <c r="D312" s="353">
        <f>LN_III7+LN_III8</f>
        <v>79529224</v>
      </c>
      <c r="E312" s="353">
        <f t="shared" si="32"/>
        <v>2767414</v>
      </c>
      <c r="F312" s="362">
        <f t="shared" si="33"/>
        <v>0.03605196386067499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878</v>
      </c>
      <c r="C313" s="448">
        <f>IF(C304=0,0,C312/C304)</f>
        <v>0.3960982681150931</v>
      </c>
      <c r="D313" s="448">
        <f>IF(LN_III1=0,0,LN_III9/LN_III1)</f>
        <v>0.4181701778678153</v>
      </c>
      <c r="E313" s="448">
        <f t="shared" si="32"/>
        <v>0.02207190975272222</v>
      </c>
      <c r="F313" s="362">
        <f t="shared" si="33"/>
        <v>0.05572331799822172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836</v>
      </c>
      <c r="C314" s="353">
        <f>C306*C313</f>
        <v>2707768.9550546603</v>
      </c>
      <c r="D314" s="353">
        <f>D313*LN_III5</f>
        <v>2607503.489456185</v>
      </c>
      <c r="E314" s="353">
        <f t="shared" si="32"/>
        <v>-100265.46559847519</v>
      </c>
      <c r="F314" s="362">
        <f t="shared" si="33"/>
        <v>-0.03702881126962739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839</v>
      </c>
      <c r="C315" s="353">
        <f>(C214*C313)-C215</f>
        <v>3824656.429626679</v>
      </c>
      <c r="D315" s="353">
        <f>D313*LN_IH8-LN_IH9</f>
        <v>3814710.435979521</v>
      </c>
      <c r="E315" s="353">
        <f t="shared" si="32"/>
        <v>-9945.993647158146</v>
      </c>
      <c r="F315" s="362">
        <f t="shared" si="33"/>
        <v>-0.002600493359381032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879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880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881</v>
      </c>
      <c r="C318" s="353">
        <f>C314+C315+C316</f>
        <v>6532425.384681339</v>
      </c>
      <c r="D318" s="353">
        <f>D314+D315+D316</f>
        <v>6422213.925435706</v>
      </c>
      <c r="E318" s="353">
        <f>D318-C318</f>
        <v>-110211.45924563333</v>
      </c>
      <c r="F318" s="362">
        <f>IF(C318=0,0,E318/C318)</f>
        <v>-0.016871445558962108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300</v>
      </c>
      <c r="B320" s="445" t="s">
        <v>882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270</v>
      </c>
      <c r="C322" s="353">
        <f>C141</f>
        <v>3883401.243471509</v>
      </c>
      <c r="D322" s="353">
        <f>LN_ID22</f>
        <v>2988852.8755058427</v>
      </c>
      <c r="E322" s="353">
        <f>LN_IV2-C322</f>
        <v>-894548.3679656661</v>
      </c>
      <c r="F322" s="362">
        <f>IF(C322=0,0,E322/C322)</f>
        <v>-0.23035177461240083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868</v>
      </c>
      <c r="C323" s="353">
        <f>C162+C176</f>
        <v>2186283.8116720724</v>
      </c>
      <c r="D323" s="353">
        <f>LN_IE10+LN_IE22</f>
        <v>2372502.6842332203</v>
      </c>
      <c r="E323" s="353">
        <f>LN_IV3-C323</f>
        <v>186218.8725611479</v>
      </c>
      <c r="F323" s="362">
        <f>IF(C323=0,0,E323/C323)</f>
        <v>0.08517598290165607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883</v>
      </c>
      <c r="C324" s="353">
        <f>C92+C106</f>
        <v>2045378.2400430895</v>
      </c>
      <c r="D324" s="353">
        <f>LN_IC10+LN_IC22</f>
        <v>1664608.0960983438</v>
      </c>
      <c r="E324" s="353">
        <f>LN_IV1-C324</f>
        <v>-380770.14394474565</v>
      </c>
      <c r="F324" s="362">
        <f>IF(C324=0,0,E324/C324)</f>
        <v>-0.18616123731556078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884</v>
      </c>
      <c r="C325" s="429">
        <f>C324+C322+C323</f>
        <v>8115063.2951866705</v>
      </c>
      <c r="D325" s="429">
        <f>LN_IV1+LN_IV2+LN_IV3</f>
        <v>7025963.655837407</v>
      </c>
      <c r="E325" s="353">
        <f>LN_IV4-C325</f>
        <v>-1089099.6393492632</v>
      </c>
      <c r="F325" s="362">
        <f>IF(C325=0,0,E325/C325)</f>
        <v>-0.13420716508708522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885</v>
      </c>
      <c r="B327" s="446" t="s">
        <v>886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887</v>
      </c>
      <c r="C329" s="431">
        <v>3588691</v>
      </c>
      <c r="D329" s="431">
        <v>3496497</v>
      </c>
      <c r="E329" s="431">
        <f aca="true" t="shared" si="34" ref="E329:E335">D329-C329</f>
        <v>-92194</v>
      </c>
      <c r="F329" s="462">
        <f aca="true" t="shared" si="35" ref="F329:F335">IF(C329=0,0,E329/C329)</f>
        <v>-0.025690147187372777</v>
      </c>
    </row>
    <row r="330" spans="1:6" s="333" customFormat="1" ht="11.25" customHeight="1">
      <c r="A330" s="364">
        <v>2</v>
      </c>
      <c r="B330" s="360" t="s">
        <v>888</v>
      </c>
      <c r="C330" s="429">
        <v>4249703</v>
      </c>
      <c r="D330" s="429">
        <v>4141249</v>
      </c>
      <c r="E330" s="431">
        <f t="shared" si="34"/>
        <v>-108454</v>
      </c>
      <c r="F330" s="463">
        <f t="shared" si="35"/>
        <v>-0.025520371658913577</v>
      </c>
    </row>
    <row r="331" spans="1:6" s="333" customFormat="1" ht="11.25" customHeight="1">
      <c r="A331" s="339">
        <v>3</v>
      </c>
      <c r="B331" s="360" t="s">
        <v>889</v>
      </c>
      <c r="C331" s="429">
        <v>81011511</v>
      </c>
      <c r="D331" s="429">
        <v>83605148</v>
      </c>
      <c r="E331" s="431">
        <f t="shared" si="34"/>
        <v>2593637</v>
      </c>
      <c r="F331" s="462">
        <f t="shared" si="35"/>
        <v>0.032015660095514084</v>
      </c>
    </row>
    <row r="332" spans="1:6" s="333" customFormat="1" ht="11.25" customHeight="1">
      <c r="A332" s="364">
        <v>4</v>
      </c>
      <c r="B332" s="360" t="s">
        <v>890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891</v>
      </c>
      <c r="C333" s="429">
        <v>193794864</v>
      </c>
      <c r="D333" s="429">
        <v>190183873</v>
      </c>
      <c r="E333" s="431">
        <f t="shared" si="34"/>
        <v>-3610991</v>
      </c>
      <c r="F333" s="462">
        <f t="shared" si="35"/>
        <v>-0.018633058304372813</v>
      </c>
    </row>
    <row r="334" spans="1:6" s="333" customFormat="1" ht="11.25" customHeight="1">
      <c r="A334" s="339">
        <v>6</v>
      </c>
      <c r="B334" s="360" t="s">
        <v>892</v>
      </c>
      <c r="C334" s="429">
        <v>546160</v>
      </c>
      <c r="D334" s="429">
        <v>519470</v>
      </c>
      <c r="E334" s="429">
        <f t="shared" si="34"/>
        <v>-26690</v>
      </c>
      <c r="F334" s="463">
        <f t="shared" si="35"/>
        <v>-0.04886846345393291</v>
      </c>
    </row>
    <row r="335" spans="1:6" s="333" customFormat="1" ht="11.25" customHeight="1">
      <c r="A335" s="364">
        <v>7</v>
      </c>
      <c r="B335" s="360" t="s">
        <v>893</v>
      </c>
      <c r="C335" s="429">
        <v>7382264</v>
      </c>
      <c r="D335" s="429">
        <v>6754978</v>
      </c>
      <c r="E335" s="429">
        <f t="shared" si="34"/>
        <v>-627286</v>
      </c>
      <c r="F335" s="462">
        <f t="shared" si="35"/>
        <v>-0.08497203567902746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FILING&amp;RWINDHAM COMMUNITY MEMORIAL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156</v>
      </c>
      <c r="B2" s="710"/>
      <c r="C2" s="710"/>
      <c r="D2" s="710"/>
      <c r="E2" s="710"/>
    </row>
    <row r="3" spans="1:5" s="338" customFormat="1" ht="15.75" customHeight="1">
      <c r="A3" s="709" t="s">
        <v>746</v>
      </c>
      <c r="B3" s="709"/>
      <c r="C3" s="709"/>
      <c r="D3" s="709"/>
      <c r="E3" s="709"/>
    </row>
    <row r="4" spans="1:5" s="338" customFormat="1" ht="15.75" customHeight="1">
      <c r="A4" s="709" t="s">
        <v>158</v>
      </c>
      <c r="B4" s="709"/>
      <c r="C4" s="709"/>
      <c r="D4" s="709"/>
      <c r="E4" s="709"/>
    </row>
    <row r="5" spans="1:5" s="338" customFormat="1" ht="15.75" customHeight="1">
      <c r="A5" s="709" t="s">
        <v>894</v>
      </c>
      <c r="B5" s="709"/>
      <c r="C5" s="709"/>
      <c r="D5" s="709"/>
      <c r="E5" s="709"/>
    </row>
    <row r="6" spans="1:5" s="338" customFormat="1" ht="15.75" customHeight="1">
      <c r="A6" s="709" t="s">
        <v>895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164</v>
      </c>
      <c r="B9" s="493" t="s">
        <v>165</v>
      </c>
      <c r="C9" s="494" t="s">
        <v>896</v>
      </c>
      <c r="D9" s="494" t="s">
        <v>897</v>
      </c>
      <c r="E9" s="495" t="s">
        <v>898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168</v>
      </c>
      <c r="B11" s="501" t="s">
        <v>899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170</v>
      </c>
      <c r="B13" s="509" t="s">
        <v>900</v>
      </c>
      <c r="C13" s="510"/>
      <c r="D13" s="340"/>
      <c r="E13" s="511"/>
    </row>
    <row r="14" spans="1:5" s="506" customFormat="1" ht="12.75">
      <c r="A14" s="512">
        <v>1</v>
      </c>
      <c r="B14" s="511" t="s">
        <v>776</v>
      </c>
      <c r="C14" s="513">
        <v>19027618</v>
      </c>
      <c r="D14" s="513">
        <v>18807636</v>
      </c>
      <c r="E14" s="514">
        <f aca="true" t="shared" si="0" ref="E14:E22">D14-C14</f>
        <v>-219982</v>
      </c>
    </row>
    <row r="15" spans="1:5" s="506" customFormat="1" ht="12.75">
      <c r="A15" s="512">
        <v>2</v>
      </c>
      <c r="B15" s="511" t="s">
        <v>755</v>
      </c>
      <c r="C15" s="513">
        <v>42802972</v>
      </c>
      <c r="D15" s="515">
        <v>41659535</v>
      </c>
      <c r="E15" s="514">
        <f t="shared" si="0"/>
        <v>-1143437</v>
      </c>
    </row>
    <row r="16" spans="1:5" s="506" customFormat="1" ht="12.75">
      <c r="A16" s="512">
        <v>3</v>
      </c>
      <c r="B16" s="511" t="s">
        <v>901</v>
      </c>
      <c r="C16" s="513">
        <v>12529434</v>
      </c>
      <c r="D16" s="515">
        <v>11802650</v>
      </c>
      <c r="E16" s="514">
        <f t="shared" si="0"/>
        <v>-726784</v>
      </c>
    </row>
    <row r="17" spans="1:5" s="506" customFormat="1" ht="12.75">
      <c r="A17" s="512">
        <v>4</v>
      </c>
      <c r="B17" s="511" t="s">
        <v>270</v>
      </c>
      <c r="C17" s="513">
        <v>9051503</v>
      </c>
      <c r="D17" s="515">
        <v>8797246</v>
      </c>
      <c r="E17" s="514">
        <f t="shared" si="0"/>
        <v>-254257</v>
      </c>
    </row>
    <row r="18" spans="1:5" s="506" customFormat="1" ht="12.75">
      <c r="A18" s="512">
        <v>5</v>
      </c>
      <c r="B18" s="511" t="s">
        <v>868</v>
      </c>
      <c r="C18" s="513">
        <v>3477931</v>
      </c>
      <c r="D18" s="515">
        <v>3005404</v>
      </c>
      <c r="E18" s="514">
        <f t="shared" si="0"/>
        <v>-472527</v>
      </c>
    </row>
    <row r="19" spans="1:5" s="506" customFormat="1" ht="12.75">
      <c r="A19" s="512">
        <v>6</v>
      </c>
      <c r="B19" s="511" t="s">
        <v>574</v>
      </c>
      <c r="C19" s="513">
        <v>145351</v>
      </c>
      <c r="D19" s="515">
        <v>176391</v>
      </c>
      <c r="E19" s="514">
        <f t="shared" si="0"/>
        <v>31040</v>
      </c>
    </row>
    <row r="20" spans="1:5" s="506" customFormat="1" ht="12.75">
      <c r="A20" s="512">
        <v>7</v>
      </c>
      <c r="B20" s="511" t="s">
        <v>883</v>
      </c>
      <c r="C20" s="513">
        <v>1705284</v>
      </c>
      <c r="D20" s="515">
        <v>921311</v>
      </c>
      <c r="E20" s="514">
        <f t="shared" si="0"/>
        <v>-783973</v>
      </c>
    </row>
    <row r="21" spans="1:5" s="506" customFormat="1" ht="12.75">
      <c r="A21" s="512"/>
      <c r="B21" s="516" t="s">
        <v>902</v>
      </c>
      <c r="C21" s="517">
        <f>SUM(C15+C16+C19)</f>
        <v>55477757</v>
      </c>
      <c r="D21" s="517">
        <f>SUM(D15+D16+D19)</f>
        <v>53638576</v>
      </c>
      <c r="E21" s="517">
        <f t="shared" si="0"/>
        <v>-1839181</v>
      </c>
    </row>
    <row r="22" spans="1:5" s="506" customFormat="1" ht="12.75">
      <c r="A22" s="512"/>
      <c r="B22" s="516" t="s">
        <v>842</v>
      </c>
      <c r="C22" s="517">
        <f>SUM(C14+C21)</f>
        <v>74505375</v>
      </c>
      <c r="D22" s="517">
        <f>SUM(D14+D21)</f>
        <v>72446212</v>
      </c>
      <c r="E22" s="517">
        <f t="shared" si="0"/>
        <v>-2059163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182</v>
      </c>
      <c r="B24" s="509" t="s">
        <v>903</v>
      </c>
      <c r="C24" s="511"/>
      <c r="D24" s="511"/>
      <c r="E24" s="511"/>
    </row>
    <row r="25" spans="1:5" s="506" customFormat="1" ht="12.75">
      <c r="A25" s="512">
        <v>1</v>
      </c>
      <c r="B25" s="511" t="s">
        <v>776</v>
      </c>
      <c r="C25" s="513">
        <v>62433108</v>
      </c>
      <c r="D25" s="513">
        <v>58938336</v>
      </c>
      <c r="E25" s="514">
        <f aca="true" t="shared" si="1" ref="E25:E33">D25-C25</f>
        <v>-3494772</v>
      </c>
    </row>
    <row r="26" spans="1:5" s="506" customFormat="1" ht="12.75">
      <c r="A26" s="512">
        <v>2</v>
      </c>
      <c r="B26" s="511" t="s">
        <v>755</v>
      </c>
      <c r="C26" s="513">
        <v>33883714</v>
      </c>
      <c r="D26" s="515">
        <v>34320309</v>
      </c>
      <c r="E26" s="514">
        <f t="shared" si="1"/>
        <v>436595</v>
      </c>
    </row>
    <row r="27" spans="1:5" s="506" customFormat="1" ht="12.75">
      <c r="A27" s="512">
        <v>3</v>
      </c>
      <c r="B27" s="511" t="s">
        <v>901</v>
      </c>
      <c r="C27" s="513">
        <v>22570920</v>
      </c>
      <c r="D27" s="515">
        <v>24066456</v>
      </c>
      <c r="E27" s="514">
        <f t="shared" si="1"/>
        <v>1495536</v>
      </c>
    </row>
    <row r="28" spans="1:5" s="506" customFormat="1" ht="12.75">
      <c r="A28" s="512">
        <v>4</v>
      </c>
      <c r="B28" s="511" t="s">
        <v>270</v>
      </c>
      <c r="C28" s="513">
        <v>16929555</v>
      </c>
      <c r="D28" s="515">
        <v>17239057</v>
      </c>
      <c r="E28" s="514">
        <f t="shared" si="1"/>
        <v>309502</v>
      </c>
    </row>
    <row r="29" spans="1:5" s="506" customFormat="1" ht="12.75">
      <c r="A29" s="512">
        <v>5</v>
      </c>
      <c r="B29" s="511" t="s">
        <v>868</v>
      </c>
      <c r="C29" s="513">
        <v>5641365</v>
      </c>
      <c r="D29" s="515">
        <v>6827399</v>
      </c>
      <c r="E29" s="514">
        <f t="shared" si="1"/>
        <v>1186034</v>
      </c>
    </row>
    <row r="30" spans="1:5" s="506" customFormat="1" ht="12.75">
      <c r="A30" s="512">
        <v>6</v>
      </c>
      <c r="B30" s="511" t="s">
        <v>574</v>
      </c>
      <c r="C30" s="513">
        <v>401747</v>
      </c>
      <c r="D30" s="515">
        <v>412560</v>
      </c>
      <c r="E30" s="514">
        <f t="shared" si="1"/>
        <v>10813</v>
      </c>
    </row>
    <row r="31" spans="1:5" s="506" customFormat="1" ht="12.75">
      <c r="A31" s="512">
        <v>7</v>
      </c>
      <c r="B31" s="511" t="s">
        <v>883</v>
      </c>
      <c r="C31" s="514">
        <v>3802879</v>
      </c>
      <c r="D31" s="518">
        <v>3276135</v>
      </c>
      <c r="E31" s="514">
        <f t="shared" si="1"/>
        <v>-526744</v>
      </c>
    </row>
    <row r="32" spans="1:5" s="506" customFormat="1" ht="12.75">
      <c r="A32" s="512"/>
      <c r="B32" s="516" t="s">
        <v>904</v>
      </c>
      <c r="C32" s="517">
        <f>SUM(C26+C27+C30)</f>
        <v>56856381</v>
      </c>
      <c r="D32" s="517">
        <f>SUM(D26+D27+D30)</f>
        <v>58799325</v>
      </c>
      <c r="E32" s="517">
        <f t="shared" si="1"/>
        <v>1942944</v>
      </c>
    </row>
    <row r="33" spans="1:5" s="506" customFormat="1" ht="12.75">
      <c r="A33" s="512"/>
      <c r="B33" s="516" t="s">
        <v>848</v>
      </c>
      <c r="C33" s="517">
        <f>SUM(C25+C32)</f>
        <v>119289489</v>
      </c>
      <c r="D33" s="517">
        <f>SUM(D25+D32)</f>
        <v>117737661</v>
      </c>
      <c r="E33" s="517">
        <f t="shared" si="1"/>
        <v>-1551828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192</v>
      </c>
      <c r="B35" s="509" t="s">
        <v>773</v>
      </c>
      <c r="C35" s="514"/>
      <c r="D35" s="514"/>
      <c r="E35" s="511"/>
    </row>
    <row r="36" spans="1:5" s="506" customFormat="1" ht="12.75">
      <c r="A36" s="512">
        <v>1</v>
      </c>
      <c r="B36" s="511" t="s">
        <v>905</v>
      </c>
      <c r="C36" s="514">
        <f aca="true" t="shared" si="2" ref="C36:D42">C14+C25</f>
        <v>81460726</v>
      </c>
      <c r="D36" s="514">
        <f t="shared" si="2"/>
        <v>77745972</v>
      </c>
      <c r="E36" s="514">
        <f aca="true" t="shared" si="3" ref="E36:E44">D36-C36</f>
        <v>-3714754</v>
      </c>
    </row>
    <row r="37" spans="1:5" s="506" customFormat="1" ht="12.75">
      <c r="A37" s="512">
        <v>2</v>
      </c>
      <c r="B37" s="511" t="s">
        <v>906</v>
      </c>
      <c r="C37" s="514">
        <f t="shared" si="2"/>
        <v>76686686</v>
      </c>
      <c r="D37" s="514">
        <f t="shared" si="2"/>
        <v>75979844</v>
      </c>
      <c r="E37" s="514">
        <f t="shared" si="3"/>
        <v>-706842</v>
      </c>
    </row>
    <row r="38" spans="1:5" s="506" customFormat="1" ht="12.75">
      <c r="A38" s="512">
        <v>3</v>
      </c>
      <c r="B38" s="511" t="s">
        <v>907</v>
      </c>
      <c r="C38" s="514">
        <f t="shared" si="2"/>
        <v>35100354</v>
      </c>
      <c r="D38" s="514">
        <f t="shared" si="2"/>
        <v>35869106</v>
      </c>
      <c r="E38" s="514">
        <f t="shared" si="3"/>
        <v>768752</v>
      </c>
    </row>
    <row r="39" spans="1:5" s="506" customFormat="1" ht="12.75">
      <c r="A39" s="512">
        <v>4</v>
      </c>
      <c r="B39" s="511" t="s">
        <v>908</v>
      </c>
      <c r="C39" s="514">
        <f t="shared" si="2"/>
        <v>25981058</v>
      </c>
      <c r="D39" s="514">
        <f t="shared" si="2"/>
        <v>26036303</v>
      </c>
      <c r="E39" s="514">
        <f t="shared" si="3"/>
        <v>55245</v>
      </c>
    </row>
    <row r="40" spans="1:5" s="506" customFormat="1" ht="12.75">
      <c r="A40" s="512">
        <v>5</v>
      </c>
      <c r="B40" s="511" t="s">
        <v>909</v>
      </c>
      <c r="C40" s="514">
        <f t="shared" si="2"/>
        <v>9119296</v>
      </c>
      <c r="D40" s="514">
        <f t="shared" si="2"/>
        <v>9832803</v>
      </c>
      <c r="E40" s="514">
        <f t="shared" si="3"/>
        <v>713507</v>
      </c>
    </row>
    <row r="41" spans="1:5" s="506" customFormat="1" ht="12.75">
      <c r="A41" s="512">
        <v>6</v>
      </c>
      <c r="B41" s="511" t="s">
        <v>910</v>
      </c>
      <c r="C41" s="514">
        <f t="shared" si="2"/>
        <v>547098</v>
      </c>
      <c r="D41" s="514">
        <f t="shared" si="2"/>
        <v>588951</v>
      </c>
      <c r="E41" s="514">
        <f t="shared" si="3"/>
        <v>41853</v>
      </c>
    </row>
    <row r="42" spans="1:5" s="506" customFormat="1" ht="12.75">
      <c r="A42" s="512">
        <v>7</v>
      </c>
      <c r="B42" s="511" t="s">
        <v>911</v>
      </c>
      <c r="C42" s="514">
        <f t="shared" si="2"/>
        <v>5508163</v>
      </c>
      <c r="D42" s="514">
        <f t="shared" si="2"/>
        <v>4197446</v>
      </c>
      <c r="E42" s="514">
        <f t="shared" si="3"/>
        <v>-1310717</v>
      </c>
    </row>
    <row r="43" spans="1:5" s="506" customFormat="1" ht="12.75">
      <c r="A43" s="512"/>
      <c r="B43" s="516" t="s">
        <v>912</v>
      </c>
      <c r="C43" s="517">
        <f>SUM(C37+C38+C41)</f>
        <v>112334138</v>
      </c>
      <c r="D43" s="517">
        <f>SUM(D37+D38+D41)</f>
        <v>112437901</v>
      </c>
      <c r="E43" s="517">
        <f t="shared" si="3"/>
        <v>103763</v>
      </c>
    </row>
    <row r="44" spans="1:5" s="506" customFormat="1" ht="12.75">
      <c r="A44" s="512"/>
      <c r="B44" s="516" t="s">
        <v>850</v>
      </c>
      <c r="C44" s="517">
        <f>SUM(C36+C43)</f>
        <v>193794864</v>
      </c>
      <c r="D44" s="517">
        <f>SUM(D36+D43)</f>
        <v>190183873</v>
      </c>
      <c r="E44" s="517">
        <f t="shared" si="3"/>
        <v>-3610991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477</v>
      </c>
      <c r="B46" s="509" t="s">
        <v>913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776</v>
      </c>
      <c r="C47" s="513">
        <v>9024908</v>
      </c>
      <c r="D47" s="513">
        <v>10072435</v>
      </c>
      <c r="E47" s="514">
        <f aca="true" t="shared" si="4" ref="E47:E55">D47-C47</f>
        <v>1047527</v>
      </c>
    </row>
    <row r="48" spans="1:5" s="506" customFormat="1" ht="12.75">
      <c r="A48" s="512">
        <v>2</v>
      </c>
      <c r="B48" s="511" t="s">
        <v>755</v>
      </c>
      <c r="C48" s="513">
        <v>25047816</v>
      </c>
      <c r="D48" s="515">
        <v>24697646</v>
      </c>
      <c r="E48" s="514">
        <f t="shared" si="4"/>
        <v>-350170</v>
      </c>
    </row>
    <row r="49" spans="1:5" s="506" customFormat="1" ht="12.75">
      <c r="A49" s="512">
        <v>3</v>
      </c>
      <c r="B49" s="511" t="s">
        <v>901</v>
      </c>
      <c r="C49" s="513">
        <v>4771527</v>
      </c>
      <c r="D49" s="515">
        <v>5214171</v>
      </c>
      <c r="E49" s="514">
        <f t="shared" si="4"/>
        <v>442644</v>
      </c>
    </row>
    <row r="50" spans="1:5" s="506" customFormat="1" ht="12.75">
      <c r="A50" s="512">
        <v>4</v>
      </c>
      <c r="B50" s="511" t="s">
        <v>270</v>
      </c>
      <c r="C50" s="513">
        <v>4081835</v>
      </c>
      <c r="D50" s="515">
        <v>4524924</v>
      </c>
      <c r="E50" s="514">
        <f t="shared" si="4"/>
        <v>443089</v>
      </c>
    </row>
    <row r="51" spans="1:5" s="506" customFormat="1" ht="12.75">
      <c r="A51" s="512">
        <v>5</v>
      </c>
      <c r="B51" s="511" t="s">
        <v>868</v>
      </c>
      <c r="C51" s="513">
        <v>689692</v>
      </c>
      <c r="D51" s="515">
        <v>689247</v>
      </c>
      <c r="E51" s="514">
        <f t="shared" si="4"/>
        <v>-445</v>
      </c>
    </row>
    <row r="52" spans="1:5" s="506" customFormat="1" ht="12.75">
      <c r="A52" s="512">
        <v>6</v>
      </c>
      <c r="B52" s="511" t="s">
        <v>574</v>
      </c>
      <c r="C52" s="513">
        <v>60824</v>
      </c>
      <c r="D52" s="515">
        <v>62014</v>
      </c>
      <c r="E52" s="514">
        <f t="shared" si="4"/>
        <v>1190</v>
      </c>
    </row>
    <row r="53" spans="1:5" s="506" customFormat="1" ht="12.75">
      <c r="A53" s="512">
        <v>7</v>
      </c>
      <c r="B53" s="511" t="s">
        <v>883</v>
      </c>
      <c r="C53" s="513">
        <v>218457</v>
      </c>
      <c r="D53" s="515">
        <v>74458</v>
      </c>
      <c r="E53" s="514">
        <f t="shared" si="4"/>
        <v>-143999</v>
      </c>
    </row>
    <row r="54" spans="1:5" s="506" customFormat="1" ht="12.75">
      <c r="A54" s="512"/>
      <c r="B54" s="516" t="s">
        <v>914</v>
      </c>
      <c r="C54" s="517">
        <f>SUM(C48+C49+C52)</f>
        <v>29880167</v>
      </c>
      <c r="D54" s="517">
        <f>SUM(D48+D49+D52)</f>
        <v>29973831</v>
      </c>
      <c r="E54" s="517">
        <f t="shared" si="4"/>
        <v>93664</v>
      </c>
    </row>
    <row r="55" spans="1:5" s="506" customFormat="1" ht="12.75">
      <c r="A55" s="512"/>
      <c r="B55" s="516" t="s">
        <v>843</v>
      </c>
      <c r="C55" s="517">
        <f>SUM(C47+C54)</f>
        <v>38905075</v>
      </c>
      <c r="D55" s="517">
        <f>SUM(D47+D54)</f>
        <v>40046266</v>
      </c>
      <c r="E55" s="517">
        <f t="shared" si="4"/>
        <v>1141191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498</v>
      </c>
      <c r="B57" s="509" t="s">
        <v>915</v>
      </c>
      <c r="C57" s="499"/>
      <c r="D57" s="515"/>
      <c r="E57" s="511"/>
    </row>
    <row r="58" spans="1:5" s="506" customFormat="1" ht="12.75">
      <c r="A58" s="512">
        <v>1</v>
      </c>
      <c r="B58" s="511" t="s">
        <v>776</v>
      </c>
      <c r="C58" s="513">
        <v>23706004</v>
      </c>
      <c r="D58" s="513">
        <v>23900949</v>
      </c>
      <c r="E58" s="514">
        <f aca="true" t="shared" si="5" ref="E58:E66">D58-C58</f>
        <v>194945</v>
      </c>
    </row>
    <row r="59" spans="1:5" s="506" customFormat="1" ht="12.75">
      <c r="A59" s="512">
        <v>2</v>
      </c>
      <c r="B59" s="511" t="s">
        <v>755</v>
      </c>
      <c r="C59" s="513">
        <v>8162612</v>
      </c>
      <c r="D59" s="515">
        <v>8883904</v>
      </c>
      <c r="E59" s="514">
        <f t="shared" si="5"/>
        <v>721292</v>
      </c>
    </row>
    <row r="60" spans="1:5" s="506" customFormat="1" ht="12.75">
      <c r="A60" s="512">
        <v>3</v>
      </c>
      <c r="B60" s="511" t="s">
        <v>901</v>
      </c>
      <c r="C60" s="513">
        <f>C61+C62</f>
        <v>5307006</v>
      </c>
      <c r="D60" s="515">
        <f>D61+D62</f>
        <v>5970509</v>
      </c>
      <c r="E60" s="514">
        <f t="shared" si="5"/>
        <v>663503</v>
      </c>
    </row>
    <row r="61" spans="1:5" s="506" customFormat="1" ht="12.75">
      <c r="A61" s="512">
        <v>4</v>
      </c>
      <c r="B61" s="511" t="s">
        <v>270</v>
      </c>
      <c r="C61" s="513">
        <v>4511925</v>
      </c>
      <c r="D61" s="515">
        <v>5025171</v>
      </c>
      <c r="E61" s="514">
        <f t="shared" si="5"/>
        <v>513246</v>
      </c>
    </row>
    <row r="62" spans="1:5" s="506" customFormat="1" ht="12.75">
      <c r="A62" s="512">
        <v>5</v>
      </c>
      <c r="B62" s="511" t="s">
        <v>868</v>
      </c>
      <c r="C62" s="513">
        <v>795081</v>
      </c>
      <c r="D62" s="515">
        <v>945338</v>
      </c>
      <c r="E62" s="514">
        <f t="shared" si="5"/>
        <v>150257</v>
      </c>
    </row>
    <row r="63" spans="1:5" s="506" customFormat="1" ht="12.75">
      <c r="A63" s="512">
        <v>6</v>
      </c>
      <c r="B63" s="511" t="s">
        <v>574</v>
      </c>
      <c r="C63" s="513">
        <v>158727</v>
      </c>
      <c r="D63" s="515">
        <v>167114</v>
      </c>
      <c r="E63" s="514">
        <f t="shared" si="5"/>
        <v>8387</v>
      </c>
    </row>
    <row r="64" spans="1:5" s="506" customFormat="1" ht="12.75">
      <c r="A64" s="512">
        <v>7</v>
      </c>
      <c r="B64" s="511" t="s">
        <v>883</v>
      </c>
      <c r="C64" s="513">
        <v>212773</v>
      </c>
      <c r="D64" s="515">
        <v>176601</v>
      </c>
      <c r="E64" s="514">
        <f t="shared" si="5"/>
        <v>-36172</v>
      </c>
    </row>
    <row r="65" spans="1:5" s="506" customFormat="1" ht="12.75">
      <c r="A65" s="512"/>
      <c r="B65" s="516" t="s">
        <v>916</v>
      </c>
      <c r="C65" s="517">
        <f>SUM(C59+C60+C63)</f>
        <v>13628345</v>
      </c>
      <c r="D65" s="517">
        <f>SUM(D59+D60+D63)</f>
        <v>15021527</v>
      </c>
      <c r="E65" s="517">
        <f t="shared" si="5"/>
        <v>1393182</v>
      </c>
    </row>
    <row r="66" spans="1:5" s="506" customFormat="1" ht="12.75">
      <c r="A66" s="512"/>
      <c r="B66" s="516" t="s">
        <v>849</v>
      </c>
      <c r="C66" s="517">
        <f>SUM(C58+C65)</f>
        <v>37334349</v>
      </c>
      <c r="D66" s="517">
        <f>SUM(D58+D65)</f>
        <v>38922476</v>
      </c>
      <c r="E66" s="517">
        <f t="shared" si="5"/>
        <v>1588127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510</v>
      </c>
      <c r="B68" s="521" t="s">
        <v>774</v>
      </c>
      <c r="C68" s="511"/>
      <c r="D68" s="511"/>
      <c r="E68" s="511"/>
    </row>
    <row r="69" spans="1:5" s="506" customFormat="1" ht="12.75">
      <c r="A69" s="512">
        <v>1</v>
      </c>
      <c r="B69" s="511" t="s">
        <v>905</v>
      </c>
      <c r="C69" s="514">
        <f aca="true" t="shared" si="6" ref="C69:D75">C47+C58</f>
        <v>32730912</v>
      </c>
      <c r="D69" s="514">
        <f t="shared" si="6"/>
        <v>33973384</v>
      </c>
      <c r="E69" s="514">
        <f aca="true" t="shared" si="7" ref="E69:E77">D69-C69</f>
        <v>1242472</v>
      </c>
    </row>
    <row r="70" spans="1:5" s="506" customFormat="1" ht="12.75">
      <c r="A70" s="512">
        <v>2</v>
      </c>
      <c r="B70" s="511" t="s">
        <v>906</v>
      </c>
      <c r="C70" s="514">
        <f t="shared" si="6"/>
        <v>33210428</v>
      </c>
      <c r="D70" s="514">
        <f t="shared" si="6"/>
        <v>33581550</v>
      </c>
      <c r="E70" s="514">
        <f t="shared" si="7"/>
        <v>371122</v>
      </c>
    </row>
    <row r="71" spans="1:5" s="506" customFormat="1" ht="12.75">
      <c r="A71" s="512">
        <v>3</v>
      </c>
      <c r="B71" s="511" t="s">
        <v>907</v>
      </c>
      <c r="C71" s="514">
        <f t="shared" si="6"/>
        <v>10078533</v>
      </c>
      <c r="D71" s="514">
        <f t="shared" si="6"/>
        <v>11184680</v>
      </c>
      <c r="E71" s="514">
        <f t="shared" si="7"/>
        <v>1106147</v>
      </c>
    </row>
    <row r="72" spans="1:5" s="506" customFormat="1" ht="12.75">
      <c r="A72" s="512">
        <v>4</v>
      </c>
      <c r="B72" s="511" t="s">
        <v>908</v>
      </c>
      <c r="C72" s="514">
        <f t="shared" si="6"/>
        <v>8593760</v>
      </c>
      <c r="D72" s="514">
        <f t="shared" si="6"/>
        <v>9550095</v>
      </c>
      <c r="E72" s="514">
        <f t="shared" si="7"/>
        <v>956335</v>
      </c>
    </row>
    <row r="73" spans="1:5" s="506" customFormat="1" ht="12.75">
      <c r="A73" s="512">
        <v>5</v>
      </c>
      <c r="B73" s="511" t="s">
        <v>909</v>
      </c>
      <c r="C73" s="514">
        <f t="shared" si="6"/>
        <v>1484773</v>
      </c>
      <c r="D73" s="514">
        <f t="shared" si="6"/>
        <v>1634585</v>
      </c>
      <c r="E73" s="514">
        <f t="shared" si="7"/>
        <v>149812</v>
      </c>
    </row>
    <row r="74" spans="1:5" s="506" customFormat="1" ht="12.75">
      <c r="A74" s="512">
        <v>6</v>
      </c>
      <c r="B74" s="511" t="s">
        <v>910</v>
      </c>
      <c r="C74" s="514">
        <f t="shared" si="6"/>
        <v>219551</v>
      </c>
      <c r="D74" s="514">
        <f t="shared" si="6"/>
        <v>229128</v>
      </c>
      <c r="E74" s="514">
        <f t="shared" si="7"/>
        <v>9577</v>
      </c>
    </row>
    <row r="75" spans="1:5" s="506" customFormat="1" ht="12.75">
      <c r="A75" s="512">
        <v>7</v>
      </c>
      <c r="B75" s="511" t="s">
        <v>911</v>
      </c>
      <c r="C75" s="514">
        <f t="shared" si="6"/>
        <v>431230</v>
      </c>
      <c r="D75" s="514">
        <f t="shared" si="6"/>
        <v>251059</v>
      </c>
      <c r="E75" s="514">
        <f t="shared" si="7"/>
        <v>-180171</v>
      </c>
    </row>
    <row r="76" spans="1:5" s="506" customFormat="1" ht="12.75">
      <c r="A76" s="512"/>
      <c r="B76" s="516" t="s">
        <v>917</v>
      </c>
      <c r="C76" s="517">
        <f>SUM(C70+C71+C74)</f>
        <v>43508512</v>
      </c>
      <c r="D76" s="517">
        <f>SUM(D70+D71+D74)</f>
        <v>44995358</v>
      </c>
      <c r="E76" s="517">
        <f t="shared" si="7"/>
        <v>1486846</v>
      </c>
    </row>
    <row r="77" spans="1:5" s="506" customFormat="1" ht="12.75">
      <c r="A77" s="512"/>
      <c r="B77" s="516" t="s">
        <v>851</v>
      </c>
      <c r="C77" s="517">
        <f>SUM(C69+C76)</f>
        <v>76239424</v>
      </c>
      <c r="D77" s="517">
        <f>SUM(D69+D76)</f>
        <v>78968742</v>
      </c>
      <c r="E77" s="517">
        <f t="shared" si="7"/>
        <v>2729318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200</v>
      </c>
      <c r="B79" s="501" t="s">
        <v>918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170</v>
      </c>
      <c r="B81" s="522" t="s">
        <v>919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776</v>
      </c>
      <c r="C83" s="523">
        <f aca="true" t="shared" si="8" ref="C83:D89">IF(C$44=0,0,C14/C$44)</f>
        <v>0.09818432546282548</v>
      </c>
      <c r="D83" s="523">
        <f t="shared" si="8"/>
        <v>0.09889185504177844</v>
      </c>
      <c r="E83" s="523">
        <f aca="true" t="shared" si="9" ref="E83:E91">D83-C83</f>
        <v>0.0007075295789529673</v>
      </c>
    </row>
    <row r="84" spans="1:5" s="506" customFormat="1" ht="12.75">
      <c r="A84" s="512">
        <v>2</v>
      </c>
      <c r="B84" s="511" t="s">
        <v>755</v>
      </c>
      <c r="C84" s="523">
        <f t="shared" si="8"/>
        <v>0.22086742195603284</v>
      </c>
      <c r="D84" s="523">
        <f t="shared" si="8"/>
        <v>0.2190487255457249</v>
      </c>
      <c r="E84" s="523">
        <f t="shared" si="9"/>
        <v>-0.001818696410307935</v>
      </c>
    </row>
    <row r="85" spans="1:5" s="506" customFormat="1" ht="12.75">
      <c r="A85" s="512">
        <v>3</v>
      </c>
      <c r="B85" s="511" t="s">
        <v>901</v>
      </c>
      <c r="C85" s="523">
        <f t="shared" si="8"/>
        <v>0.06465307563568867</v>
      </c>
      <c r="D85" s="523">
        <f t="shared" si="8"/>
        <v>0.062059152618056106</v>
      </c>
      <c r="E85" s="523">
        <f t="shared" si="9"/>
        <v>-0.002593923017632567</v>
      </c>
    </row>
    <row r="86" spans="1:5" s="506" customFormat="1" ht="12.75">
      <c r="A86" s="512">
        <v>4</v>
      </c>
      <c r="B86" s="511" t="s">
        <v>270</v>
      </c>
      <c r="C86" s="523">
        <f t="shared" si="8"/>
        <v>0.04670661963466689</v>
      </c>
      <c r="D86" s="523">
        <f t="shared" si="8"/>
        <v>0.046256529858343984</v>
      </c>
      <c r="E86" s="523">
        <f t="shared" si="9"/>
        <v>-0.0004500897763229095</v>
      </c>
    </row>
    <row r="87" spans="1:5" s="506" customFormat="1" ht="12.75">
      <c r="A87" s="512">
        <v>5</v>
      </c>
      <c r="B87" s="511" t="s">
        <v>868</v>
      </c>
      <c r="C87" s="523">
        <f t="shared" si="8"/>
        <v>0.017946456001021783</v>
      </c>
      <c r="D87" s="523">
        <f t="shared" si="8"/>
        <v>0.015802622759712122</v>
      </c>
      <c r="E87" s="523">
        <f t="shared" si="9"/>
        <v>-0.002143833241309661</v>
      </c>
    </row>
    <row r="88" spans="1:5" s="506" customFormat="1" ht="12.75">
      <c r="A88" s="512">
        <v>6</v>
      </c>
      <c r="B88" s="511" t="s">
        <v>574</v>
      </c>
      <c r="C88" s="523">
        <f t="shared" si="8"/>
        <v>0.0007500250367832246</v>
      </c>
      <c r="D88" s="523">
        <f t="shared" si="8"/>
        <v>0.0009274761167578073</v>
      </c>
      <c r="E88" s="523">
        <f t="shared" si="9"/>
        <v>0.00017745107997458275</v>
      </c>
    </row>
    <row r="89" spans="1:5" s="506" customFormat="1" ht="12.75">
      <c r="A89" s="512">
        <v>7</v>
      </c>
      <c r="B89" s="511" t="s">
        <v>883</v>
      </c>
      <c r="C89" s="523">
        <f t="shared" si="8"/>
        <v>0.008799428244909525</v>
      </c>
      <c r="D89" s="523">
        <f t="shared" si="8"/>
        <v>0.0048443171624757055</v>
      </c>
      <c r="E89" s="523">
        <f t="shared" si="9"/>
        <v>-0.003955111082433819</v>
      </c>
    </row>
    <row r="90" spans="1:5" s="506" customFormat="1" ht="12.75">
      <c r="A90" s="512"/>
      <c r="B90" s="516" t="s">
        <v>920</v>
      </c>
      <c r="C90" s="524">
        <f>SUM(C84+C85+C88)</f>
        <v>0.2862705226285047</v>
      </c>
      <c r="D90" s="524">
        <f>SUM(D84+D85+D88)</f>
        <v>0.28203535428053883</v>
      </c>
      <c r="E90" s="525">
        <f t="shared" si="9"/>
        <v>-0.00423516834796589</v>
      </c>
    </row>
    <row r="91" spans="1:5" s="506" customFormat="1" ht="12.75">
      <c r="A91" s="512"/>
      <c r="B91" s="516" t="s">
        <v>921</v>
      </c>
      <c r="C91" s="524">
        <f>SUM(C83+C90)</f>
        <v>0.3844548480913302</v>
      </c>
      <c r="D91" s="524">
        <f>SUM(D83+D90)</f>
        <v>0.3809272093223173</v>
      </c>
      <c r="E91" s="525">
        <f t="shared" si="9"/>
        <v>-0.0035276387690129085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182</v>
      </c>
      <c r="B93" s="522" t="s">
        <v>922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776</v>
      </c>
      <c r="C95" s="523">
        <f aca="true" t="shared" si="10" ref="C95:D101">IF(C$44=0,0,C25/C$44)</f>
        <v>0.3221607978217627</v>
      </c>
      <c r="D95" s="523">
        <f t="shared" si="10"/>
        <v>0.3099018600804286</v>
      </c>
      <c r="E95" s="523">
        <f aca="true" t="shared" si="11" ref="E95:E103">D95-C95</f>
        <v>-0.01225893774133413</v>
      </c>
    </row>
    <row r="96" spans="1:5" s="506" customFormat="1" ht="12.75">
      <c r="A96" s="512">
        <v>2</v>
      </c>
      <c r="B96" s="511" t="s">
        <v>755</v>
      </c>
      <c r="C96" s="523">
        <f t="shared" si="10"/>
        <v>0.17484319914690824</v>
      </c>
      <c r="D96" s="523">
        <f t="shared" si="10"/>
        <v>0.18045856601100976</v>
      </c>
      <c r="E96" s="523">
        <f t="shared" si="11"/>
        <v>0.005615366864101523</v>
      </c>
    </row>
    <row r="97" spans="1:5" s="506" customFormat="1" ht="12.75">
      <c r="A97" s="512">
        <v>3</v>
      </c>
      <c r="B97" s="511" t="s">
        <v>901</v>
      </c>
      <c r="C97" s="523">
        <f t="shared" si="10"/>
        <v>0.11646810206487206</v>
      </c>
      <c r="D97" s="523">
        <f t="shared" si="10"/>
        <v>0.1265430954810769</v>
      </c>
      <c r="E97" s="523">
        <f t="shared" si="11"/>
        <v>0.010074993416204839</v>
      </c>
    </row>
    <row r="98" spans="1:5" s="506" customFormat="1" ht="12.75">
      <c r="A98" s="512">
        <v>4</v>
      </c>
      <c r="B98" s="511" t="s">
        <v>270</v>
      </c>
      <c r="C98" s="523">
        <f t="shared" si="10"/>
        <v>0.08735812007897176</v>
      </c>
      <c r="D98" s="523">
        <f t="shared" si="10"/>
        <v>0.09064415782509593</v>
      </c>
      <c r="E98" s="523">
        <f t="shared" si="11"/>
        <v>0.003286037746124168</v>
      </c>
    </row>
    <row r="99" spans="1:5" s="506" customFormat="1" ht="12.75">
      <c r="A99" s="512">
        <v>5</v>
      </c>
      <c r="B99" s="511" t="s">
        <v>868</v>
      </c>
      <c r="C99" s="523">
        <f t="shared" si="10"/>
        <v>0.029109981985900306</v>
      </c>
      <c r="D99" s="523">
        <f t="shared" si="10"/>
        <v>0.035898937655980956</v>
      </c>
      <c r="E99" s="523">
        <f t="shared" si="11"/>
        <v>0.00678895567008065</v>
      </c>
    </row>
    <row r="100" spans="1:5" s="506" customFormat="1" ht="12.75">
      <c r="A100" s="512">
        <v>6</v>
      </c>
      <c r="B100" s="511" t="s">
        <v>574</v>
      </c>
      <c r="C100" s="523">
        <f t="shared" si="10"/>
        <v>0.002073052875126763</v>
      </c>
      <c r="D100" s="523">
        <f t="shared" si="10"/>
        <v>0.002169269105167503</v>
      </c>
      <c r="E100" s="523">
        <f t="shared" si="11"/>
        <v>9.621623004074003E-05</v>
      </c>
    </row>
    <row r="101" spans="1:5" s="506" customFormat="1" ht="12.75">
      <c r="A101" s="512">
        <v>7</v>
      </c>
      <c r="B101" s="511" t="s">
        <v>883</v>
      </c>
      <c r="C101" s="523">
        <f t="shared" si="10"/>
        <v>0.01962321870408289</v>
      </c>
      <c r="D101" s="523">
        <f t="shared" si="10"/>
        <v>0.017226145142180377</v>
      </c>
      <c r="E101" s="523">
        <f t="shared" si="11"/>
        <v>-0.0023970735619025137</v>
      </c>
    </row>
    <row r="102" spans="1:5" s="506" customFormat="1" ht="12.75">
      <c r="A102" s="512"/>
      <c r="B102" s="516" t="s">
        <v>923</v>
      </c>
      <c r="C102" s="524">
        <f>SUM(C96+C97+C100)</f>
        <v>0.29338435408690705</v>
      </c>
      <c r="D102" s="524">
        <f>SUM(D96+D97+D100)</f>
        <v>0.30917093059725415</v>
      </c>
      <c r="E102" s="525">
        <f t="shared" si="11"/>
        <v>0.015786576510347095</v>
      </c>
    </row>
    <row r="103" spans="1:5" s="506" customFormat="1" ht="12.75">
      <c r="A103" s="512"/>
      <c r="B103" s="516" t="s">
        <v>924</v>
      </c>
      <c r="C103" s="524">
        <f>SUM(C95+C102)</f>
        <v>0.6155451519086698</v>
      </c>
      <c r="D103" s="524">
        <f>SUM(D95+D102)</f>
        <v>0.6190727906776827</v>
      </c>
      <c r="E103" s="525">
        <f t="shared" si="11"/>
        <v>0.003527638769012964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925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192</v>
      </c>
      <c r="B107" s="522" t="s">
        <v>926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776</v>
      </c>
      <c r="C109" s="523">
        <f aca="true" t="shared" si="12" ref="C109:D115">IF(C$77=0,0,C47/C$77)</f>
        <v>0.11837586810729316</v>
      </c>
      <c r="D109" s="523">
        <f t="shared" si="12"/>
        <v>0.12754964489620463</v>
      </c>
      <c r="E109" s="523">
        <f aca="true" t="shared" si="13" ref="E109:E117">D109-C109</f>
        <v>0.009173776788911472</v>
      </c>
    </row>
    <row r="110" spans="1:5" s="506" customFormat="1" ht="12.75">
      <c r="A110" s="512">
        <v>2</v>
      </c>
      <c r="B110" s="511" t="s">
        <v>755</v>
      </c>
      <c r="C110" s="523">
        <f t="shared" si="12"/>
        <v>0.32854151678795473</v>
      </c>
      <c r="D110" s="523">
        <f t="shared" si="12"/>
        <v>0.31275217731086563</v>
      </c>
      <c r="E110" s="523">
        <f t="shared" si="13"/>
        <v>-0.015789339477089104</v>
      </c>
    </row>
    <row r="111" spans="1:5" s="506" customFormat="1" ht="12.75">
      <c r="A111" s="512">
        <v>3</v>
      </c>
      <c r="B111" s="511" t="s">
        <v>901</v>
      </c>
      <c r="C111" s="523">
        <f t="shared" si="12"/>
        <v>0.06258608407114934</v>
      </c>
      <c r="D111" s="523">
        <f t="shared" si="12"/>
        <v>0.06602829002898387</v>
      </c>
      <c r="E111" s="523">
        <f t="shared" si="13"/>
        <v>0.0034422059578345376</v>
      </c>
    </row>
    <row r="112" spans="1:5" s="506" customFormat="1" ht="12.75">
      <c r="A112" s="512">
        <v>4</v>
      </c>
      <c r="B112" s="511" t="s">
        <v>270</v>
      </c>
      <c r="C112" s="523">
        <f t="shared" si="12"/>
        <v>0.053539688337624375</v>
      </c>
      <c r="D112" s="523">
        <f t="shared" si="12"/>
        <v>0.057300191004688916</v>
      </c>
      <c r="E112" s="523">
        <f t="shared" si="13"/>
        <v>0.0037605026670645414</v>
      </c>
    </row>
    <row r="113" spans="1:5" s="506" customFormat="1" ht="12.75">
      <c r="A113" s="512">
        <v>5</v>
      </c>
      <c r="B113" s="511" t="s">
        <v>868</v>
      </c>
      <c r="C113" s="523">
        <f t="shared" si="12"/>
        <v>0.009046395733524955</v>
      </c>
      <c r="D113" s="523">
        <f t="shared" si="12"/>
        <v>0.008728099024294955</v>
      </c>
      <c r="E113" s="523">
        <f t="shared" si="13"/>
        <v>-0.0003182967092300003</v>
      </c>
    </row>
    <row r="114" spans="1:5" s="506" customFormat="1" ht="12.75">
      <c r="A114" s="512">
        <v>6</v>
      </c>
      <c r="B114" s="511" t="s">
        <v>574</v>
      </c>
      <c r="C114" s="523">
        <f t="shared" si="12"/>
        <v>0.0007978024597877339</v>
      </c>
      <c r="D114" s="523">
        <f t="shared" si="12"/>
        <v>0.0007852980613519208</v>
      </c>
      <c r="E114" s="523">
        <f t="shared" si="13"/>
        <v>-1.2504398435813193E-05</v>
      </c>
    </row>
    <row r="115" spans="1:5" s="506" customFormat="1" ht="12.75">
      <c r="A115" s="512">
        <v>7</v>
      </c>
      <c r="B115" s="511" t="s">
        <v>883</v>
      </c>
      <c r="C115" s="523">
        <f t="shared" si="12"/>
        <v>0.0028654072727516936</v>
      </c>
      <c r="D115" s="523">
        <f t="shared" si="12"/>
        <v>0.0009428793990412054</v>
      </c>
      <c r="E115" s="523">
        <f t="shared" si="13"/>
        <v>-0.0019225278737104881</v>
      </c>
    </row>
    <row r="116" spans="1:5" s="506" customFormat="1" ht="12.75">
      <c r="A116" s="512"/>
      <c r="B116" s="516" t="s">
        <v>920</v>
      </c>
      <c r="C116" s="524">
        <f>SUM(C110+C111+C114)</f>
        <v>0.3919254033188918</v>
      </c>
      <c r="D116" s="524">
        <f>SUM(D110+D111+D114)</f>
        <v>0.3795657654012014</v>
      </c>
      <c r="E116" s="525">
        <f t="shared" si="13"/>
        <v>-0.012359637917690403</v>
      </c>
    </row>
    <row r="117" spans="1:5" s="506" customFormat="1" ht="12.75">
      <c r="A117" s="512"/>
      <c r="B117" s="516" t="s">
        <v>921</v>
      </c>
      <c r="C117" s="524">
        <f>SUM(C109+C116)</f>
        <v>0.510301271426185</v>
      </c>
      <c r="D117" s="524">
        <f>SUM(D109+D116)</f>
        <v>0.507115410297406</v>
      </c>
      <c r="E117" s="525">
        <f t="shared" si="13"/>
        <v>-0.003185861128778944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477</v>
      </c>
      <c r="B119" s="522" t="s">
        <v>927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776</v>
      </c>
      <c r="C121" s="523">
        <f aca="true" t="shared" si="14" ref="C121:D127">IF(C$77=0,0,C58/C$77)</f>
        <v>0.31094154121626105</v>
      </c>
      <c r="D121" s="523">
        <f t="shared" si="14"/>
        <v>0.30266341332878266</v>
      </c>
      <c r="E121" s="523">
        <f aca="true" t="shared" si="15" ref="E121:E129">D121-C121</f>
        <v>-0.008278127887478393</v>
      </c>
    </row>
    <row r="122" spans="1:5" s="506" customFormat="1" ht="12.75">
      <c r="A122" s="512">
        <v>2</v>
      </c>
      <c r="B122" s="511" t="s">
        <v>755</v>
      </c>
      <c r="C122" s="523">
        <f t="shared" si="14"/>
        <v>0.10706549934060362</v>
      </c>
      <c r="D122" s="523">
        <f t="shared" si="14"/>
        <v>0.11249899358913429</v>
      </c>
      <c r="E122" s="523">
        <f t="shared" si="15"/>
        <v>0.005433494248530665</v>
      </c>
    </row>
    <row r="123" spans="1:5" s="506" customFormat="1" ht="12.75">
      <c r="A123" s="512">
        <v>3</v>
      </c>
      <c r="B123" s="511" t="s">
        <v>901</v>
      </c>
      <c r="C123" s="523">
        <f t="shared" si="14"/>
        <v>0.0696097336726993</v>
      </c>
      <c r="D123" s="523">
        <f t="shared" si="14"/>
        <v>0.07560597837559575</v>
      </c>
      <c r="E123" s="523">
        <f t="shared" si="15"/>
        <v>0.005996244702896447</v>
      </c>
    </row>
    <row r="124" spans="1:5" s="506" customFormat="1" ht="12.75">
      <c r="A124" s="512">
        <v>4</v>
      </c>
      <c r="B124" s="511" t="s">
        <v>270</v>
      </c>
      <c r="C124" s="523">
        <f t="shared" si="14"/>
        <v>0.05918099538632401</v>
      </c>
      <c r="D124" s="523">
        <f t="shared" si="14"/>
        <v>0.06363493798596918</v>
      </c>
      <c r="E124" s="523">
        <f t="shared" si="15"/>
        <v>0.004453942599645176</v>
      </c>
    </row>
    <row r="125" spans="1:5" s="506" customFormat="1" ht="12.75">
      <c r="A125" s="512">
        <v>5</v>
      </c>
      <c r="B125" s="511" t="s">
        <v>868</v>
      </c>
      <c r="C125" s="523">
        <f t="shared" si="14"/>
        <v>0.010428738286375302</v>
      </c>
      <c r="D125" s="523">
        <f t="shared" si="14"/>
        <v>0.01197104038962657</v>
      </c>
      <c r="E125" s="523">
        <f t="shared" si="15"/>
        <v>0.0015423021032512675</v>
      </c>
    </row>
    <row r="126" spans="1:5" s="506" customFormat="1" ht="12.75">
      <c r="A126" s="512">
        <v>6</v>
      </c>
      <c r="B126" s="511" t="s">
        <v>574</v>
      </c>
      <c r="C126" s="523">
        <f t="shared" si="14"/>
        <v>0.0020819543442510795</v>
      </c>
      <c r="D126" s="523">
        <f t="shared" si="14"/>
        <v>0.002116204409081254</v>
      </c>
      <c r="E126" s="523">
        <f t="shared" si="15"/>
        <v>3.425006483017464E-05</v>
      </c>
    </row>
    <row r="127" spans="1:5" s="506" customFormat="1" ht="12.75">
      <c r="A127" s="512">
        <v>7</v>
      </c>
      <c r="B127" s="511" t="s">
        <v>883</v>
      </c>
      <c r="C127" s="523">
        <f t="shared" si="14"/>
        <v>0.002790852669610935</v>
      </c>
      <c r="D127" s="523">
        <f t="shared" si="14"/>
        <v>0.002236340551049933</v>
      </c>
      <c r="E127" s="523">
        <f t="shared" si="15"/>
        <v>-0.0005545121185610022</v>
      </c>
    </row>
    <row r="128" spans="1:5" s="506" customFormat="1" ht="12.75">
      <c r="A128" s="512"/>
      <c r="B128" s="516" t="s">
        <v>923</v>
      </c>
      <c r="C128" s="524">
        <f>SUM(C122+C123+C126)</f>
        <v>0.178757187357554</v>
      </c>
      <c r="D128" s="524">
        <f>SUM(D122+D123+D126)</f>
        <v>0.19022117637381128</v>
      </c>
      <c r="E128" s="525">
        <f t="shared" si="15"/>
        <v>0.011463989016257281</v>
      </c>
    </row>
    <row r="129" spans="1:5" s="506" customFormat="1" ht="12.75">
      <c r="A129" s="512"/>
      <c r="B129" s="516" t="s">
        <v>924</v>
      </c>
      <c r="C129" s="524">
        <f>SUM(C121+C128)</f>
        <v>0.489698728573815</v>
      </c>
      <c r="D129" s="524">
        <f>SUM(D121+D128)</f>
        <v>0.49288458970259397</v>
      </c>
      <c r="E129" s="525">
        <f t="shared" si="15"/>
        <v>0.003185861128778944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928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291</v>
      </c>
      <c r="B133" s="501" t="s">
        <v>929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170</v>
      </c>
      <c r="B135" s="509" t="s">
        <v>930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776</v>
      </c>
      <c r="C137" s="530">
        <v>1707</v>
      </c>
      <c r="D137" s="530">
        <v>1601</v>
      </c>
      <c r="E137" s="531">
        <f aca="true" t="shared" si="16" ref="E137:E145">D137-C137</f>
        <v>-106</v>
      </c>
    </row>
    <row r="138" spans="1:5" s="506" customFormat="1" ht="12.75">
      <c r="A138" s="512">
        <v>2</v>
      </c>
      <c r="B138" s="511" t="s">
        <v>755</v>
      </c>
      <c r="C138" s="530">
        <v>2628</v>
      </c>
      <c r="D138" s="530">
        <v>2534</v>
      </c>
      <c r="E138" s="531">
        <f t="shared" si="16"/>
        <v>-94</v>
      </c>
    </row>
    <row r="139" spans="1:5" s="506" customFormat="1" ht="12.75">
      <c r="A139" s="512">
        <v>3</v>
      </c>
      <c r="B139" s="511" t="s">
        <v>901</v>
      </c>
      <c r="C139" s="530">
        <f>C140+C141</f>
        <v>1397</v>
      </c>
      <c r="D139" s="530">
        <f>D140+D141</f>
        <v>1195</v>
      </c>
      <c r="E139" s="531">
        <f t="shared" si="16"/>
        <v>-202</v>
      </c>
    </row>
    <row r="140" spans="1:5" s="506" customFormat="1" ht="12.75">
      <c r="A140" s="512">
        <v>4</v>
      </c>
      <c r="B140" s="511" t="s">
        <v>270</v>
      </c>
      <c r="C140" s="530">
        <v>1144</v>
      </c>
      <c r="D140" s="530">
        <v>961</v>
      </c>
      <c r="E140" s="531">
        <f t="shared" si="16"/>
        <v>-183</v>
      </c>
    </row>
    <row r="141" spans="1:5" s="506" customFormat="1" ht="12.75">
      <c r="A141" s="512">
        <v>5</v>
      </c>
      <c r="B141" s="511" t="s">
        <v>868</v>
      </c>
      <c r="C141" s="530">
        <v>253</v>
      </c>
      <c r="D141" s="530">
        <v>234</v>
      </c>
      <c r="E141" s="531">
        <f t="shared" si="16"/>
        <v>-19</v>
      </c>
    </row>
    <row r="142" spans="1:5" s="506" customFormat="1" ht="12.75">
      <c r="A142" s="512">
        <v>6</v>
      </c>
      <c r="B142" s="511" t="s">
        <v>574</v>
      </c>
      <c r="C142" s="530">
        <v>12</v>
      </c>
      <c r="D142" s="530">
        <v>13</v>
      </c>
      <c r="E142" s="531">
        <f t="shared" si="16"/>
        <v>1</v>
      </c>
    </row>
    <row r="143" spans="1:5" s="506" customFormat="1" ht="12.75">
      <c r="A143" s="512">
        <v>7</v>
      </c>
      <c r="B143" s="511" t="s">
        <v>883</v>
      </c>
      <c r="C143" s="530">
        <v>143</v>
      </c>
      <c r="D143" s="530">
        <v>87</v>
      </c>
      <c r="E143" s="531">
        <f t="shared" si="16"/>
        <v>-56</v>
      </c>
    </row>
    <row r="144" spans="1:5" s="506" customFormat="1" ht="12.75">
      <c r="A144" s="512"/>
      <c r="B144" s="516" t="s">
        <v>931</v>
      </c>
      <c r="C144" s="532">
        <f>SUM(C138+C139+C142)</f>
        <v>4037</v>
      </c>
      <c r="D144" s="532">
        <f>SUM(D138+D139+D142)</f>
        <v>3742</v>
      </c>
      <c r="E144" s="533">
        <f t="shared" si="16"/>
        <v>-295</v>
      </c>
    </row>
    <row r="145" spans="1:5" s="506" customFormat="1" ht="12.75">
      <c r="A145" s="512"/>
      <c r="B145" s="516" t="s">
        <v>845</v>
      </c>
      <c r="C145" s="532">
        <f>SUM(C137+C144)</f>
        <v>5744</v>
      </c>
      <c r="D145" s="532">
        <f>SUM(D137+D144)</f>
        <v>5343</v>
      </c>
      <c r="E145" s="533">
        <f t="shared" si="16"/>
        <v>-401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182</v>
      </c>
      <c r="B147" s="509" t="s">
        <v>295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776</v>
      </c>
      <c r="C149" s="534">
        <v>4780</v>
      </c>
      <c r="D149" s="534">
        <v>4844</v>
      </c>
      <c r="E149" s="531">
        <f aca="true" t="shared" si="17" ref="E149:E157">D149-C149</f>
        <v>64</v>
      </c>
    </row>
    <row r="150" spans="1:5" s="506" customFormat="1" ht="12.75">
      <c r="A150" s="512">
        <v>2</v>
      </c>
      <c r="B150" s="511" t="s">
        <v>755</v>
      </c>
      <c r="C150" s="534">
        <v>12098</v>
      </c>
      <c r="D150" s="534">
        <v>11993</v>
      </c>
      <c r="E150" s="531">
        <f t="shared" si="17"/>
        <v>-105</v>
      </c>
    </row>
    <row r="151" spans="1:5" s="506" customFormat="1" ht="12.75">
      <c r="A151" s="512">
        <v>3</v>
      </c>
      <c r="B151" s="511" t="s">
        <v>901</v>
      </c>
      <c r="C151" s="534">
        <f>C152+C153</f>
        <v>4137</v>
      </c>
      <c r="D151" s="534">
        <f>D152+D153</f>
        <v>3831</v>
      </c>
      <c r="E151" s="531">
        <f t="shared" si="17"/>
        <v>-306</v>
      </c>
    </row>
    <row r="152" spans="1:5" s="506" customFormat="1" ht="12.75">
      <c r="A152" s="512">
        <v>4</v>
      </c>
      <c r="B152" s="511" t="s">
        <v>270</v>
      </c>
      <c r="C152" s="534">
        <v>3249</v>
      </c>
      <c r="D152" s="534">
        <v>3054</v>
      </c>
      <c r="E152" s="531">
        <f t="shared" si="17"/>
        <v>-195</v>
      </c>
    </row>
    <row r="153" spans="1:5" s="506" customFormat="1" ht="12.75">
      <c r="A153" s="512">
        <v>5</v>
      </c>
      <c r="B153" s="511" t="s">
        <v>868</v>
      </c>
      <c r="C153" s="535">
        <v>888</v>
      </c>
      <c r="D153" s="534">
        <v>777</v>
      </c>
      <c r="E153" s="531">
        <f t="shared" si="17"/>
        <v>-111</v>
      </c>
    </row>
    <row r="154" spans="1:5" s="506" customFormat="1" ht="12.75">
      <c r="A154" s="512">
        <v>6</v>
      </c>
      <c r="B154" s="511" t="s">
        <v>574</v>
      </c>
      <c r="C154" s="534">
        <v>35</v>
      </c>
      <c r="D154" s="534">
        <v>28</v>
      </c>
      <c r="E154" s="531">
        <f t="shared" si="17"/>
        <v>-7</v>
      </c>
    </row>
    <row r="155" spans="1:5" s="506" customFormat="1" ht="12.75">
      <c r="A155" s="512">
        <v>7</v>
      </c>
      <c r="B155" s="511" t="s">
        <v>883</v>
      </c>
      <c r="C155" s="534">
        <v>433</v>
      </c>
      <c r="D155" s="534">
        <v>242</v>
      </c>
      <c r="E155" s="531">
        <f t="shared" si="17"/>
        <v>-191</v>
      </c>
    </row>
    <row r="156" spans="1:5" s="506" customFormat="1" ht="12.75">
      <c r="A156" s="512"/>
      <c r="B156" s="516" t="s">
        <v>932</v>
      </c>
      <c r="C156" s="532">
        <f>SUM(C150+C151+C154)</f>
        <v>16270</v>
      </c>
      <c r="D156" s="532">
        <f>SUM(D150+D151+D154)</f>
        <v>15852</v>
      </c>
      <c r="E156" s="533">
        <f t="shared" si="17"/>
        <v>-418</v>
      </c>
    </row>
    <row r="157" spans="1:5" s="506" customFormat="1" ht="12.75">
      <c r="A157" s="512"/>
      <c r="B157" s="516" t="s">
        <v>933</v>
      </c>
      <c r="C157" s="532">
        <f>SUM(C149+C156)</f>
        <v>21050</v>
      </c>
      <c r="D157" s="532">
        <f>SUM(D149+D156)</f>
        <v>20696</v>
      </c>
      <c r="E157" s="533">
        <f t="shared" si="17"/>
        <v>-354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192</v>
      </c>
      <c r="B159" s="509" t="s">
        <v>934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776</v>
      </c>
      <c r="C161" s="536">
        <f aca="true" t="shared" si="18" ref="C161:D169">IF(C137=0,0,C149/C137)</f>
        <v>2.800234329232572</v>
      </c>
      <c r="D161" s="536">
        <f t="shared" si="18"/>
        <v>3.0256089943785134</v>
      </c>
      <c r="E161" s="537">
        <f aca="true" t="shared" si="19" ref="E161:E169">D161-C161</f>
        <v>0.2253746651459414</v>
      </c>
    </row>
    <row r="162" spans="1:5" s="506" customFormat="1" ht="12.75">
      <c r="A162" s="512">
        <v>2</v>
      </c>
      <c r="B162" s="511" t="s">
        <v>755</v>
      </c>
      <c r="C162" s="536">
        <f t="shared" si="18"/>
        <v>4.603500761035008</v>
      </c>
      <c r="D162" s="536">
        <f t="shared" si="18"/>
        <v>4.732833464877664</v>
      </c>
      <c r="E162" s="537">
        <f t="shared" si="19"/>
        <v>0.12933270384265594</v>
      </c>
    </row>
    <row r="163" spans="1:5" s="506" customFormat="1" ht="12.75">
      <c r="A163" s="512">
        <v>3</v>
      </c>
      <c r="B163" s="511" t="s">
        <v>901</v>
      </c>
      <c r="C163" s="536">
        <f t="shared" si="18"/>
        <v>2.9613457408732997</v>
      </c>
      <c r="D163" s="536">
        <f t="shared" si="18"/>
        <v>3.205857740585774</v>
      </c>
      <c r="E163" s="537">
        <f t="shared" si="19"/>
        <v>0.24451199971247428</v>
      </c>
    </row>
    <row r="164" spans="1:5" s="506" customFormat="1" ht="12.75">
      <c r="A164" s="512">
        <v>4</v>
      </c>
      <c r="B164" s="511" t="s">
        <v>270</v>
      </c>
      <c r="C164" s="536">
        <f t="shared" si="18"/>
        <v>2.840034965034965</v>
      </c>
      <c r="D164" s="536">
        <f t="shared" si="18"/>
        <v>3.177939646201873</v>
      </c>
      <c r="E164" s="537">
        <f t="shared" si="19"/>
        <v>0.3379046811669082</v>
      </c>
    </row>
    <row r="165" spans="1:5" s="506" customFormat="1" ht="12.75">
      <c r="A165" s="512">
        <v>5</v>
      </c>
      <c r="B165" s="511" t="s">
        <v>868</v>
      </c>
      <c r="C165" s="536">
        <f t="shared" si="18"/>
        <v>3.5098814229249014</v>
      </c>
      <c r="D165" s="536">
        <f t="shared" si="18"/>
        <v>3.3205128205128207</v>
      </c>
      <c r="E165" s="537">
        <f t="shared" si="19"/>
        <v>-0.18936860241208064</v>
      </c>
    </row>
    <row r="166" spans="1:5" s="506" customFormat="1" ht="12.75">
      <c r="A166" s="512">
        <v>6</v>
      </c>
      <c r="B166" s="511" t="s">
        <v>574</v>
      </c>
      <c r="C166" s="536">
        <f t="shared" si="18"/>
        <v>2.9166666666666665</v>
      </c>
      <c r="D166" s="536">
        <f t="shared" si="18"/>
        <v>2.1538461538461537</v>
      </c>
      <c r="E166" s="537">
        <f t="shared" si="19"/>
        <v>-0.7628205128205128</v>
      </c>
    </row>
    <row r="167" spans="1:5" s="506" customFormat="1" ht="12.75">
      <c r="A167" s="512">
        <v>7</v>
      </c>
      <c r="B167" s="511" t="s">
        <v>883</v>
      </c>
      <c r="C167" s="536">
        <f t="shared" si="18"/>
        <v>3.027972027972028</v>
      </c>
      <c r="D167" s="536">
        <f t="shared" si="18"/>
        <v>2.781609195402299</v>
      </c>
      <c r="E167" s="537">
        <f t="shared" si="19"/>
        <v>-0.24636283256972913</v>
      </c>
    </row>
    <row r="168" spans="1:5" s="506" customFormat="1" ht="12.75">
      <c r="A168" s="512"/>
      <c r="B168" s="516" t="s">
        <v>935</v>
      </c>
      <c r="C168" s="538">
        <f t="shared" si="18"/>
        <v>4.030220460738172</v>
      </c>
      <c r="D168" s="538">
        <f t="shared" si="18"/>
        <v>4.23623730625334</v>
      </c>
      <c r="E168" s="539">
        <f t="shared" si="19"/>
        <v>0.20601684551516808</v>
      </c>
    </row>
    <row r="169" spans="1:5" s="506" customFormat="1" ht="12.75">
      <c r="A169" s="512"/>
      <c r="B169" s="516" t="s">
        <v>869</v>
      </c>
      <c r="C169" s="538">
        <f t="shared" si="18"/>
        <v>3.6646935933147633</v>
      </c>
      <c r="D169" s="538">
        <f t="shared" si="18"/>
        <v>3.8734793187347933</v>
      </c>
      <c r="E169" s="539">
        <f t="shared" si="19"/>
        <v>0.20878572542003004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477</v>
      </c>
      <c r="B171" s="509" t="s">
        <v>936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776</v>
      </c>
      <c r="C173" s="541">
        <f aca="true" t="shared" si="20" ref="C173:D181">IF(C137=0,0,C203/C137)</f>
        <v>0.9449</v>
      </c>
      <c r="D173" s="541">
        <f t="shared" si="20"/>
        <v>0.9419999999999998</v>
      </c>
      <c r="E173" s="542">
        <f aca="true" t="shared" si="21" ref="E173:E181">D173-C173</f>
        <v>-0.0029000000000001247</v>
      </c>
    </row>
    <row r="174" spans="1:5" s="506" customFormat="1" ht="12.75">
      <c r="A174" s="512">
        <v>2</v>
      </c>
      <c r="B174" s="511" t="s">
        <v>755</v>
      </c>
      <c r="C174" s="541">
        <f t="shared" si="20"/>
        <v>1.169</v>
      </c>
      <c r="D174" s="541">
        <f t="shared" si="20"/>
        <v>1.1832</v>
      </c>
      <c r="E174" s="542">
        <f t="shared" si="21"/>
        <v>0.01419999999999999</v>
      </c>
    </row>
    <row r="175" spans="1:5" s="506" customFormat="1" ht="12.75">
      <c r="A175" s="512">
        <v>0</v>
      </c>
      <c r="B175" s="511" t="s">
        <v>901</v>
      </c>
      <c r="C175" s="541">
        <f t="shared" si="20"/>
        <v>0.800269842519685</v>
      </c>
      <c r="D175" s="541">
        <f t="shared" si="20"/>
        <v>0.7795138577405858</v>
      </c>
      <c r="E175" s="542">
        <f t="shared" si="21"/>
        <v>-0.020755984779099235</v>
      </c>
    </row>
    <row r="176" spans="1:5" s="506" customFormat="1" ht="12.75">
      <c r="A176" s="512">
        <v>4</v>
      </c>
      <c r="B176" s="511" t="s">
        <v>270</v>
      </c>
      <c r="C176" s="541">
        <f t="shared" si="20"/>
        <v>0.7563</v>
      </c>
      <c r="D176" s="541">
        <f t="shared" si="20"/>
        <v>0.7489</v>
      </c>
      <c r="E176" s="542">
        <f t="shared" si="21"/>
        <v>-0.007399999999999962</v>
      </c>
    </row>
    <row r="177" spans="1:5" s="506" customFormat="1" ht="12.75">
      <c r="A177" s="512">
        <v>5</v>
      </c>
      <c r="B177" s="511" t="s">
        <v>868</v>
      </c>
      <c r="C177" s="541">
        <f t="shared" si="20"/>
        <v>0.99909</v>
      </c>
      <c r="D177" s="541">
        <f t="shared" si="20"/>
        <v>0.90524</v>
      </c>
      <c r="E177" s="542">
        <f t="shared" si="21"/>
        <v>-0.09384999999999999</v>
      </c>
    </row>
    <row r="178" spans="1:5" s="506" customFormat="1" ht="12.75">
      <c r="A178" s="512">
        <v>6</v>
      </c>
      <c r="B178" s="511" t="s">
        <v>574</v>
      </c>
      <c r="C178" s="541">
        <f t="shared" si="20"/>
        <v>1.0473</v>
      </c>
      <c r="D178" s="541">
        <f t="shared" si="20"/>
        <v>0.955</v>
      </c>
      <c r="E178" s="542">
        <f t="shared" si="21"/>
        <v>-0.09229999999999994</v>
      </c>
    </row>
    <row r="179" spans="1:5" s="506" customFormat="1" ht="12.75">
      <c r="A179" s="512">
        <v>7</v>
      </c>
      <c r="B179" s="511" t="s">
        <v>883</v>
      </c>
      <c r="C179" s="541">
        <f t="shared" si="20"/>
        <v>1.051</v>
      </c>
      <c r="D179" s="541">
        <f t="shared" si="20"/>
        <v>0.836</v>
      </c>
      <c r="E179" s="542">
        <f t="shared" si="21"/>
        <v>-0.21499999999999997</v>
      </c>
    </row>
    <row r="180" spans="1:5" s="506" customFormat="1" ht="12.75">
      <c r="A180" s="512"/>
      <c r="B180" s="516" t="s">
        <v>937</v>
      </c>
      <c r="C180" s="543">
        <f t="shared" si="20"/>
        <v>1.0410395268763935</v>
      </c>
      <c r="D180" s="543">
        <f t="shared" si="20"/>
        <v>1.0534908765366113</v>
      </c>
      <c r="E180" s="544">
        <f t="shared" si="21"/>
        <v>0.01245134966021788</v>
      </c>
    </row>
    <row r="181" spans="1:5" s="506" customFormat="1" ht="12.75">
      <c r="A181" s="512"/>
      <c r="B181" s="516" t="s">
        <v>846</v>
      </c>
      <c r="C181" s="543">
        <f t="shared" si="20"/>
        <v>1.012468814415042</v>
      </c>
      <c r="D181" s="543">
        <f t="shared" si="20"/>
        <v>1.0200832603406327</v>
      </c>
      <c r="E181" s="544">
        <f t="shared" si="21"/>
        <v>0.007614445925590685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498</v>
      </c>
      <c r="B183" s="509" t="s">
        <v>938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939</v>
      </c>
      <c r="C185" s="513">
        <v>72150715</v>
      </c>
      <c r="D185" s="513">
        <v>68498602</v>
      </c>
      <c r="E185" s="514">
        <f>D185-C185</f>
        <v>-3652113</v>
      </c>
    </row>
    <row r="186" spans="1:5" s="506" customFormat="1" ht="25.5">
      <c r="A186" s="512">
        <v>2</v>
      </c>
      <c r="B186" s="511" t="s">
        <v>940</v>
      </c>
      <c r="C186" s="513">
        <v>32299682</v>
      </c>
      <c r="D186" s="513">
        <v>32953588</v>
      </c>
      <c r="E186" s="514">
        <f>D186-C186</f>
        <v>653906</v>
      </c>
    </row>
    <row r="187" spans="1:5" s="506" customFormat="1" ht="12.75">
      <c r="A187" s="512"/>
      <c r="B187" s="511" t="s">
        <v>788</v>
      </c>
      <c r="C187" s="510"/>
      <c r="D187" s="510"/>
      <c r="E187" s="511"/>
    </row>
    <row r="188" spans="1:5" s="506" customFormat="1" ht="12.75">
      <c r="A188" s="512">
        <v>3</v>
      </c>
      <c r="B188" s="511" t="s">
        <v>872</v>
      </c>
      <c r="C188" s="546">
        <f>+C185-C186</f>
        <v>39851033</v>
      </c>
      <c r="D188" s="546">
        <f>+D185-D186</f>
        <v>35545014</v>
      </c>
      <c r="E188" s="514">
        <f aca="true" t="shared" si="22" ref="E188:E197">D188-C188</f>
        <v>-4306019</v>
      </c>
    </row>
    <row r="189" spans="1:5" s="506" customFormat="1" ht="12.75">
      <c r="A189" s="512">
        <v>4</v>
      </c>
      <c r="B189" s="511" t="s">
        <v>790</v>
      </c>
      <c r="C189" s="547">
        <f>IF(C185=0,0,+C188/C185)</f>
        <v>0.5523303961714031</v>
      </c>
      <c r="D189" s="547">
        <f>IF(D185=0,0,+D188/D185)</f>
        <v>0.5189159042983096</v>
      </c>
      <c r="E189" s="523">
        <f t="shared" si="22"/>
        <v>-0.03341449187309353</v>
      </c>
    </row>
    <row r="190" spans="1:5" s="506" customFormat="1" ht="12.75">
      <c r="A190" s="512">
        <v>5</v>
      </c>
      <c r="B190" s="511" t="s">
        <v>887</v>
      </c>
      <c r="C190" s="513">
        <v>3588691</v>
      </c>
      <c r="D190" s="513">
        <v>3496497</v>
      </c>
      <c r="E190" s="546">
        <f t="shared" si="22"/>
        <v>-92194</v>
      </c>
    </row>
    <row r="191" spans="1:5" s="506" customFormat="1" ht="12.75">
      <c r="A191" s="512">
        <v>6</v>
      </c>
      <c r="B191" s="511" t="s">
        <v>873</v>
      </c>
      <c r="C191" s="513">
        <v>2042677</v>
      </c>
      <c r="D191" s="513">
        <v>1926412</v>
      </c>
      <c r="E191" s="546">
        <f t="shared" si="22"/>
        <v>-116265</v>
      </c>
    </row>
    <row r="192" spans="1:5" ht="29.25">
      <c r="A192" s="512">
        <v>7</v>
      </c>
      <c r="B192" s="548" t="s">
        <v>941</v>
      </c>
      <c r="C192" s="513">
        <v>522386</v>
      </c>
      <c r="D192" s="513">
        <v>494828</v>
      </c>
      <c r="E192" s="546">
        <f t="shared" si="22"/>
        <v>-27558</v>
      </c>
    </row>
    <row r="193" spans="1:5" s="506" customFormat="1" ht="12.75">
      <c r="A193" s="512">
        <v>8</v>
      </c>
      <c r="B193" s="511" t="s">
        <v>942</v>
      </c>
      <c r="C193" s="513">
        <v>2586401</v>
      </c>
      <c r="D193" s="513">
        <v>2094259</v>
      </c>
      <c r="E193" s="546">
        <f t="shared" si="22"/>
        <v>-492142</v>
      </c>
    </row>
    <row r="194" spans="1:5" s="506" customFormat="1" ht="12.75">
      <c r="A194" s="512">
        <v>9</v>
      </c>
      <c r="B194" s="511" t="s">
        <v>943</v>
      </c>
      <c r="C194" s="513">
        <v>4249703</v>
      </c>
      <c r="D194" s="513">
        <v>4141249</v>
      </c>
      <c r="E194" s="546">
        <f t="shared" si="22"/>
        <v>-108454</v>
      </c>
    </row>
    <row r="195" spans="1:5" s="506" customFormat="1" ht="12.75">
      <c r="A195" s="512">
        <v>10</v>
      </c>
      <c r="B195" s="511" t="s">
        <v>944</v>
      </c>
      <c r="C195" s="513">
        <f>+C193+C194</f>
        <v>6836104</v>
      </c>
      <c r="D195" s="513">
        <f>+D193+D194</f>
        <v>6235508</v>
      </c>
      <c r="E195" s="549">
        <f t="shared" si="22"/>
        <v>-600596</v>
      </c>
    </row>
    <row r="196" spans="1:5" s="506" customFormat="1" ht="12.75">
      <c r="A196" s="512">
        <v>11</v>
      </c>
      <c r="B196" s="511" t="s">
        <v>945</v>
      </c>
      <c r="C196" s="513">
        <v>72150715</v>
      </c>
      <c r="D196" s="513">
        <v>68498602</v>
      </c>
      <c r="E196" s="546">
        <f t="shared" si="22"/>
        <v>-3652113</v>
      </c>
    </row>
    <row r="197" spans="1:5" s="506" customFormat="1" ht="12.75">
      <c r="A197" s="512">
        <v>12</v>
      </c>
      <c r="B197" s="511" t="s">
        <v>830</v>
      </c>
      <c r="C197" s="513">
        <v>74979824</v>
      </c>
      <c r="D197" s="513">
        <v>85401157</v>
      </c>
      <c r="E197" s="546">
        <f t="shared" si="22"/>
        <v>10421333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300</v>
      </c>
      <c r="B199" s="550" t="s">
        <v>946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170</v>
      </c>
      <c r="B201" s="509" t="s">
        <v>947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776</v>
      </c>
      <c r="C203" s="553">
        <v>1612.9442999999999</v>
      </c>
      <c r="D203" s="553">
        <v>1508.1419999999998</v>
      </c>
      <c r="E203" s="554">
        <f aca="true" t="shared" si="23" ref="E203:E211">D203-C203</f>
        <v>-104.80230000000006</v>
      </c>
    </row>
    <row r="204" spans="1:5" s="506" customFormat="1" ht="12.75">
      <c r="A204" s="512">
        <v>2</v>
      </c>
      <c r="B204" s="511" t="s">
        <v>755</v>
      </c>
      <c r="C204" s="553">
        <v>3072.132</v>
      </c>
      <c r="D204" s="553">
        <v>2998.2288</v>
      </c>
      <c r="E204" s="554">
        <f t="shared" si="23"/>
        <v>-73.9032000000002</v>
      </c>
    </row>
    <row r="205" spans="1:5" s="506" customFormat="1" ht="12.75">
      <c r="A205" s="512">
        <v>3</v>
      </c>
      <c r="B205" s="511" t="s">
        <v>901</v>
      </c>
      <c r="C205" s="553">
        <f>C206+C207</f>
        <v>1117.97697</v>
      </c>
      <c r="D205" s="553">
        <f>D206+D207</f>
        <v>931.5190600000001</v>
      </c>
      <c r="E205" s="554">
        <f t="shared" si="23"/>
        <v>-186.45790999999986</v>
      </c>
    </row>
    <row r="206" spans="1:5" s="506" customFormat="1" ht="12.75">
      <c r="A206" s="512">
        <v>4</v>
      </c>
      <c r="B206" s="511" t="s">
        <v>270</v>
      </c>
      <c r="C206" s="553">
        <v>865.2072</v>
      </c>
      <c r="D206" s="553">
        <v>719.6929</v>
      </c>
      <c r="E206" s="554">
        <f t="shared" si="23"/>
        <v>-145.51429999999993</v>
      </c>
    </row>
    <row r="207" spans="1:5" s="506" customFormat="1" ht="12.75">
      <c r="A207" s="512">
        <v>5</v>
      </c>
      <c r="B207" s="511" t="s">
        <v>868</v>
      </c>
      <c r="C207" s="553">
        <v>252.76977000000002</v>
      </c>
      <c r="D207" s="553">
        <v>211.82616000000002</v>
      </c>
      <c r="E207" s="554">
        <f t="shared" si="23"/>
        <v>-40.94361000000001</v>
      </c>
    </row>
    <row r="208" spans="1:5" s="506" customFormat="1" ht="12.75">
      <c r="A208" s="512">
        <v>6</v>
      </c>
      <c r="B208" s="511" t="s">
        <v>574</v>
      </c>
      <c r="C208" s="553">
        <v>12.567599999999999</v>
      </c>
      <c r="D208" s="553">
        <v>12.415</v>
      </c>
      <c r="E208" s="554">
        <f t="shared" si="23"/>
        <v>-0.15259999999999962</v>
      </c>
    </row>
    <row r="209" spans="1:5" s="506" customFormat="1" ht="12.75">
      <c r="A209" s="512">
        <v>7</v>
      </c>
      <c r="B209" s="511" t="s">
        <v>883</v>
      </c>
      <c r="C209" s="553">
        <v>150.29299999999998</v>
      </c>
      <c r="D209" s="553">
        <v>72.732</v>
      </c>
      <c r="E209" s="554">
        <f t="shared" si="23"/>
        <v>-77.56099999999998</v>
      </c>
    </row>
    <row r="210" spans="1:5" s="506" customFormat="1" ht="12.75">
      <c r="A210" s="512"/>
      <c r="B210" s="516" t="s">
        <v>948</v>
      </c>
      <c r="C210" s="555">
        <f>C204+C205+C208</f>
        <v>4202.6765700000005</v>
      </c>
      <c r="D210" s="555">
        <f>D204+D205+D208</f>
        <v>3942.16286</v>
      </c>
      <c r="E210" s="556">
        <f t="shared" si="23"/>
        <v>-260.51371000000063</v>
      </c>
    </row>
    <row r="211" spans="1:5" s="506" customFormat="1" ht="12.75">
      <c r="A211" s="512"/>
      <c r="B211" s="516" t="s">
        <v>847</v>
      </c>
      <c r="C211" s="555">
        <f>C210+C203</f>
        <v>5815.620870000001</v>
      </c>
      <c r="D211" s="555">
        <f>D210+D203</f>
        <v>5450.30486</v>
      </c>
      <c r="E211" s="556">
        <f t="shared" si="23"/>
        <v>-365.31601000000046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182</v>
      </c>
      <c r="B213" s="509" t="s">
        <v>949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776</v>
      </c>
      <c r="C215" s="557">
        <f>IF(C14*C137=0,0,C25/C14*C137)</f>
        <v>5600.980393657262</v>
      </c>
      <c r="D215" s="557">
        <f>IF(D14*D137=0,0,D25/D14*D137)</f>
        <v>5017.125806560697</v>
      </c>
      <c r="E215" s="557">
        <f aca="true" t="shared" si="24" ref="E215:E223">D215-C215</f>
        <v>-583.8545870965645</v>
      </c>
    </row>
    <row r="216" spans="1:5" s="506" customFormat="1" ht="12.75">
      <c r="A216" s="512">
        <v>2</v>
      </c>
      <c r="B216" s="511" t="s">
        <v>755</v>
      </c>
      <c r="C216" s="557">
        <f>IF(C15*C138=0,0,C26/C15*C138)</f>
        <v>2080.3789136885166</v>
      </c>
      <c r="D216" s="557">
        <f>IF(D15*D138=0,0,D26/D15*D138)</f>
        <v>2087.581222546051</v>
      </c>
      <c r="E216" s="557">
        <f t="shared" si="24"/>
        <v>7.202308857534263</v>
      </c>
    </row>
    <row r="217" spans="1:5" s="506" customFormat="1" ht="12.75">
      <c r="A217" s="512">
        <v>3</v>
      </c>
      <c r="B217" s="511" t="s">
        <v>901</v>
      </c>
      <c r="C217" s="557">
        <f>C218+C219</f>
        <v>2550.0677573586104</v>
      </c>
      <c r="D217" s="557">
        <f>D218+D219</f>
        <v>2414.752301217348</v>
      </c>
      <c r="E217" s="557">
        <f t="shared" si="24"/>
        <v>-135.31545614126253</v>
      </c>
    </row>
    <row r="218" spans="1:5" s="506" customFormat="1" ht="12.75">
      <c r="A218" s="512">
        <v>4</v>
      </c>
      <c r="B218" s="511" t="s">
        <v>270</v>
      </c>
      <c r="C218" s="557">
        <f aca="true" t="shared" si="25" ref="C218:D221">IF(C17*C140=0,0,C28/C17*C140)</f>
        <v>2139.690051475429</v>
      </c>
      <c r="D218" s="557">
        <f t="shared" si="25"/>
        <v>1883.1727312161102</v>
      </c>
      <c r="E218" s="557">
        <f t="shared" si="24"/>
        <v>-256.5173202593187</v>
      </c>
    </row>
    <row r="219" spans="1:5" s="506" customFormat="1" ht="12.75">
      <c r="A219" s="512">
        <v>5</v>
      </c>
      <c r="B219" s="511" t="s">
        <v>868</v>
      </c>
      <c r="C219" s="557">
        <f t="shared" si="25"/>
        <v>410.37770588318165</v>
      </c>
      <c r="D219" s="557">
        <f t="shared" si="25"/>
        <v>531.5795700012378</v>
      </c>
      <c r="E219" s="557">
        <f t="shared" si="24"/>
        <v>121.20186411805616</v>
      </c>
    </row>
    <row r="220" spans="1:5" s="506" customFormat="1" ht="12.75">
      <c r="A220" s="512">
        <v>6</v>
      </c>
      <c r="B220" s="511" t="s">
        <v>574</v>
      </c>
      <c r="C220" s="557">
        <f t="shared" si="25"/>
        <v>33.1677387840469</v>
      </c>
      <c r="D220" s="557">
        <f t="shared" si="25"/>
        <v>30.405632940456147</v>
      </c>
      <c r="E220" s="557">
        <f t="shared" si="24"/>
        <v>-2.7621058435907493</v>
      </c>
    </row>
    <row r="221" spans="1:5" s="506" customFormat="1" ht="12.75">
      <c r="A221" s="512">
        <v>7</v>
      </c>
      <c r="B221" s="511" t="s">
        <v>883</v>
      </c>
      <c r="C221" s="557">
        <f t="shared" si="25"/>
        <v>318.89802343773823</v>
      </c>
      <c r="D221" s="557">
        <f t="shared" si="25"/>
        <v>309.36756969145057</v>
      </c>
      <c r="E221" s="557">
        <f t="shared" si="24"/>
        <v>-9.530453746287662</v>
      </c>
    </row>
    <row r="222" spans="1:5" s="506" customFormat="1" ht="12.75">
      <c r="A222" s="512"/>
      <c r="B222" s="516" t="s">
        <v>950</v>
      </c>
      <c r="C222" s="558">
        <f>C216+C218+C219+C220</f>
        <v>4663.614409831175</v>
      </c>
      <c r="D222" s="558">
        <f>D216+D218+D219+D220</f>
        <v>4532.739156703856</v>
      </c>
      <c r="E222" s="558">
        <f t="shared" si="24"/>
        <v>-130.8752531273194</v>
      </c>
    </row>
    <row r="223" spans="1:5" s="506" customFormat="1" ht="12.75">
      <c r="A223" s="512"/>
      <c r="B223" s="516" t="s">
        <v>951</v>
      </c>
      <c r="C223" s="558">
        <f>C215+C222</f>
        <v>10264.594803488437</v>
      </c>
      <c r="D223" s="558">
        <f>D215+D222</f>
        <v>9549.864963264554</v>
      </c>
      <c r="E223" s="558">
        <f t="shared" si="24"/>
        <v>-714.729840223883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192</v>
      </c>
      <c r="B225" s="509" t="s">
        <v>952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776</v>
      </c>
      <c r="C227" s="560">
        <f aca="true" t="shared" si="26" ref="C227:D235">IF(C203=0,0,C47/C203)</f>
        <v>5595.300470078229</v>
      </c>
      <c r="D227" s="560">
        <f t="shared" si="26"/>
        <v>6678.704657784215</v>
      </c>
      <c r="E227" s="560">
        <f aca="true" t="shared" si="27" ref="E227:E235">D227-C227</f>
        <v>1083.4041877059854</v>
      </c>
    </row>
    <row r="228" spans="1:5" s="506" customFormat="1" ht="12.75">
      <c r="A228" s="512">
        <v>2</v>
      </c>
      <c r="B228" s="511" t="s">
        <v>755</v>
      </c>
      <c r="C228" s="560">
        <f t="shared" si="26"/>
        <v>8153.235603157676</v>
      </c>
      <c r="D228" s="560">
        <f t="shared" si="26"/>
        <v>8237.412034731973</v>
      </c>
      <c r="E228" s="560">
        <f t="shared" si="27"/>
        <v>84.17643157429666</v>
      </c>
    </row>
    <row r="229" spans="1:5" s="506" customFormat="1" ht="12.75">
      <c r="A229" s="512">
        <v>3</v>
      </c>
      <c r="B229" s="511" t="s">
        <v>901</v>
      </c>
      <c r="C229" s="560">
        <f t="shared" si="26"/>
        <v>4268.001155694647</v>
      </c>
      <c r="D229" s="560">
        <f t="shared" si="26"/>
        <v>5597.492551574844</v>
      </c>
      <c r="E229" s="560">
        <f t="shared" si="27"/>
        <v>1329.4913958801963</v>
      </c>
    </row>
    <row r="230" spans="1:5" s="506" customFormat="1" ht="12.75">
      <c r="A230" s="512">
        <v>4</v>
      </c>
      <c r="B230" s="511" t="s">
        <v>270</v>
      </c>
      <c r="C230" s="560">
        <f t="shared" si="26"/>
        <v>4717.7543136488</v>
      </c>
      <c r="D230" s="560">
        <f t="shared" si="26"/>
        <v>6287.298374070385</v>
      </c>
      <c r="E230" s="560">
        <f t="shared" si="27"/>
        <v>1569.5440604215846</v>
      </c>
    </row>
    <row r="231" spans="1:5" s="506" customFormat="1" ht="12.75">
      <c r="A231" s="512">
        <v>5</v>
      </c>
      <c r="B231" s="511" t="s">
        <v>868</v>
      </c>
      <c r="C231" s="560">
        <f t="shared" si="26"/>
        <v>2728.5383058266816</v>
      </c>
      <c r="D231" s="560">
        <f t="shared" si="26"/>
        <v>3253.8332375944497</v>
      </c>
      <c r="E231" s="560">
        <f t="shared" si="27"/>
        <v>525.294931767768</v>
      </c>
    </row>
    <row r="232" spans="1:5" s="506" customFormat="1" ht="12.75">
      <c r="A232" s="512">
        <v>6</v>
      </c>
      <c r="B232" s="511" t="s">
        <v>574</v>
      </c>
      <c r="C232" s="560">
        <f t="shared" si="26"/>
        <v>4839.7466501161725</v>
      </c>
      <c r="D232" s="560">
        <f t="shared" si="26"/>
        <v>4995.086588803867</v>
      </c>
      <c r="E232" s="560">
        <f t="shared" si="27"/>
        <v>155.33993868769448</v>
      </c>
    </row>
    <row r="233" spans="1:5" s="506" customFormat="1" ht="12.75">
      <c r="A233" s="512">
        <v>7</v>
      </c>
      <c r="B233" s="511" t="s">
        <v>883</v>
      </c>
      <c r="C233" s="560">
        <f t="shared" si="26"/>
        <v>1453.5407504008838</v>
      </c>
      <c r="D233" s="560">
        <f t="shared" si="26"/>
        <v>1023.7309574877632</v>
      </c>
      <c r="E233" s="560">
        <f t="shared" si="27"/>
        <v>-429.80979291312053</v>
      </c>
    </row>
    <row r="234" spans="1:5" ht="12.75">
      <c r="A234" s="512"/>
      <c r="B234" s="516" t="s">
        <v>953</v>
      </c>
      <c r="C234" s="561">
        <f t="shared" si="26"/>
        <v>7109.794556472376</v>
      </c>
      <c r="D234" s="561">
        <f t="shared" si="26"/>
        <v>7603.397440561347</v>
      </c>
      <c r="E234" s="561">
        <f t="shared" si="27"/>
        <v>493.6028840889712</v>
      </c>
    </row>
    <row r="235" spans="1:5" s="506" customFormat="1" ht="12.75">
      <c r="A235" s="512"/>
      <c r="B235" s="516" t="s">
        <v>954</v>
      </c>
      <c r="C235" s="561">
        <f t="shared" si="26"/>
        <v>6689.754347758917</v>
      </c>
      <c r="D235" s="561">
        <f t="shared" si="26"/>
        <v>7347.52771242231</v>
      </c>
      <c r="E235" s="561">
        <f t="shared" si="27"/>
        <v>657.7733646633933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477</v>
      </c>
      <c r="B237" s="509" t="s">
        <v>955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776</v>
      </c>
      <c r="C239" s="560">
        <f aca="true" t="shared" si="28" ref="C239:D247">IF(C215=0,0,C58/C215)</f>
        <v>4232.474019520846</v>
      </c>
      <c r="D239" s="560">
        <f t="shared" si="28"/>
        <v>4763.872767301485</v>
      </c>
      <c r="E239" s="562">
        <f aca="true" t="shared" si="29" ref="E239:E247">D239-C239</f>
        <v>531.3987477806386</v>
      </c>
    </row>
    <row r="240" spans="1:5" s="506" customFormat="1" ht="12.75">
      <c r="A240" s="512">
        <v>2</v>
      </c>
      <c r="B240" s="511" t="s">
        <v>755</v>
      </c>
      <c r="C240" s="560">
        <f t="shared" si="28"/>
        <v>3923.6179266630184</v>
      </c>
      <c r="D240" s="560">
        <f t="shared" si="28"/>
        <v>4255.596814175707</v>
      </c>
      <c r="E240" s="562">
        <f t="shared" si="29"/>
        <v>331.9788875126883</v>
      </c>
    </row>
    <row r="241" spans="1:5" ht="12.75">
      <c r="A241" s="512">
        <v>3</v>
      </c>
      <c r="B241" s="511" t="s">
        <v>901</v>
      </c>
      <c r="C241" s="560">
        <f t="shared" si="28"/>
        <v>2081.123524928239</v>
      </c>
      <c r="D241" s="560">
        <f t="shared" si="28"/>
        <v>2472.5140533006597</v>
      </c>
      <c r="E241" s="562">
        <f t="shared" si="29"/>
        <v>391.3905283724207</v>
      </c>
    </row>
    <row r="242" spans="1:5" ht="12.75">
      <c r="A242" s="512">
        <v>4</v>
      </c>
      <c r="B242" s="511" t="s">
        <v>270</v>
      </c>
      <c r="C242" s="560">
        <f t="shared" si="28"/>
        <v>2108.681580721839</v>
      </c>
      <c r="D242" s="560">
        <f t="shared" si="28"/>
        <v>2668.459943530968</v>
      </c>
      <c r="E242" s="562">
        <f t="shared" si="29"/>
        <v>559.7783628091288</v>
      </c>
    </row>
    <row r="243" spans="1:5" ht="12.75">
      <c r="A243" s="512">
        <v>5</v>
      </c>
      <c r="B243" s="511" t="s">
        <v>868</v>
      </c>
      <c r="C243" s="560">
        <f t="shared" si="28"/>
        <v>1937.4371185415423</v>
      </c>
      <c r="D243" s="560">
        <f t="shared" si="28"/>
        <v>1778.3565308911302</v>
      </c>
      <c r="E243" s="562">
        <f t="shared" si="29"/>
        <v>-159.0805876504121</v>
      </c>
    </row>
    <row r="244" spans="1:5" ht="12.75">
      <c r="A244" s="512">
        <v>6</v>
      </c>
      <c r="B244" s="511" t="s">
        <v>574</v>
      </c>
      <c r="C244" s="560">
        <f t="shared" si="28"/>
        <v>4785.583998760413</v>
      </c>
      <c r="D244" s="560">
        <f t="shared" si="28"/>
        <v>5496.152648006443</v>
      </c>
      <c r="E244" s="562">
        <f t="shared" si="29"/>
        <v>710.56864924603</v>
      </c>
    </row>
    <row r="245" spans="1:5" ht="12.75">
      <c r="A245" s="512">
        <v>7</v>
      </c>
      <c r="B245" s="511" t="s">
        <v>883</v>
      </c>
      <c r="C245" s="560">
        <f t="shared" si="28"/>
        <v>667.2132919053413</v>
      </c>
      <c r="D245" s="560">
        <f t="shared" si="28"/>
        <v>570.8452252320241</v>
      </c>
      <c r="E245" s="562">
        <f t="shared" si="29"/>
        <v>-96.36806667331723</v>
      </c>
    </row>
    <row r="246" spans="1:5" ht="25.5">
      <c r="A246" s="512"/>
      <c r="B246" s="516" t="s">
        <v>956</v>
      </c>
      <c r="C246" s="561">
        <f t="shared" si="28"/>
        <v>2922.270968901426</v>
      </c>
      <c r="D246" s="561">
        <f t="shared" si="28"/>
        <v>3314.0064937960037</v>
      </c>
      <c r="E246" s="563">
        <f t="shared" si="29"/>
        <v>391.7355248945778</v>
      </c>
    </row>
    <row r="247" spans="1:5" ht="12.75">
      <c r="A247" s="512"/>
      <c r="B247" s="516" t="s">
        <v>957</v>
      </c>
      <c r="C247" s="561">
        <f t="shared" si="28"/>
        <v>3637.196568861332</v>
      </c>
      <c r="D247" s="561">
        <f t="shared" si="28"/>
        <v>4075.7095675931555</v>
      </c>
      <c r="E247" s="563">
        <f t="shared" si="29"/>
        <v>438.5129987318237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885</v>
      </c>
      <c r="B249" s="550" t="s">
        <v>882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270</v>
      </c>
      <c r="C251" s="546">
        <f>((IF((IF(C15=0,0,C26/C15)*C138)=0,0,C59/(IF(C15=0,0,C26/C15)*C138)))-(IF((IF(C17=0,0,C28/C17)*C140)=0,0,C61/(IF(C17=0,0,C28/C17)*C140))))*(IF(C17=0,0,C28/C17)*C140)</f>
        <v>3883401.243471509</v>
      </c>
      <c r="D251" s="546">
        <f>((IF((IF(D15=0,0,D26/D15)*D138)=0,0,D59/(IF(D15=0,0,D26/D15)*D138)))-(IF((IF(D17=0,0,D28/D17)*D140)=0,0,D61/(IF(D17=0,0,D28/D17)*D140))))*(IF(D17=0,0,D28/D17)*D140)</f>
        <v>2988852.8755058427</v>
      </c>
      <c r="E251" s="546">
        <f>D251-C251</f>
        <v>-894548.3679656661</v>
      </c>
    </row>
    <row r="252" spans="1:5" ht="12.75">
      <c r="A252" s="512">
        <v>2</v>
      </c>
      <c r="B252" s="511" t="s">
        <v>868</v>
      </c>
      <c r="C252" s="546">
        <f>IF(C231=0,0,(C228-C231)*C207)+IF(C243=0,0,(C240-C243)*C219)</f>
        <v>2186283.8116720724</v>
      </c>
      <c r="D252" s="546">
        <f>IF(D231=0,0,(D228-D231)*D207)+IF(D243=0,0,(D240-D243)*D219)</f>
        <v>2372502.6842332203</v>
      </c>
      <c r="E252" s="546">
        <f>D252-C252</f>
        <v>186218.8725611479</v>
      </c>
    </row>
    <row r="253" spans="1:5" ht="12.75">
      <c r="A253" s="512">
        <v>3</v>
      </c>
      <c r="B253" s="511" t="s">
        <v>883</v>
      </c>
      <c r="C253" s="546">
        <f>IF(C233=0,0,(C228-C233)*C209+IF(C221=0,0,(C240-C245)*C221))</f>
        <v>2045378.2400430895</v>
      </c>
      <c r="D253" s="546">
        <f>IF(D233=0,0,(D228-D233)*D209+IF(D221=0,0,(D240-D245)*D221))</f>
        <v>1664608.0960983438</v>
      </c>
      <c r="E253" s="546">
        <f>D253-C253</f>
        <v>-380770.14394474565</v>
      </c>
    </row>
    <row r="254" spans="1:5" ht="15" customHeight="1">
      <c r="A254" s="512"/>
      <c r="B254" s="516" t="s">
        <v>884</v>
      </c>
      <c r="C254" s="564">
        <f>+C251+C252+C253</f>
        <v>8115063.295186671</v>
      </c>
      <c r="D254" s="564">
        <f>+D251+D252+D253</f>
        <v>7025963.655837406</v>
      </c>
      <c r="E254" s="564">
        <f>D254-C254</f>
        <v>-1089099.639349265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958</v>
      </c>
      <c r="B256" s="550" t="s">
        <v>959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850</v>
      </c>
      <c r="C258" s="546">
        <f>+C44</f>
        <v>193794864</v>
      </c>
      <c r="D258" s="549">
        <f>+D44</f>
        <v>190183873</v>
      </c>
      <c r="E258" s="546">
        <f aca="true" t="shared" si="30" ref="E258:E271">D258-C258</f>
        <v>-3610991</v>
      </c>
    </row>
    <row r="259" spans="1:5" ht="12.75">
      <c r="A259" s="512">
        <v>2</v>
      </c>
      <c r="B259" s="511" t="s">
        <v>867</v>
      </c>
      <c r="C259" s="546">
        <f>+(C43-C76)</f>
        <v>68825626</v>
      </c>
      <c r="D259" s="549">
        <f>+(D43-D76)</f>
        <v>67442543</v>
      </c>
      <c r="E259" s="546">
        <f t="shared" si="30"/>
        <v>-1383083</v>
      </c>
    </row>
    <row r="260" spans="1:5" ht="12.75">
      <c r="A260" s="512">
        <v>3</v>
      </c>
      <c r="B260" s="511" t="s">
        <v>871</v>
      </c>
      <c r="C260" s="546">
        <f>C195</f>
        <v>6836104</v>
      </c>
      <c r="D260" s="546">
        <f>D195</f>
        <v>6235508</v>
      </c>
      <c r="E260" s="546">
        <f t="shared" si="30"/>
        <v>-600596</v>
      </c>
    </row>
    <row r="261" spans="1:5" ht="12.75">
      <c r="A261" s="512">
        <v>4</v>
      </c>
      <c r="B261" s="511" t="s">
        <v>872</v>
      </c>
      <c r="C261" s="546">
        <f>C188</f>
        <v>39851033</v>
      </c>
      <c r="D261" s="546">
        <f>D188</f>
        <v>35545014</v>
      </c>
      <c r="E261" s="546">
        <f t="shared" si="30"/>
        <v>-4306019</v>
      </c>
    </row>
    <row r="262" spans="1:5" ht="12.75">
      <c r="A262" s="512">
        <v>5</v>
      </c>
      <c r="B262" s="511" t="s">
        <v>873</v>
      </c>
      <c r="C262" s="546">
        <f>C191</f>
        <v>2042677</v>
      </c>
      <c r="D262" s="546">
        <f>D191</f>
        <v>1926412</v>
      </c>
      <c r="E262" s="546">
        <f t="shared" si="30"/>
        <v>-116265</v>
      </c>
    </row>
    <row r="263" spans="1:5" ht="12.75">
      <c r="A263" s="512">
        <v>6</v>
      </c>
      <c r="B263" s="511" t="s">
        <v>874</v>
      </c>
      <c r="C263" s="546">
        <f>+C259+C260+C261+C262</f>
        <v>117555440</v>
      </c>
      <c r="D263" s="546">
        <f>+D259+D260+D261+D262</f>
        <v>111149477</v>
      </c>
      <c r="E263" s="546">
        <f t="shared" si="30"/>
        <v>-6405963</v>
      </c>
    </row>
    <row r="264" spans="1:5" ht="12.75">
      <c r="A264" s="512">
        <v>7</v>
      </c>
      <c r="B264" s="511" t="s">
        <v>774</v>
      </c>
      <c r="C264" s="546">
        <f>+C258-C263</f>
        <v>76239424</v>
      </c>
      <c r="D264" s="546">
        <f>+D258-D263</f>
        <v>79034396</v>
      </c>
      <c r="E264" s="546">
        <f t="shared" si="30"/>
        <v>2794972</v>
      </c>
    </row>
    <row r="265" spans="1:5" ht="12.75">
      <c r="A265" s="512">
        <v>8</v>
      </c>
      <c r="B265" s="511" t="s">
        <v>960</v>
      </c>
      <c r="C265" s="565">
        <f>C192</f>
        <v>522386</v>
      </c>
      <c r="D265" s="565">
        <f>D192</f>
        <v>494828</v>
      </c>
      <c r="E265" s="546">
        <f t="shared" si="30"/>
        <v>-27558</v>
      </c>
    </row>
    <row r="266" spans="1:5" ht="12.75">
      <c r="A266" s="512">
        <v>9</v>
      </c>
      <c r="B266" s="511" t="s">
        <v>961</v>
      </c>
      <c r="C266" s="546">
        <f>+C264+C265</f>
        <v>76761810</v>
      </c>
      <c r="D266" s="546">
        <f>+D264+D265</f>
        <v>79529224</v>
      </c>
      <c r="E266" s="565">
        <f t="shared" si="30"/>
        <v>2767414</v>
      </c>
    </row>
    <row r="267" spans="1:5" ht="12.75">
      <c r="A267" s="512">
        <v>10</v>
      </c>
      <c r="B267" s="511" t="s">
        <v>962</v>
      </c>
      <c r="C267" s="566">
        <f>IF(C258=0,0,C266/C258)</f>
        <v>0.3960982681150931</v>
      </c>
      <c r="D267" s="566">
        <f>IF(D258=0,0,D266/D258)</f>
        <v>0.4181701778678153</v>
      </c>
      <c r="E267" s="567">
        <f t="shared" si="30"/>
        <v>0.02207190975272222</v>
      </c>
    </row>
    <row r="268" spans="1:5" ht="12.75">
      <c r="A268" s="512">
        <v>11</v>
      </c>
      <c r="B268" s="511" t="s">
        <v>836</v>
      </c>
      <c r="C268" s="546">
        <f>+C260*C267</f>
        <v>2707768.9550546603</v>
      </c>
      <c r="D268" s="568">
        <f>+D260*D267</f>
        <v>2607503.489456185</v>
      </c>
      <c r="E268" s="546">
        <f t="shared" si="30"/>
        <v>-100265.46559847519</v>
      </c>
    </row>
    <row r="269" spans="1:5" ht="12.75">
      <c r="A269" s="512">
        <v>12</v>
      </c>
      <c r="B269" s="511" t="s">
        <v>963</v>
      </c>
      <c r="C269" s="546">
        <f>((C17+C18+C28+C29)*C267)-(C50+C51+C61+C62)</f>
        <v>3824656.429626679</v>
      </c>
      <c r="D269" s="568">
        <f>((D17+D18+D28+D29)*D267)-(D50+D51+D61+D62)</f>
        <v>3814710.435979521</v>
      </c>
      <c r="E269" s="546">
        <f t="shared" si="30"/>
        <v>-9945.993647158146</v>
      </c>
    </row>
    <row r="270" spans="1:5" s="569" customFormat="1" ht="12.75">
      <c r="A270" s="570">
        <v>13</v>
      </c>
      <c r="B270" s="571" t="s">
        <v>964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965</v>
      </c>
      <c r="C271" s="546">
        <f>+C268+C269+C270</f>
        <v>6532425.384681339</v>
      </c>
      <c r="D271" s="546">
        <f>+D268+D269+D270</f>
        <v>6422213.925435706</v>
      </c>
      <c r="E271" s="549">
        <f t="shared" si="30"/>
        <v>-110211.45924563333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966</v>
      </c>
      <c r="B273" s="550" t="s">
        <v>967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170</v>
      </c>
      <c r="B275" s="509" t="s">
        <v>968</v>
      </c>
      <c r="C275" s="340"/>
      <c r="D275" s="340"/>
      <c r="E275" s="520"/>
    </row>
    <row r="276" spans="1:5" ht="12.75">
      <c r="A276" s="512">
        <v>1</v>
      </c>
      <c r="B276" s="511" t="s">
        <v>776</v>
      </c>
      <c r="C276" s="547">
        <f aca="true" t="shared" si="31" ref="C276:D284">IF(C14=0,0,+C47/C14)</f>
        <v>0.47430571708975866</v>
      </c>
      <c r="D276" s="547">
        <f t="shared" si="31"/>
        <v>0.535550294571843</v>
      </c>
      <c r="E276" s="574">
        <f aca="true" t="shared" si="32" ref="E276:E284">D276-C276</f>
        <v>0.06124457748208434</v>
      </c>
    </row>
    <row r="277" spans="1:5" ht="12.75">
      <c r="A277" s="512">
        <v>2</v>
      </c>
      <c r="B277" s="511" t="s">
        <v>755</v>
      </c>
      <c r="C277" s="547">
        <f t="shared" si="31"/>
        <v>0.5851887107278438</v>
      </c>
      <c r="D277" s="547">
        <f t="shared" si="31"/>
        <v>0.5928449753459802</v>
      </c>
      <c r="E277" s="574">
        <f t="shared" si="32"/>
        <v>0.007656264618136399</v>
      </c>
    </row>
    <row r="278" spans="1:5" ht="12.75">
      <c r="A278" s="512">
        <v>3</v>
      </c>
      <c r="B278" s="511" t="s">
        <v>901</v>
      </c>
      <c r="C278" s="547">
        <f t="shared" si="31"/>
        <v>0.38082542276051734</v>
      </c>
      <c r="D278" s="547">
        <f t="shared" si="31"/>
        <v>0.4417796850707256</v>
      </c>
      <c r="E278" s="574">
        <f t="shared" si="32"/>
        <v>0.060954262310208285</v>
      </c>
    </row>
    <row r="279" spans="1:5" ht="12.75">
      <c r="A279" s="512">
        <v>4</v>
      </c>
      <c r="B279" s="511" t="s">
        <v>270</v>
      </c>
      <c r="C279" s="547">
        <f t="shared" si="31"/>
        <v>0.4509565980368122</v>
      </c>
      <c r="D279" s="547">
        <f t="shared" si="31"/>
        <v>0.5143568794143076</v>
      </c>
      <c r="E279" s="574">
        <f t="shared" si="32"/>
        <v>0.06340028137749543</v>
      </c>
    </row>
    <row r="280" spans="1:5" ht="12.75">
      <c r="A280" s="512">
        <v>5</v>
      </c>
      <c r="B280" s="511" t="s">
        <v>868</v>
      </c>
      <c r="C280" s="547">
        <f t="shared" si="31"/>
        <v>0.19830525677478938</v>
      </c>
      <c r="D280" s="547">
        <f t="shared" si="31"/>
        <v>0.22933588961750234</v>
      </c>
      <c r="E280" s="574">
        <f t="shared" si="32"/>
        <v>0.031030632842712957</v>
      </c>
    </row>
    <row r="281" spans="1:5" ht="12.75">
      <c r="A281" s="512">
        <v>6</v>
      </c>
      <c r="B281" s="511" t="s">
        <v>574</v>
      </c>
      <c r="C281" s="547">
        <f t="shared" si="31"/>
        <v>0.4184628932721481</v>
      </c>
      <c r="D281" s="547">
        <f t="shared" si="31"/>
        <v>0.35157122528927215</v>
      </c>
      <c r="E281" s="574">
        <f t="shared" si="32"/>
        <v>-0.06689166798287594</v>
      </c>
    </row>
    <row r="282" spans="1:5" ht="12.75">
      <c r="A282" s="512">
        <v>7</v>
      </c>
      <c r="B282" s="511" t="s">
        <v>883</v>
      </c>
      <c r="C282" s="547">
        <f t="shared" si="31"/>
        <v>0.12810593426080347</v>
      </c>
      <c r="D282" s="547">
        <f t="shared" si="31"/>
        <v>0.08081744383818276</v>
      </c>
      <c r="E282" s="574">
        <f t="shared" si="32"/>
        <v>-0.047288490422620705</v>
      </c>
    </row>
    <row r="283" spans="1:5" ht="29.25" customHeight="1">
      <c r="A283" s="512"/>
      <c r="B283" s="516" t="s">
        <v>969</v>
      </c>
      <c r="C283" s="575">
        <f t="shared" si="31"/>
        <v>0.5385972435763761</v>
      </c>
      <c r="D283" s="575">
        <f t="shared" si="31"/>
        <v>0.558811087751472</v>
      </c>
      <c r="E283" s="576">
        <f t="shared" si="32"/>
        <v>0.020213844175095974</v>
      </c>
    </row>
    <row r="284" spans="1:5" ht="12.75">
      <c r="A284" s="512"/>
      <c r="B284" s="516" t="s">
        <v>970</v>
      </c>
      <c r="C284" s="575">
        <f t="shared" si="31"/>
        <v>0.5221780978889107</v>
      </c>
      <c r="D284" s="575">
        <f t="shared" si="31"/>
        <v>0.5527723933999475</v>
      </c>
      <c r="E284" s="576">
        <f t="shared" si="32"/>
        <v>0.030594295511036873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182</v>
      </c>
      <c r="B286" s="509" t="s">
        <v>971</v>
      </c>
      <c r="C286" s="520"/>
      <c r="D286" s="520"/>
      <c r="E286" s="520"/>
    </row>
    <row r="287" spans="1:5" ht="12.75">
      <c r="A287" s="512">
        <v>1</v>
      </c>
      <c r="B287" s="511" t="s">
        <v>776</v>
      </c>
      <c r="C287" s="547">
        <f aca="true" t="shared" si="33" ref="C287:D295">IF(C25=0,0,+C58/C25)</f>
        <v>0.3797024488993884</v>
      </c>
      <c r="D287" s="547">
        <f t="shared" si="33"/>
        <v>0.40552466564376705</v>
      </c>
      <c r="E287" s="574">
        <f aca="true" t="shared" si="34" ref="E287:E295">D287-C287</f>
        <v>0.025822216744378623</v>
      </c>
    </row>
    <row r="288" spans="1:5" ht="12.75">
      <c r="A288" s="512">
        <v>2</v>
      </c>
      <c r="B288" s="511" t="s">
        <v>755</v>
      </c>
      <c r="C288" s="547">
        <f t="shared" si="33"/>
        <v>0.24090074659466196</v>
      </c>
      <c r="D288" s="547">
        <f t="shared" si="33"/>
        <v>0.25885268107580267</v>
      </c>
      <c r="E288" s="574">
        <f t="shared" si="34"/>
        <v>0.017951934481140713</v>
      </c>
    </row>
    <row r="289" spans="1:5" ht="12.75">
      <c r="A289" s="512">
        <v>3</v>
      </c>
      <c r="B289" s="511" t="s">
        <v>901</v>
      </c>
      <c r="C289" s="547">
        <f t="shared" si="33"/>
        <v>0.23512581675890926</v>
      </c>
      <c r="D289" s="547">
        <f t="shared" si="33"/>
        <v>0.24808426300906125</v>
      </c>
      <c r="E289" s="574">
        <f t="shared" si="34"/>
        <v>0.012958446250151995</v>
      </c>
    </row>
    <row r="290" spans="1:5" ht="12.75">
      <c r="A290" s="512">
        <v>4</v>
      </c>
      <c r="B290" s="511" t="s">
        <v>270</v>
      </c>
      <c r="C290" s="547">
        <f t="shared" si="33"/>
        <v>0.26651173052097354</v>
      </c>
      <c r="D290" s="547">
        <f t="shared" si="33"/>
        <v>0.2914991811907113</v>
      </c>
      <c r="E290" s="574">
        <f t="shared" si="34"/>
        <v>0.024987450669737732</v>
      </c>
    </row>
    <row r="291" spans="1:5" ht="12.75">
      <c r="A291" s="512">
        <v>5</v>
      </c>
      <c r="B291" s="511" t="s">
        <v>868</v>
      </c>
      <c r="C291" s="547">
        <f t="shared" si="33"/>
        <v>0.14093769858890534</v>
      </c>
      <c r="D291" s="547">
        <f t="shared" si="33"/>
        <v>0.13846239248650913</v>
      </c>
      <c r="E291" s="574">
        <f t="shared" si="34"/>
        <v>-0.002475306102396213</v>
      </c>
    </row>
    <row r="292" spans="1:5" ht="12.75">
      <c r="A292" s="512">
        <v>6</v>
      </c>
      <c r="B292" s="511" t="s">
        <v>574</v>
      </c>
      <c r="C292" s="547">
        <f t="shared" si="33"/>
        <v>0.39509193596965253</v>
      </c>
      <c r="D292" s="547">
        <f t="shared" si="33"/>
        <v>0.4050659298041497</v>
      </c>
      <c r="E292" s="574">
        <f t="shared" si="34"/>
        <v>0.009973993834497152</v>
      </c>
    </row>
    <row r="293" spans="1:5" ht="12.75">
      <c r="A293" s="512">
        <v>7</v>
      </c>
      <c r="B293" s="511" t="s">
        <v>883</v>
      </c>
      <c r="C293" s="547">
        <f t="shared" si="33"/>
        <v>0.05595050486749644</v>
      </c>
      <c r="D293" s="547">
        <f t="shared" si="33"/>
        <v>0.053905287785759745</v>
      </c>
      <c r="E293" s="574">
        <f t="shared" si="34"/>
        <v>-0.0020452170817366958</v>
      </c>
    </row>
    <row r="294" spans="1:5" ht="29.25" customHeight="1">
      <c r="A294" s="512"/>
      <c r="B294" s="516" t="s">
        <v>972</v>
      </c>
      <c r="C294" s="575">
        <f t="shared" si="33"/>
        <v>0.23969772187927332</v>
      </c>
      <c r="D294" s="575">
        <f t="shared" si="33"/>
        <v>0.255471078962216</v>
      </c>
      <c r="E294" s="576">
        <f t="shared" si="34"/>
        <v>0.01577335708294267</v>
      </c>
    </row>
    <row r="295" spans="1:5" ht="12.75">
      <c r="A295" s="512"/>
      <c r="B295" s="516" t="s">
        <v>973</v>
      </c>
      <c r="C295" s="575">
        <f t="shared" si="33"/>
        <v>0.312972662662676</v>
      </c>
      <c r="D295" s="575">
        <f t="shared" si="33"/>
        <v>0.3305864552549587</v>
      </c>
      <c r="E295" s="576">
        <f t="shared" si="34"/>
        <v>0.01761379259228274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974</v>
      </c>
      <c r="B297" s="501" t="s">
        <v>975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170</v>
      </c>
      <c r="B299" s="509" t="s">
        <v>976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774</v>
      </c>
      <c r="C301" s="514">
        <f>+C48+C47+C50+C51+C52+C59+C58+C61+C62+C63</f>
        <v>76239424</v>
      </c>
      <c r="D301" s="514">
        <f>+D48+D47+D50+D51+D52+D59+D58+D61+D62+D63</f>
        <v>78968742</v>
      </c>
      <c r="E301" s="514">
        <f>D301-C301</f>
        <v>2729318</v>
      </c>
    </row>
    <row r="302" spans="1:5" ht="25.5">
      <c r="A302" s="512">
        <v>2</v>
      </c>
      <c r="B302" s="511" t="s">
        <v>0</v>
      </c>
      <c r="C302" s="546">
        <f>C265</f>
        <v>522386</v>
      </c>
      <c r="D302" s="546">
        <f>D265</f>
        <v>494828</v>
      </c>
      <c r="E302" s="514">
        <f>D302-C302</f>
        <v>-27558</v>
      </c>
    </row>
    <row r="303" spans="1:5" ht="12.75">
      <c r="A303" s="512"/>
      <c r="B303" s="516" t="s">
        <v>1</v>
      </c>
      <c r="C303" s="517">
        <f>+C301+C302</f>
        <v>76761810</v>
      </c>
      <c r="D303" s="517">
        <f>+D301+D302</f>
        <v>79463570</v>
      </c>
      <c r="E303" s="517">
        <f>D303-C303</f>
        <v>2701760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2</v>
      </c>
      <c r="C305" s="513">
        <v>4249703</v>
      </c>
      <c r="D305" s="578">
        <v>4141249</v>
      </c>
      <c r="E305" s="579">
        <f>D305-C305</f>
        <v>-108454</v>
      </c>
    </row>
    <row r="306" spans="1:5" ht="12.75">
      <c r="A306" s="512">
        <v>4</v>
      </c>
      <c r="B306" s="516" t="s">
        <v>3</v>
      </c>
      <c r="C306" s="580">
        <f>+C303+C305+C194+C190-C191</f>
        <v>86807230</v>
      </c>
      <c r="D306" s="580">
        <f>+D303+D305</f>
        <v>83604819</v>
      </c>
      <c r="E306" s="580">
        <f>D306-C306</f>
        <v>-3202411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4</v>
      </c>
      <c r="C308" s="513">
        <v>81011511</v>
      </c>
      <c r="D308" s="513">
        <v>83605148</v>
      </c>
      <c r="E308" s="514">
        <f>D308-C308</f>
        <v>2593637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5</v>
      </c>
      <c r="C310" s="581">
        <f>C306-C308</f>
        <v>5795719</v>
      </c>
      <c r="D310" s="582">
        <f>D306-D308</f>
        <v>-329</v>
      </c>
      <c r="E310" s="580">
        <f>D310-C310</f>
        <v>-5796048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182</v>
      </c>
      <c r="B312" s="509" t="s">
        <v>6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7</v>
      </c>
      <c r="C314" s="514">
        <f>+C14+C15+C16+C19+C25+C26+C27+C30</f>
        <v>193794864</v>
      </c>
      <c r="D314" s="514">
        <f>+D14+D15+D16+D19+D25+D26+D27+D30</f>
        <v>190183873</v>
      </c>
      <c r="E314" s="514">
        <f>D314-C314</f>
        <v>-3610991</v>
      </c>
    </row>
    <row r="315" spans="1:5" ht="12.75">
      <c r="A315" s="512">
        <v>2</v>
      </c>
      <c r="B315" s="583" t="s">
        <v>8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</v>
      </c>
      <c r="C316" s="581">
        <f>C314+C315</f>
        <v>193794864</v>
      </c>
      <c r="D316" s="581">
        <f>D314+D315</f>
        <v>190183873</v>
      </c>
      <c r="E316" s="517">
        <f>D316-C316</f>
        <v>-3610991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10</v>
      </c>
      <c r="C318" s="513">
        <v>193794864</v>
      </c>
      <c r="D318" s="513">
        <v>190183873</v>
      </c>
      <c r="E318" s="514">
        <f>D318-C318</f>
        <v>-3610991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5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192</v>
      </c>
      <c r="B322" s="509" t="s">
        <v>11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12</v>
      </c>
      <c r="C324" s="513">
        <f>+C193+C194</f>
        <v>6836104</v>
      </c>
      <c r="D324" s="513">
        <f>+D193+D194</f>
        <v>6235508</v>
      </c>
      <c r="E324" s="514">
        <f>D324-C324</f>
        <v>-600596</v>
      </c>
    </row>
    <row r="325" spans="1:5" ht="12.75">
      <c r="A325" s="512">
        <v>2</v>
      </c>
      <c r="B325" s="511" t="s">
        <v>13</v>
      </c>
      <c r="C325" s="513">
        <v>546160</v>
      </c>
      <c r="D325" s="513">
        <v>519470</v>
      </c>
      <c r="E325" s="514">
        <f>D325-C325</f>
        <v>-26690</v>
      </c>
    </row>
    <row r="326" spans="1:5" ht="12.75">
      <c r="A326" s="512"/>
      <c r="B326" s="516" t="s">
        <v>14</v>
      </c>
      <c r="C326" s="581">
        <f>C324+C325</f>
        <v>7382264</v>
      </c>
      <c r="D326" s="581">
        <f>D324+D325</f>
        <v>6754978</v>
      </c>
      <c r="E326" s="517">
        <f>D326-C326</f>
        <v>-627286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15</v>
      </c>
      <c r="C328" s="513">
        <v>7382264</v>
      </c>
      <c r="D328" s="513">
        <v>6754978</v>
      </c>
      <c r="E328" s="514">
        <f>D328-C328</f>
        <v>-627286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16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FILING&amp;RWINDHAM COMMUNITY MEMORIAL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156</v>
      </c>
      <c r="B2" s="705"/>
      <c r="C2" s="705"/>
      <c r="D2" s="585"/>
    </row>
    <row r="3" spans="1:4" s="338" customFormat="1" ht="15.75" customHeight="1">
      <c r="A3" s="695" t="s">
        <v>746</v>
      </c>
      <c r="B3" s="696"/>
      <c r="C3" s="697"/>
      <c r="D3" s="585"/>
    </row>
    <row r="4" spans="1:4" s="338" customFormat="1" ht="15.75" customHeight="1">
      <c r="A4" s="695" t="s">
        <v>158</v>
      </c>
      <c r="B4" s="696"/>
      <c r="C4" s="697"/>
      <c r="D4" s="585"/>
    </row>
    <row r="5" spans="1:4" s="338" customFormat="1" ht="15.75" customHeight="1">
      <c r="A5" s="695" t="s">
        <v>17</v>
      </c>
      <c r="B5" s="696"/>
      <c r="C5" s="697"/>
      <c r="D5" s="585"/>
    </row>
    <row r="6" spans="1:4" s="338" customFormat="1" ht="15.75" customHeight="1">
      <c r="A6" s="695" t="s">
        <v>18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164</v>
      </c>
      <c r="B9" s="493" t="s">
        <v>165</v>
      </c>
      <c r="C9" s="494" t="s">
        <v>19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168</v>
      </c>
      <c r="B11" s="501" t="s">
        <v>20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170</v>
      </c>
      <c r="B13" s="509" t="s">
        <v>900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776</v>
      </c>
      <c r="C14" s="513">
        <v>18807636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755</v>
      </c>
      <c r="C15" s="515">
        <v>41659535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901</v>
      </c>
      <c r="C16" s="515">
        <v>11802650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270</v>
      </c>
      <c r="C17" s="515">
        <v>8797246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868</v>
      </c>
      <c r="C18" s="515">
        <v>3005404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574</v>
      </c>
      <c r="C19" s="515">
        <v>176391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883</v>
      </c>
      <c r="C20" s="515">
        <v>921311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902</v>
      </c>
      <c r="C21" s="517">
        <f>SUM(C15+C16+C19)</f>
        <v>53638576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842</v>
      </c>
      <c r="C22" s="517">
        <f>SUM(C14+C21)</f>
        <v>72446212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182</v>
      </c>
      <c r="B24" s="509" t="s">
        <v>903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776</v>
      </c>
      <c r="C25" s="513">
        <v>58938336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755</v>
      </c>
      <c r="C26" s="515">
        <v>34320309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901</v>
      </c>
      <c r="C27" s="515">
        <v>24066456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270</v>
      </c>
      <c r="C28" s="515">
        <v>17239057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868</v>
      </c>
      <c r="C29" s="515">
        <v>6827399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574</v>
      </c>
      <c r="C30" s="515">
        <v>412560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883</v>
      </c>
      <c r="C31" s="518">
        <v>3276135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904</v>
      </c>
      <c r="C32" s="517">
        <f>SUM(C26+C27+C30)</f>
        <v>58799325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848</v>
      </c>
      <c r="C33" s="517">
        <f>SUM(C25+C32)</f>
        <v>117737661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192</v>
      </c>
      <c r="B35" s="509" t="s">
        <v>773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21</v>
      </c>
      <c r="C36" s="514">
        <f>SUM(C14+C25)</f>
        <v>77745972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22</v>
      </c>
      <c r="C37" s="518">
        <f>SUM(C21+C32)</f>
        <v>112437901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773</v>
      </c>
      <c r="C38" s="517">
        <f>SUM(+C36+C37)</f>
        <v>190183873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477</v>
      </c>
      <c r="B40" s="509" t="s">
        <v>913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776</v>
      </c>
      <c r="C41" s="513">
        <v>10072435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755</v>
      </c>
      <c r="C42" s="515">
        <v>24697646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901</v>
      </c>
      <c r="C43" s="515">
        <v>5214171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270</v>
      </c>
      <c r="C44" s="515">
        <v>4524924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868</v>
      </c>
      <c r="C45" s="515">
        <v>689247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574</v>
      </c>
      <c r="C46" s="515">
        <v>62014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883</v>
      </c>
      <c r="C47" s="515">
        <v>74458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914</v>
      </c>
      <c r="C48" s="517">
        <f>SUM(C42+C43+C46)</f>
        <v>29973831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843</v>
      </c>
      <c r="C49" s="517">
        <f>SUM(C41+C48)</f>
        <v>40046266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498</v>
      </c>
      <c r="B51" s="509" t="s">
        <v>915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776</v>
      </c>
      <c r="C52" s="513">
        <v>23900949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755</v>
      </c>
      <c r="C53" s="515">
        <v>8883904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901</v>
      </c>
      <c r="C54" s="515">
        <v>5970509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270</v>
      </c>
      <c r="C55" s="515">
        <v>5025171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868</v>
      </c>
      <c r="C56" s="515">
        <v>945338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574</v>
      </c>
      <c r="C57" s="515">
        <v>167114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883</v>
      </c>
      <c r="C58" s="515">
        <v>176601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916</v>
      </c>
      <c r="C59" s="517">
        <f>SUM(C53+C54+C57)</f>
        <v>15021527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849</v>
      </c>
      <c r="C60" s="517">
        <f>SUM(C52+C59)</f>
        <v>38922476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510</v>
      </c>
      <c r="B62" s="521" t="s">
        <v>774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23</v>
      </c>
      <c r="C63" s="514">
        <f>SUM(C41+C52)</f>
        <v>33973384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24</v>
      </c>
      <c r="C64" s="518">
        <f>SUM(C48+C59)</f>
        <v>44995358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774</v>
      </c>
      <c r="C65" s="517">
        <f>SUM(+C63+C64)</f>
        <v>78968742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200</v>
      </c>
      <c r="B67" s="501" t="s">
        <v>25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170</v>
      </c>
      <c r="B69" s="509" t="s">
        <v>26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776</v>
      </c>
      <c r="C70" s="530">
        <v>1601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755</v>
      </c>
      <c r="C71" s="530">
        <v>2534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901</v>
      </c>
      <c r="C72" s="530">
        <v>1195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270</v>
      </c>
      <c r="C73" s="530">
        <v>961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868</v>
      </c>
      <c r="C74" s="530">
        <v>234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574</v>
      </c>
      <c r="C75" s="545">
        <v>13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883</v>
      </c>
      <c r="C76" s="545">
        <v>87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931</v>
      </c>
      <c r="C77" s="532">
        <f>SUM(C71+C72+C75)</f>
        <v>3742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845</v>
      </c>
      <c r="C78" s="596">
        <f>SUM(C70+C77)</f>
        <v>5343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182</v>
      </c>
      <c r="B80" s="509" t="s">
        <v>936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776</v>
      </c>
      <c r="C81" s="541">
        <v>0.942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755</v>
      </c>
      <c r="C82" s="541">
        <v>1.1832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901</v>
      </c>
      <c r="C83" s="541">
        <f>((C73*C84)+(C74*C85))/(C73+C74)</f>
        <v>0.7795138577405858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270</v>
      </c>
      <c r="C84" s="541">
        <v>0.7489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868</v>
      </c>
      <c r="C85" s="541">
        <v>0.90524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574</v>
      </c>
      <c r="C86" s="541">
        <v>0.955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883</v>
      </c>
      <c r="C87" s="541">
        <v>0.836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937</v>
      </c>
      <c r="C88" s="543">
        <f>((C71*C82)+(C73*C84)+(C74*C85)+(C75*C86))/(C71+C73+C74+C75)</f>
        <v>1.0534908765366113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846</v>
      </c>
      <c r="C89" s="543">
        <f>((C70*C81)+(C71*C82)+(C73*C84)+(C74*C85)+(C75*C86))/(C70+C71+C73+C74+C75)</f>
        <v>1.0200832603406325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192</v>
      </c>
      <c r="B91" s="509" t="s">
        <v>938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939</v>
      </c>
      <c r="C92" s="513">
        <v>68498602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940</v>
      </c>
      <c r="C93" s="546">
        <v>32953588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788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872</v>
      </c>
      <c r="C95" s="513">
        <f>+C92-C93</f>
        <v>35545014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790</v>
      </c>
      <c r="C96" s="597">
        <f>(+C92-C93)/C92</f>
        <v>0.5189159042983096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887</v>
      </c>
      <c r="C98" s="513">
        <v>3496497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873</v>
      </c>
      <c r="C99" s="513">
        <v>1926412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27</v>
      </c>
      <c r="C101" s="513">
        <v>494828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942</v>
      </c>
      <c r="C103" s="513">
        <v>2094259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943</v>
      </c>
      <c r="C104" s="513">
        <v>4141249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944</v>
      </c>
      <c r="C105" s="578">
        <f>+C103+C104</f>
        <v>6235508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945</v>
      </c>
      <c r="C107" s="513">
        <v>0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830</v>
      </c>
      <c r="C108" s="513">
        <v>85401157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291</v>
      </c>
      <c r="B110" s="501" t="s">
        <v>975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170</v>
      </c>
      <c r="B112" s="509" t="s">
        <v>976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774</v>
      </c>
      <c r="C114" s="514">
        <f>+C65</f>
        <v>78968742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0</v>
      </c>
      <c r="C115" s="546">
        <f>+C101</f>
        <v>494828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1</v>
      </c>
      <c r="C116" s="517">
        <f>+C114+C115</f>
        <v>79463570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2</v>
      </c>
      <c r="C118" s="578">
        <v>4141249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3</v>
      </c>
      <c r="C119" s="580">
        <f>+C116+C118</f>
        <v>83604819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4</v>
      </c>
      <c r="C121" s="513">
        <v>83605148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5</v>
      </c>
      <c r="C123" s="582">
        <f>C119-C121</f>
        <v>-329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182</v>
      </c>
      <c r="B125" s="509" t="s">
        <v>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7</v>
      </c>
      <c r="C127" s="514">
        <f>+C38</f>
        <v>190183873</v>
      </c>
      <c r="D127" s="588"/>
      <c r="AR127" s="507"/>
    </row>
    <row r="128" spans="1:44" s="506" customFormat="1" ht="12.75">
      <c r="A128" s="512">
        <v>2</v>
      </c>
      <c r="B128" s="583" t="s">
        <v>8</v>
      </c>
      <c r="C128" s="513">
        <v>0</v>
      </c>
      <c r="D128" s="588"/>
      <c r="AR128" s="507"/>
    </row>
    <row r="129" spans="1:44" s="506" customFormat="1" ht="12.75">
      <c r="A129" s="512"/>
      <c r="B129" s="516" t="s">
        <v>9</v>
      </c>
      <c r="C129" s="581">
        <f>C127+C128</f>
        <v>190183873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10</v>
      </c>
      <c r="C131" s="513">
        <v>190183873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5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192</v>
      </c>
      <c r="B135" s="509" t="s">
        <v>11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12</v>
      </c>
      <c r="C137" s="513">
        <f>C105</f>
        <v>6235508</v>
      </c>
      <c r="D137" s="588"/>
      <c r="AR137" s="507"/>
    </row>
    <row r="138" spans="1:44" s="506" customFormat="1" ht="12.75">
      <c r="A138" s="512">
        <v>2</v>
      </c>
      <c r="B138" s="511" t="s">
        <v>28</v>
      </c>
      <c r="C138" s="513">
        <v>519470</v>
      </c>
      <c r="D138" s="588"/>
      <c r="AR138" s="507"/>
    </row>
    <row r="139" spans="1:44" s="506" customFormat="1" ht="12.75">
      <c r="A139" s="512"/>
      <c r="B139" s="516" t="s">
        <v>14</v>
      </c>
      <c r="C139" s="581">
        <f>C137+C138</f>
        <v>6754978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29</v>
      </c>
      <c r="C141" s="513">
        <v>6754978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16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&amp;LOFFICE OF HEALTH CARE ACCESS&amp;CTWELVE MONTHS ACTUAL FILING&amp;RWINDHAM COMMUNITY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156</v>
      </c>
      <c r="B2" s="715"/>
      <c r="C2" s="715"/>
      <c r="D2" s="715"/>
      <c r="E2" s="715"/>
      <c r="F2" s="716"/>
    </row>
    <row r="3" spans="1:6" ht="15.75" customHeight="1">
      <c r="A3" s="714" t="s">
        <v>746</v>
      </c>
      <c r="B3" s="715"/>
      <c r="C3" s="715"/>
      <c r="D3" s="715"/>
      <c r="E3" s="715"/>
      <c r="F3" s="716"/>
    </row>
    <row r="4" spans="1:6" ht="15.75" customHeight="1">
      <c r="A4" s="714" t="s">
        <v>747</v>
      </c>
      <c r="B4" s="715"/>
      <c r="C4" s="715"/>
      <c r="D4" s="715"/>
      <c r="E4" s="715"/>
      <c r="F4" s="716"/>
    </row>
    <row r="5" spans="1:6" ht="15.75" customHeight="1">
      <c r="A5" s="714" t="s">
        <v>30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750</v>
      </c>
      <c r="D8" s="35" t="s">
        <v>750</v>
      </c>
      <c r="E8" s="35" t="s">
        <v>162</v>
      </c>
      <c r="F8" s="35" t="s">
        <v>163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164</v>
      </c>
      <c r="B9" s="606" t="s">
        <v>165</v>
      </c>
      <c r="C9" s="607" t="s">
        <v>752</v>
      </c>
      <c r="D9" s="607" t="s">
        <v>753</v>
      </c>
      <c r="E9" s="605" t="s">
        <v>167</v>
      </c>
      <c r="F9" s="605" t="s">
        <v>167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170</v>
      </c>
      <c r="B11" s="606" t="s">
        <v>31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32</v>
      </c>
      <c r="C12" s="49">
        <v>3852</v>
      </c>
      <c r="D12" s="49">
        <v>4608</v>
      </c>
      <c r="E12" s="49">
        <f>+D12-C12</f>
        <v>756</v>
      </c>
      <c r="F12" s="70">
        <f>IF(C12=0,0,+E12/C12)</f>
        <v>0.19626168224299065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33</v>
      </c>
      <c r="C13" s="49">
        <v>3770</v>
      </c>
      <c r="D13" s="49">
        <v>4593</v>
      </c>
      <c r="E13" s="49">
        <f>+D13-C13</f>
        <v>823</v>
      </c>
      <c r="F13" s="70">
        <f>IF(C13=0,0,+E13/C13)</f>
        <v>0.21830238726790452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34</v>
      </c>
      <c r="C15" s="51">
        <v>2586401</v>
      </c>
      <c r="D15" s="51">
        <v>2094259</v>
      </c>
      <c r="E15" s="51">
        <f>+D15-C15</f>
        <v>-492142</v>
      </c>
      <c r="F15" s="70">
        <f>IF(C15=0,0,+E15/C15)</f>
        <v>-0.19028062547145627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35</v>
      </c>
      <c r="C16" s="27">
        <f>IF(C13=0,0,+C15/+C13)</f>
        <v>686.0480106100796</v>
      </c>
      <c r="D16" s="27">
        <f>IF(D13=0,0,+D15/+D13)</f>
        <v>455.9675593294143</v>
      </c>
      <c r="E16" s="27">
        <f>+D16-C16</f>
        <v>-230.08045128066527</v>
      </c>
      <c r="F16" s="28">
        <f>IF(C16=0,0,+E16/C16)</f>
        <v>-0.33537077248582414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36</v>
      </c>
      <c r="C18" s="210">
        <v>0.369661</v>
      </c>
      <c r="D18" s="210">
        <v>0.386903</v>
      </c>
      <c r="E18" s="210">
        <f>+D18-C18</f>
        <v>0.01724199999999998</v>
      </c>
      <c r="F18" s="70">
        <f>IF(C18=0,0,+E18/C18)</f>
        <v>0.04664273483001988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37</v>
      </c>
      <c r="C19" s="27">
        <f>+C15*C18</f>
        <v>956091.5800610001</v>
      </c>
      <c r="D19" s="27">
        <f>+D15*D18</f>
        <v>810275.089877</v>
      </c>
      <c r="E19" s="27">
        <f>+D19-C19</f>
        <v>-145816.4901840001</v>
      </c>
      <c r="F19" s="28">
        <f>IF(C19=0,0,+E19/C19)</f>
        <v>-0.15251309939859192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38</v>
      </c>
      <c r="C20" s="27">
        <f>IF(C13=0,0,+C19/C13)</f>
        <v>253.60519365013263</v>
      </c>
      <c r="D20" s="27">
        <f>IF(D13=0,0,+D19/D13)</f>
        <v>176.4152166072284</v>
      </c>
      <c r="E20" s="27">
        <f>+D20-C20</f>
        <v>-77.18997704290425</v>
      </c>
      <c r="F20" s="28">
        <f>IF(C20=0,0,+E20/C20)</f>
        <v>-0.30437064766659944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39</v>
      </c>
      <c r="C22" s="51">
        <v>880651</v>
      </c>
      <c r="D22" s="51">
        <v>524418</v>
      </c>
      <c r="E22" s="51">
        <f>+D22-C22</f>
        <v>-356233</v>
      </c>
      <c r="F22" s="70">
        <f>IF(C22=0,0,+E22/C22)</f>
        <v>-0.40451098108104117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40</v>
      </c>
      <c r="C23" s="49">
        <v>860536</v>
      </c>
      <c r="D23" s="49">
        <v>815395</v>
      </c>
      <c r="E23" s="49">
        <f>+D23-C23</f>
        <v>-45141</v>
      </c>
      <c r="F23" s="70">
        <f>IF(C23=0,0,+E23/C23)</f>
        <v>-0.05245684085267786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41</v>
      </c>
      <c r="C24" s="49">
        <v>845214</v>
      </c>
      <c r="D24" s="49">
        <v>754446</v>
      </c>
      <c r="E24" s="49">
        <f>+D24-C24</f>
        <v>-90768</v>
      </c>
      <c r="F24" s="70">
        <f>IF(C24=0,0,+E24/C24)</f>
        <v>-0.10739055434481681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34</v>
      </c>
      <c r="C25" s="27">
        <f>+C22+C23+C24</f>
        <v>2586401</v>
      </c>
      <c r="D25" s="27">
        <f>+D22+D23+D24</f>
        <v>2094259</v>
      </c>
      <c r="E25" s="27">
        <f>+E22+E23+E24</f>
        <v>-492142</v>
      </c>
      <c r="F25" s="28">
        <f>IF(C25=0,0,+E25/C25)</f>
        <v>-0.19028062547145627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42</v>
      </c>
      <c r="C27" s="49">
        <v>224</v>
      </c>
      <c r="D27" s="49">
        <v>149</v>
      </c>
      <c r="E27" s="49">
        <f>+D27-C27</f>
        <v>-75</v>
      </c>
      <c r="F27" s="70">
        <f>IF(C27=0,0,+E27/C27)</f>
        <v>-0.33482142857142855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43</v>
      </c>
      <c r="C28" s="49">
        <v>73</v>
      </c>
      <c r="D28" s="49">
        <v>56</v>
      </c>
      <c r="E28" s="49">
        <f>+D28-C28</f>
        <v>-17</v>
      </c>
      <c r="F28" s="70">
        <f>IF(C28=0,0,+E28/C28)</f>
        <v>-0.2328767123287671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44</v>
      </c>
      <c r="C29" s="49">
        <v>554</v>
      </c>
      <c r="D29" s="49">
        <v>670</v>
      </c>
      <c r="E29" s="49">
        <f>+D29-C29</f>
        <v>116</v>
      </c>
      <c r="F29" s="70">
        <f>IF(C29=0,0,+E29/C29)</f>
        <v>0.20938628158844766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45</v>
      </c>
      <c r="C30" s="49">
        <v>1427</v>
      </c>
      <c r="D30" s="49">
        <v>1625</v>
      </c>
      <c r="E30" s="49">
        <f>+D30-C30</f>
        <v>198</v>
      </c>
      <c r="F30" s="70">
        <f>IF(C30=0,0,+E30/C30)</f>
        <v>0.13875262789067974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182</v>
      </c>
      <c r="B32" s="606" t="s">
        <v>46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47</v>
      </c>
      <c r="C33" s="51">
        <v>904241</v>
      </c>
      <c r="D33" s="51">
        <v>844999</v>
      </c>
      <c r="E33" s="51">
        <f>+D33-C33</f>
        <v>-59242</v>
      </c>
      <c r="F33" s="70">
        <f>IF(C33=0,0,+E33/C33)</f>
        <v>-0.06551571981363376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48</v>
      </c>
      <c r="C34" s="49">
        <v>1031327</v>
      </c>
      <c r="D34" s="49">
        <v>1106556</v>
      </c>
      <c r="E34" s="49">
        <f>+D34-C34</f>
        <v>75229</v>
      </c>
      <c r="F34" s="70">
        <f>IF(C34=0,0,+E34/C34)</f>
        <v>0.07294388685644805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49</v>
      </c>
      <c r="C35" s="49">
        <v>2314135</v>
      </c>
      <c r="D35" s="49">
        <v>2189694</v>
      </c>
      <c r="E35" s="49">
        <f>+D35-C35</f>
        <v>-124441</v>
      </c>
      <c r="F35" s="70">
        <f>IF(C35=0,0,+E35/C35)</f>
        <v>-0.05377430443772727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50</v>
      </c>
      <c r="C36" s="27">
        <f>+C33+C34+C35</f>
        <v>4249703</v>
      </c>
      <c r="D36" s="27">
        <f>+D33+D34+D35</f>
        <v>4141249</v>
      </c>
      <c r="E36" s="27">
        <f>+E33+E34+E35</f>
        <v>-108454</v>
      </c>
      <c r="F36" s="28">
        <f>IF(C36=0,0,+E36/C36)</f>
        <v>-0.025520371658913577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192</v>
      </c>
      <c r="B38" s="606" t="s">
        <v>51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52</v>
      </c>
      <c r="C39" s="51">
        <f>+C25</f>
        <v>2586401</v>
      </c>
      <c r="D39" s="51">
        <f>+D25</f>
        <v>2094259</v>
      </c>
      <c r="E39" s="51">
        <f>+D39-C39</f>
        <v>-492142</v>
      </c>
      <c r="F39" s="70">
        <f>IF(C39=0,0,+E39/C39)</f>
        <v>-0.19028062547145627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53</v>
      </c>
      <c r="C40" s="49">
        <f>+C36</f>
        <v>4249703</v>
      </c>
      <c r="D40" s="49">
        <f>+D36</f>
        <v>4141249</v>
      </c>
      <c r="E40" s="49">
        <f>+D40-C40</f>
        <v>-108454</v>
      </c>
      <c r="F40" s="70">
        <f>IF(C40=0,0,+E40/C40)</f>
        <v>-0.025520371658913577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54</v>
      </c>
      <c r="C41" s="27">
        <f>+C39+C40</f>
        <v>6836104</v>
      </c>
      <c r="D41" s="27">
        <f>+D39+D40</f>
        <v>6235508</v>
      </c>
      <c r="E41" s="27">
        <f>+E39+E40</f>
        <v>-600596</v>
      </c>
      <c r="F41" s="28">
        <f>IF(C41=0,0,+E41/C41)</f>
        <v>-0.08785647497463467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55</v>
      </c>
      <c r="C43" s="51">
        <f aca="true" t="shared" si="0" ref="C43:D45">+C22+C33</f>
        <v>1784892</v>
      </c>
      <c r="D43" s="51">
        <f t="shared" si="0"/>
        <v>1369417</v>
      </c>
      <c r="E43" s="51">
        <f>+D43-C43</f>
        <v>-415475</v>
      </c>
      <c r="F43" s="70">
        <f>IF(C43=0,0,+E43/C43)</f>
        <v>-0.23277318739733271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56</v>
      </c>
      <c r="C44" s="49">
        <f t="shared" si="0"/>
        <v>1891863</v>
      </c>
      <c r="D44" s="49">
        <f t="shared" si="0"/>
        <v>1921951</v>
      </c>
      <c r="E44" s="49">
        <f>+D44-C44</f>
        <v>30088</v>
      </c>
      <c r="F44" s="70">
        <f>IF(C44=0,0,+E44/C44)</f>
        <v>0.015903900018130277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57</v>
      </c>
      <c r="C45" s="49">
        <f t="shared" si="0"/>
        <v>3159349</v>
      </c>
      <c r="D45" s="49">
        <f t="shared" si="0"/>
        <v>2944140</v>
      </c>
      <c r="E45" s="49">
        <f>+D45-C45</f>
        <v>-215209</v>
      </c>
      <c r="F45" s="70">
        <f>IF(C45=0,0,+E45/C45)</f>
        <v>-0.06811814712461332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54</v>
      </c>
      <c r="C46" s="27">
        <f>+C43+C44+C45</f>
        <v>6836104</v>
      </c>
      <c r="D46" s="27">
        <f>+D43+D44+D45</f>
        <v>6235508</v>
      </c>
      <c r="E46" s="27">
        <f>+E43+E44+E45</f>
        <v>-600596</v>
      </c>
      <c r="F46" s="28">
        <f>IF(C46=0,0,+E46/C46)</f>
        <v>-0.08785647497463467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58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FILING&amp;RWINDHAM COMMUNITY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156</v>
      </c>
      <c r="B2" s="715"/>
      <c r="C2" s="715"/>
      <c r="D2" s="715"/>
      <c r="E2" s="715"/>
      <c r="F2" s="716"/>
    </row>
    <row r="3" spans="1:6" ht="15.75" customHeight="1">
      <c r="A3" s="714" t="s">
        <v>746</v>
      </c>
      <c r="B3" s="715"/>
      <c r="C3" s="715"/>
      <c r="D3" s="715"/>
      <c r="E3" s="715"/>
      <c r="F3" s="716"/>
    </row>
    <row r="4" spans="1:6" ht="15.75" customHeight="1">
      <c r="A4" s="714" t="s">
        <v>747</v>
      </c>
      <c r="B4" s="715"/>
      <c r="C4" s="715"/>
      <c r="D4" s="715"/>
      <c r="E4" s="715"/>
      <c r="F4" s="716"/>
    </row>
    <row r="5" spans="1:6" ht="15.75" customHeight="1">
      <c r="A5" s="714" t="s">
        <v>59</v>
      </c>
      <c r="B5" s="715"/>
      <c r="C5" s="715"/>
      <c r="D5" s="715"/>
      <c r="E5" s="715"/>
      <c r="F5" s="716"/>
    </row>
    <row r="6" spans="1:6" ht="15.75" customHeight="1">
      <c r="A6" s="714" t="s">
        <v>60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752</v>
      </c>
      <c r="D9" s="35" t="s">
        <v>753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61</v>
      </c>
      <c r="D10" s="35" t="s">
        <v>61</v>
      </c>
      <c r="E10" s="35" t="s">
        <v>162</v>
      </c>
      <c r="F10" s="35" t="s">
        <v>163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164</v>
      </c>
      <c r="B11" s="606" t="s">
        <v>165</v>
      </c>
      <c r="C11" s="605" t="s">
        <v>62</v>
      </c>
      <c r="D11" s="605" t="s">
        <v>62</v>
      </c>
      <c r="E11" s="605" t="s">
        <v>167</v>
      </c>
      <c r="F11" s="605" t="s">
        <v>167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63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481</v>
      </c>
      <c r="C15" s="51">
        <v>72150715</v>
      </c>
      <c r="D15" s="51">
        <v>68498602</v>
      </c>
      <c r="E15" s="51">
        <f>+D15-C15</f>
        <v>-3652113</v>
      </c>
      <c r="F15" s="70">
        <f>+E15/C15</f>
        <v>-0.050617835180150325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659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64</v>
      </c>
      <c r="C17" s="51">
        <v>39851033</v>
      </c>
      <c r="D17" s="51">
        <v>35545014</v>
      </c>
      <c r="E17" s="51">
        <f>+D17-C17</f>
        <v>-4306019</v>
      </c>
      <c r="F17" s="70">
        <f>+E17/C17</f>
        <v>-0.10805288284496917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65</v>
      </c>
      <c r="C19" s="27">
        <f>+C15-C17</f>
        <v>32299682</v>
      </c>
      <c r="D19" s="27">
        <f>+D15-D17</f>
        <v>32953588</v>
      </c>
      <c r="E19" s="27">
        <f>+D19-C19</f>
        <v>653906</v>
      </c>
      <c r="F19" s="28">
        <f>+E19/C19</f>
        <v>0.020244967117632923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66</v>
      </c>
      <c r="C21" s="628">
        <f>+C17/C15</f>
        <v>0.5523303961714031</v>
      </c>
      <c r="D21" s="628">
        <f>+D17/D15</f>
        <v>0.5189159042983096</v>
      </c>
      <c r="E21" s="628">
        <f>+D21-C21</f>
        <v>-0.03341449187309353</v>
      </c>
      <c r="F21" s="28">
        <f>+E21/C21</f>
        <v>-0.06049728949323316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659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659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659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659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67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FILING&amp;R&amp;12WINDHAM COMMUNITY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156</v>
      </c>
      <c r="B1" s="718"/>
      <c r="C1" s="718"/>
      <c r="D1" s="718"/>
      <c r="E1" s="718"/>
      <c r="F1" s="630"/>
    </row>
    <row r="2" spans="1:6" ht="25.5" customHeight="1">
      <c r="A2" s="718" t="s">
        <v>157</v>
      </c>
      <c r="B2" s="718"/>
      <c r="C2" s="718"/>
      <c r="D2" s="718"/>
      <c r="E2" s="718"/>
      <c r="F2" s="630"/>
    </row>
    <row r="3" spans="1:6" ht="25.5" customHeight="1">
      <c r="A3" s="718" t="s">
        <v>158</v>
      </c>
      <c r="B3" s="718"/>
      <c r="C3" s="718"/>
      <c r="D3" s="718"/>
      <c r="E3" s="718"/>
      <c r="F3" s="630"/>
    </row>
    <row r="4" spans="1:6" ht="25.5" customHeight="1">
      <c r="A4" s="718" t="s">
        <v>68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69</v>
      </c>
      <c r="B6" s="632" t="s">
        <v>70</v>
      </c>
      <c r="C6" s="632" t="s">
        <v>71</v>
      </c>
      <c r="D6" s="632" t="s">
        <v>72</v>
      </c>
      <c r="E6" s="632" t="s">
        <v>73</v>
      </c>
    </row>
    <row r="7" spans="1:5" ht="37.5" customHeight="1">
      <c r="A7" s="633" t="s">
        <v>164</v>
      </c>
      <c r="B7" s="634" t="s">
        <v>74</v>
      </c>
      <c r="C7" s="631" t="s">
        <v>75</v>
      </c>
      <c r="D7" s="631" t="s">
        <v>76</v>
      </c>
      <c r="E7" s="631" t="s">
        <v>77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170</v>
      </c>
      <c r="B9" s="637" t="s">
        <v>78</v>
      </c>
      <c r="C9" s="638"/>
      <c r="D9" s="638"/>
      <c r="E9" s="638"/>
    </row>
    <row r="10" spans="1:5" ht="25.5" customHeight="1">
      <c r="A10" s="639">
        <v>1</v>
      </c>
      <c r="B10" s="640" t="s">
        <v>79</v>
      </c>
      <c r="C10" s="641">
        <v>74870676</v>
      </c>
      <c r="D10" s="641">
        <v>74505375</v>
      </c>
      <c r="E10" s="641">
        <v>72446212</v>
      </c>
    </row>
    <row r="11" spans="1:5" ht="25.5" customHeight="1">
      <c r="A11" s="639">
        <v>2</v>
      </c>
      <c r="B11" s="640" t="s">
        <v>80</v>
      </c>
      <c r="C11" s="641">
        <v>116127665</v>
      </c>
      <c r="D11" s="641">
        <v>119289489</v>
      </c>
      <c r="E11" s="641">
        <v>117737661</v>
      </c>
    </row>
    <row r="12" spans="1:5" ht="25.5" customHeight="1">
      <c r="A12" s="639">
        <v>3</v>
      </c>
      <c r="B12" s="640" t="s">
        <v>227</v>
      </c>
      <c r="C12" s="641">
        <f>+C11+C10</f>
        <v>190998341</v>
      </c>
      <c r="D12" s="641">
        <f>+D11+D10</f>
        <v>193794864</v>
      </c>
      <c r="E12" s="641">
        <f>+E11+E10</f>
        <v>190183873</v>
      </c>
    </row>
    <row r="13" spans="1:5" ht="25.5" customHeight="1">
      <c r="A13" s="639">
        <v>4</v>
      </c>
      <c r="B13" s="640" t="s">
        <v>639</v>
      </c>
      <c r="C13" s="641">
        <v>76196541</v>
      </c>
      <c r="D13" s="641">
        <v>81011511</v>
      </c>
      <c r="E13" s="641">
        <v>83605148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182</v>
      </c>
      <c r="B15" s="642" t="s">
        <v>480</v>
      </c>
      <c r="C15" s="641"/>
      <c r="D15" s="641"/>
      <c r="E15" s="641"/>
    </row>
    <row r="16" spans="1:5" ht="25.5" customHeight="1">
      <c r="A16" s="639">
        <v>1</v>
      </c>
      <c r="B16" s="640" t="s">
        <v>81</v>
      </c>
      <c r="C16" s="641">
        <v>81098944</v>
      </c>
      <c r="D16" s="641">
        <v>83487134</v>
      </c>
      <c r="E16" s="641">
        <v>85401157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192</v>
      </c>
      <c r="B18" s="642" t="s">
        <v>82</v>
      </c>
      <c r="C18" s="643"/>
      <c r="D18" s="643"/>
      <c r="E18" s="641"/>
    </row>
    <row r="19" spans="1:5" ht="25.5" customHeight="1">
      <c r="A19" s="639">
        <v>1</v>
      </c>
      <c r="B19" s="640" t="s">
        <v>528</v>
      </c>
      <c r="C19" s="644">
        <v>21595</v>
      </c>
      <c r="D19" s="644">
        <v>21050</v>
      </c>
      <c r="E19" s="644">
        <v>20696</v>
      </c>
    </row>
    <row r="20" spans="1:5" ht="25.5" customHeight="1">
      <c r="A20" s="639">
        <v>2</v>
      </c>
      <c r="B20" s="640" t="s">
        <v>529</v>
      </c>
      <c r="C20" s="645">
        <v>5713</v>
      </c>
      <c r="D20" s="645">
        <v>5744</v>
      </c>
      <c r="E20" s="645">
        <v>5343</v>
      </c>
    </row>
    <row r="21" spans="1:5" ht="25.5" customHeight="1">
      <c r="A21" s="639">
        <v>3</v>
      </c>
      <c r="B21" s="640" t="s">
        <v>83</v>
      </c>
      <c r="C21" s="646">
        <f>IF(C20=0,0,+C19/C20)</f>
        <v>3.7799754944862594</v>
      </c>
      <c r="D21" s="646">
        <f>IF(D20=0,0,+D19/D20)</f>
        <v>3.6646935933147633</v>
      </c>
      <c r="E21" s="646">
        <f>IF(E20=0,0,+E19/E20)</f>
        <v>3.8734793187347933</v>
      </c>
    </row>
    <row r="22" spans="1:5" ht="25.5" customHeight="1">
      <c r="A22" s="639">
        <v>4</v>
      </c>
      <c r="B22" s="640" t="s">
        <v>84</v>
      </c>
      <c r="C22" s="645">
        <f>IF(C10=0,0,C19*(C12/C10))</f>
        <v>55089.78139712536</v>
      </c>
      <c r="D22" s="645">
        <f>IF(D10=0,0,D19*(D12/D10))</f>
        <v>54752.85356526291</v>
      </c>
      <c r="E22" s="645">
        <f>IF(E10=0,0,E19*(E12/E10))</f>
        <v>54330.589922465515</v>
      </c>
    </row>
    <row r="23" spans="1:5" ht="25.5" customHeight="1">
      <c r="A23" s="639">
        <v>0</v>
      </c>
      <c r="B23" s="640" t="s">
        <v>85</v>
      </c>
      <c r="C23" s="645">
        <f>IF(C10=0,0,C20*(C12/C10))</f>
        <v>14574.11072571323</v>
      </c>
      <c r="D23" s="645">
        <f>IF(D10=0,0,D20*(D12/D10))</f>
        <v>14940.636146264616</v>
      </c>
      <c r="E23" s="645">
        <f>IF(E10=0,0,E20*(E12/E10))</f>
        <v>14026.301795309879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477</v>
      </c>
      <c r="B25" s="642" t="s">
        <v>86</v>
      </c>
      <c r="C25" s="645"/>
      <c r="D25" s="645"/>
      <c r="E25" s="645"/>
    </row>
    <row r="26" spans="1:5" ht="25.5" customHeight="1">
      <c r="A26" s="639">
        <v>1</v>
      </c>
      <c r="B26" s="640" t="s">
        <v>578</v>
      </c>
      <c r="C26" s="647">
        <v>1.0091415420969718</v>
      </c>
      <c r="D26" s="647">
        <v>1.0124688144150418</v>
      </c>
      <c r="E26" s="647">
        <v>1.0200832603406325</v>
      </c>
    </row>
    <row r="27" spans="1:5" ht="25.5" customHeight="1">
      <c r="A27" s="639">
        <v>2</v>
      </c>
      <c r="B27" s="640" t="s">
        <v>87</v>
      </c>
      <c r="C27" s="645">
        <f>C19*C26</f>
        <v>21792.411601584106</v>
      </c>
      <c r="D27" s="645">
        <f>D19*D26</f>
        <v>21312.46854343663</v>
      </c>
      <c r="E27" s="645">
        <f>E19*E26</f>
        <v>21111.64315600973</v>
      </c>
    </row>
    <row r="28" spans="1:5" ht="25.5" customHeight="1">
      <c r="A28" s="639">
        <v>3</v>
      </c>
      <c r="B28" s="640" t="s">
        <v>88</v>
      </c>
      <c r="C28" s="645">
        <f>C20*C26</f>
        <v>5765.22563</v>
      </c>
      <c r="D28" s="645">
        <f>D20*D26</f>
        <v>5815.62087</v>
      </c>
      <c r="E28" s="645">
        <f>E20*E26</f>
        <v>5450.304859999999</v>
      </c>
    </row>
    <row r="29" spans="1:5" ht="25.5" customHeight="1">
      <c r="A29" s="639">
        <v>4</v>
      </c>
      <c r="B29" s="640" t="s">
        <v>89</v>
      </c>
      <c r="C29" s="645">
        <f>C22*C26</f>
        <v>55593.38695288016</v>
      </c>
      <c r="D29" s="645">
        <f>D22*D26</f>
        <v>55435.55673506213</v>
      </c>
      <c r="E29" s="645">
        <f>E22*E26</f>
        <v>55421.725304338535</v>
      </c>
    </row>
    <row r="30" spans="1:5" ht="25.5" customHeight="1">
      <c r="A30" s="639">
        <v>5</v>
      </c>
      <c r="B30" s="640" t="s">
        <v>90</v>
      </c>
      <c r="C30" s="645">
        <f>C23*C26</f>
        <v>14707.340572438266</v>
      </c>
      <c r="D30" s="645">
        <f>D23*D26</f>
        <v>15126.928165615054</v>
      </c>
      <c r="E30" s="645">
        <f>E23*E26</f>
        <v>14307.995665881368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498</v>
      </c>
      <c r="B32" s="634" t="s">
        <v>91</v>
      </c>
      <c r="C32" s="648"/>
      <c r="D32" s="648"/>
      <c r="E32" s="645"/>
    </row>
    <row r="33" spans="1:5" ht="25.5" customHeight="1">
      <c r="A33" s="639">
        <v>1</v>
      </c>
      <c r="B33" s="640" t="s">
        <v>92</v>
      </c>
      <c r="C33" s="641">
        <f>IF(C19=0,0,C12/C19)</f>
        <v>8844.563139615651</v>
      </c>
      <c r="D33" s="641">
        <f>IF(D19=0,0,D12/D19)</f>
        <v>9206.406840855107</v>
      </c>
      <c r="E33" s="641">
        <f>IF(E19=0,0,E12/E19)</f>
        <v>9189.402444916892</v>
      </c>
    </row>
    <row r="34" spans="1:5" ht="25.5" customHeight="1">
      <c r="A34" s="639">
        <v>2</v>
      </c>
      <c r="B34" s="640" t="s">
        <v>93</v>
      </c>
      <c r="C34" s="641">
        <f>IF(C20=0,0,C12/C20)</f>
        <v>33432.23192718362</v>
      </c>
      <c r="D34" s="641">
        <f>IF(D20=0,0,D12/D20)</f>
        <v>33738.66016713092</v>
      </c>
      <c r="E34" s="641">
        <f>IF(E20=0,0,E12/E20)</f>
        <v>35594.96032191653</v>
      </c>
    </row>
    <row r="35" spans="1:5" ht="25.5" customHeight="1">
      <c r="A35" s="639">
        <v>3</v>
      </c>
      <c r="B35" s="640" t="s">
        <v>94</v>
      </c>
      <c r="C35" s="641">
        <f>IF(C22=0,0,C12/C22)</f>
        <v>3467.0375549895807</v>
      </c>
      <c r="D35" s="641">
        <f>IF(D22=0,0,D12/D22)</f>
        <v>3539.447743467934</v>
      </c>
      <c r="E35" s="641">
        <f>IF(E22=0,0,E12/E22)</f>
        <v>3500.4934286818707</v>
      </c>
    </row>
    <row r="36" spans="1:5" ht="25.5" customHeight="1">
      <c r="A36" s="639">
        <v>4</v>
      </c>
      <c r="B36" s="640" t="s">
        <v>95</v>
      </c>
      <c r="C36" s="641">
        <f>IF(C23=0,0,C12/C23)</f>
        <v>13105.316996324173</v>
      </c>
      <c r="D36" s="641">
        <f>IF(D23=0,0,D12/D23)</f>
        <v>12970.991469359331</v>
      </c>
      <c r="E36" s="641">
        <f>IF(E23=0,0,E12/E23)</f>
        <v>13559.088901366273</v>
      </c>
    </row>
    <row r="37" spans="1:5" ht="25.5" customHeight="1">
      <c r="A37" s="639">
        <v>5</v>
      </c>
      <c r="B37" s="640" t="s">
        <v>96</v>
      </c>
      <c r="C37" s="641">
        <f>IF(C29=0,0,C12/C29)</f>
        <v>3435.6305932913633</v>
      </c>
      <c r="D37" s="641">
        <f>IF(D29=0,0,D12/D29)</f>
        <v>3495.8585322085846</v>
      </c>
      <c r="E37" s="641">
        <f>IF(E29=0,0,E12/E29)</f>
        <v>3431.576190666009</v>
      </c>
    </row>
    <row r="38" spans="1:5" ht="25.5" customHeight="1">
      <c r="A38" s="639">
        <v>6</v>
      </c>
      <c r="B38" s="640" t="s">
        <v>97</v>
      </c>
      <c r="C38" s="641">
        <f>IF(C30=0,0,C12/C30)</f>
        <v>12986.599450748641</v>
      </c>
      <c r="D38" s="641">
        <f>IF(D30=0,0,D12/D30)</f>
        <v>12811.25036611955</v>
      </c>
      <c r="E38" s="641">
        <f>IF(E30=0,0,E12/E30)</f>
        <v>13292.13940520751</v>
      </c>
    </row>
    <row r="39" spans="1:5" ht="25.5" customHeight="1">
      <c r="A39" s="639">
        <v>7</v>
      </c>
      <c r="B39" s="640" t="s">
        <v>98</v>
      </c>
      <c r="C39" s="641">
        <f>IF(C22=0,0,C10/C22)</f>
        <v>1359.0664929359625</v>
      </c>
      <c r="D39" s="641">
        <f>IF(D22=0,0,D10/D22)</f>
        <v>1360.757844542166</v>
      </c>
      <c r="E39" s="641">
        <f>IF(E22=0,0,E10/E22)</f>
        <v>1333.433193038895</v>
      </c>
    </row>
    <row r="40" spans="1:5" ht="25.5" customHeight="1">
      <c r="A40" s="639">
        <v>8</v>
      </c>
      <c r="B40" s="640" t="s">
        <v>99</v>
      </c>
      <c r="C40" s="641">
        <f>IF(C23=0,0,C10/C23)</f>
        <v>5137.238038675321</v>
      </c>
      <c r="D40" s="641">
        <f>IF(D23=0,0,D10/D23)</f>
        <v>4986.7605549464815</v>
      </c>
      <c r="E40" s="641">
        <f>IF(E23=0,0,E10/E23)</f>
        <v>5165.025896150659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510</v>
      </c>
      <c r="B42" s="634" t="s">
        <v>100</v>
      </c>
      <c r="C42" s="641"/>
      <c r="D42" s="641"/>
      <c r="E42" s="641"/>
    </row>
    <row r="43" spans="1:5" ht="25.5" customHeight="1">
      <c r="A43" s="639">
        <v>1</v>
      </c>
      <c r="B43" s="640" t="s">
        <v>101</v>
      </c>
      <c r="C43" s="641">
        <f>IF(C19=0,0,C13/C19)</f>
        <v>3528.434406112526</v>
      </c>
      <c r="D43" s="641">
        <f>IF(D19=0,0,D13/D19)</f>
        <v>3848.52783847981</v>
      </c>
      <c r="E43" s="641">
        <f>IF(E19=0,0,E13/E19)</f>
        <v>4039.6766524932355</v>
      </c>
    </row>
    <row r="44" spans="1:5" ht="25.5" customHeight="1">
      <c r="A44" s="639">
        <v>2</v>
      </c>
      <c r="B44" s="640" t="s">
        <v>102</v>
      </c>
      <c r="C44" s="641">
        <f>IF(C20=0,0,C13/C20)</f>
        <v>13337.395589007527</v>
      </c>
      <c r="D44" s="641">
        <f>IF(D20=0,0,D13/D20)</f>
        <v>14103.675313370473</v>
      </c>
      <c r="E44" s="641">
        <f>IF(E20=0,0,E13/E20)</f>
        <v>15647.603967808347</v>
      </c>
    </row>
    <row r="45" spans="1:5" ht="25.5" customHeight="1">
      <c r="A45" s="639">
        <v>3</v>
      </c>
      <c r="B45" s="640" t="s">
        <v>103</v>
      </c>
      <c r="C45" s="641">
        <f>IF(C22=0,0,C13/C22)</f>
        <v>1383.1338420227605</v>
      </c>
      <c r="D45" s="641">
        <f>IF(D22=0,0,D13/D22)</f>
        <v>1479.5851855180108</v>
      </c>
      <c r="E45" s="641">
        <f>IF(E22=0,0,E13/E22)</f>
        <v>1538.8227537987684</v>
      </c>
    </row>
    <row r="46" spans="1:5" ht="25.5" customHeight="1">
      <c r="A46" s="639">
        <v>4</v>
      </c>
      <c r="B46" s="640" t="s">
        <v>104</v>
      </c>
      <c r="C46" s="641">
        <f>IF(C23=0,0,C13/C23)</f>
        <v>5228.212028440664</v>
      </c>
      <c r="D46" s="641">
        <f>IF(D23=0,0,D13/D23)</f>
        <v>5422.226350131289</v>
      </c>
      <c r="E46" s="641">
        <f>IF(E23=0,0,E13/E23)</f>
        <v>5960.598112038052</v>
      </c>
    </row>
    <row r="47" spans="1:5" ht="25.5" customHeight="1">
      <c r="A47" s="639">
        <v>5</v>
      </c>
      <c r="B47" s="640" t="s">
        <v>105</v>
      </c>
      <c r="C47" s="641">
        <f>IF(C29=0,0,C13/C29)</f>
        <v>1370.6044041638022</v>
      </c>
      <c r="D47" s="641">
        <f>IF(D29=0,0,D13/D29)</f>
        <v>1461.3637125928146</v>
      </c>
      <c r="E47" s="641">
        <f>IF(E29=0,0,E13/E29)</f>
        <v>1508.5266209396625</v>
      </c>
    </row>
    <row r="48" spans="1:5" ht="25.5" customHeight="1">
      <c r="A48" s="639">
        <v>6</v>
      </c>
      <c r="B48" s="640" t="s">
        <v>106</v>
      </c>
      <c r="C48" s="641">
        <f>IF(C30=0,0,C13/C30)</f>
        <v>5180.851060374112</v>
      </c>
      <c r="D48" s="641">
        <f>IF(D30=0,0,D13/D30)</f>
        <v>5355.450235041564</v>
      </c>
      <c r="E48" s="641">
        <f>IF(E30=0,0,E13/E30)</f>
        <v>5843.246667970664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522</v>
      </c>
      <c r="B50" s="634" t="s">
        <v>107</v>
      </c>
      <c r="C50" s="648"/>
      <c r="D50" s="648"/>
      <c r="E50" s="641"/>
    </row>
    <row r="51" spans="1:5" ht="25.5" customHeight="1">
      <c r="A51" s="639">
        <v>1</v>
      </c>
      <c r="B51" s="640" t="s">
        <v>108</v>
      </c>
      <c r="C51" s="641">
        <f>IF(C19=0,0,C16/C19)</f>
        <v>3755.450057883769</v>
      </c>
      <c r="D51" s="641">
        <f>IF(D19=0,0,D16/D19)</f>
        <v>3966.1346318289784</v>
      </c>
      <c r="E51" s="641">
        <f>IF(E19=0,0,E16/E19)</f>
        <v>4126.457141476614</v>
      </c>
    </row>
    <row r="52" spans="1:5" ht="25.5" customHeight="1">
      <c r="A52" s="639">
        <v>2</v>
      </c>
      <c r="B52" s="640" t="s">
        <v>109</v>
      </c>
      <c r="C52" s="641">
        <f>IF(C20=0,0,C16/C20)</f>
        <v>14195.509189567652</v>
      </c>
      <c r="D52" s="641">
        <f>IF(D20=0,0,D16/D20)</f>
        <v>14534.668175487464</v>
      </c>
      <c r="E52" s="641">
        <f>IF(E20=0,0,E16/E20)</f>
        <v>15983.746397155157</v>
      </c>
    </row>
    <row r="53" spans="1:5" ht="25.5" customHeight="1">
      <c r="A53" s="639">
        <v>3</v>
      </c>
      <c r="B53" s="640" t="s">
        <v>110</v>
      </c>
      <c r="C53" s="641">
        <f>IF(C22=0,0,C16/C22)</f>
        <v>1472.1231768081007</v>
      </c>
      <c r="D53" s="641">
        <f>IF(D22=0,0,D16/D22)</f>
        <v>1524.799687389574</v>
      </c>
      <c r="E53" s="641">
        <f>IF(E22=0,0,E16/E22)</f>
        <v>1571.8798032908328</v>
      </c>
    </row>
    <row r="54" spans="1:5" ht="25.5" customHeight="1">
      <c r="A54" s="639">
        <v>4</v>
      </c>
      <c r="B54" s="640" t="s">
        <v>111</v>
      </c>
      <c r="C54" s="641">
        <f>IF(C23=0,0,C16/C23)</f>
        <v>5564.589533199884</v>
      </c>
      <c r="D54" s="641">
        <f>IF(D23=0,0,D16/D23)</f>
        <v>5587.923645464924</v>
      </c>
      <c r="E54" s="641">
        <f>IF(E23=0,0,E16/E23)</f>
        <v>6088.643909583956</v>
      </c>
    </row>
    <row r="55" spans="1:5" ht="25.5" customHeight="1">
      <c r="A55" s="639">
        <v>5</v>
      </c>
      <c r="B55" s="640" t="s">
        <v>112</v>
      </c>
      <c r="C55" s="641">
        <f>IF(C29=0,0,C16/C29)</f>
        <v>1458.7876084746886</v>
      </c>
      <c r="D55" s="641">
        <f>IF(D29=0,0,D16/D29)</f>
        <v>1506.0213862197163</v>
      </c>
      <c r="E55" s="641">
        <f>IF(E29=0,0,E16/E29)</f>
        <v>1540.932847742194</v>
      </c>
    </row>
    <row r="56" spans="1:5" ht="25.5" customHeight="1">
      <c r="A56" s="639">
        <v>6</v>
      </c>
      <c r="B56" s="640" t="s">
        <v>113</v>
      </c>
      <c r="C56" s="641">
        <f>IF(C30=0,0,C16/C30)</f>
        <v>5514.181411694538</v>
      </c>
      <c r="D56" s="641">
        <f>IF(D30=0,0,D16/D30)</f>
        <v>5519.1069254744125</v>
      </c>
      <c r="E56" s="641">
        <f>IF(E30=0,0,E16/E30)</f>
        <v>5968.771517288499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526</v>
      </c>
      <c r="B58" s="642" t="s">
        <v>114</v>
      </c>
      <c r="C58" s="641"/>
      <c r="D58" s="641"/>
      <c r="E58" s="641"/>
    </row>
    <row r="59" spans="1:5" ht="25.5" customHeight="1">
      <c r="A59" s="639">
        <v>1</v>
      </c>
      <c r="B59" s="640" t="s">
        <v>115</v>
      </c>
      <c r="C59" s="649">
        <v>11240060</v>
      </c>
      <c r="D59" s="649">
        <v>12315908</v>
      </c>
      <c r="E59" s="649">
        <v>15137005</v>
      </c>
    </row>
    <row r="60" spans="1:5" ht="25.5" customHeight="1">
      <c r="A60" s="639">
        <v>2</v>
      </c>
      <c r="B60" s="640" t="s">
        <v>116</v>
      </c>
      <c r="C60" s="649">
        <v>3905584</v>
      </c>
      <c r="D60" s="649">
        <v>4171693</v>
      </c>
      <c r="E60" s="649">
        <v>5158691</v>
      </c>
    </row>
    <row r="61" spans="1:5" ht="25.5" customHeight="1">
      <c r="A61" s="650">
        <v>3</v>
      </c>
      <c r="B61" s="651" t="s">
        <v>117</v>
      </c>
      <c r="C61" s="652">
        <f>C59+C60</f>
        <v>15145644</v>
      </c>
      <c r="D61" s="652">
        <f>D59+D60</f>
        <v>16487601</v>
      </c>
      <c r="E61" s="652">
        <f>E59+E60</f>
        <v>20295696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168</v>
      </c>
      <c r="B63" s="642" t="s">
        <v>118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119</v>
      </c>
      <c r="C64" s="641">
        <v>4978608</v>
      </c>
      <c r="D64" s="641">
        <v>2978184</v>
      </c>
      <c r="E64" s="649">
        <v>127711</v>
      </c>
      <c r="F64" s="653"/>
    </row>
    <row r="65" spans="1:6" ht="25.5" customHeight="1">
      <c r="A65" s="639">
        <v>2</v>
      </c>
      <c r="B65" s="640" t="s">
        <v>120</v>
      </c>
      <c r="C65" s="649">
        <v>838140</v>
      </c>
      <c r="D65" s="649">
        <v>1137734</v>
      </c>
      <c r="E65" s="649">
        <v>43524</v>
      </c>
      <c r="F65" s="653"/>
    </row>
    <row r="66" spans="1:6" ht="25.5" customHeight="1">
      <c r="A66" s="650">
        <v>3</v>
      </c>
      <c r="B66" s="651" t="s">
        <v>121</v>
      </c>
      <c r="C66" s="654">
        <f>C64+C65</f>
        <v>5816748</v>
      </c>
      <c r="D66" s="654">
        <f>D64+D65</f>
        <v>4115918</v>
      </c>
      <c r="E66" s="654">
        <f>E64+E65</f>
        <v>171235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552</v>
      </c>
      <c r="B68" s="642" t="s">
        <v>122</v>
      </c>
      <c r="C68" s="649"/>
      <c r="D68" s="649"/>
      <c r="E68" s="649"/>
    </row>
    <row r="69" spans="1:5" ht="25.5" customHeight="1">
      <c r="A69" s="639">
        <v>1</v>
      </c>
      <c r="B69" s="640" t="s">
        <v>123</v>
      </c>
      <c r="C69" s="649">
        <v>19828401</v>
      </c>
      <c r="D69" s="649">
        <v>21514168</v>
      </c>
      <c r="E69" s="649">
        <v>21833969</v>
      </c>
    </row>
    <row r="70" spans="1:5" ht="25.5" customHeight="1">
      <c r="A70" s="639">
        <v>2</v>
      </c>
      <c r="B70" s="640" t="s">
        <v>124</v>
      </c>
      <c r="C70" s="649">
        <v>8142198</v>
      </c>
      <c r="D70" s="649">
        <v>7332066</v>
      </c>
      <c r="E70" s="649">
        <v>7444319</v>
      </c>
    </row>
    <row r="71" spans="1:5" ht="25.5" customHeight="1">
      <c r="A71" s="650">
        <v>3</v>
      </c>
      <c r="B71" s="651" t="s">
        <v>125</v>
      </c>
      <c r="C71" s="652">
        <f>C69+C70</f>
        <v>27970599</v>
      </c>
      <c r="D71" s="652">
        <f>D69+D70</f>
        <v>28846234</v>
      </c>
      <c r="E71" s="652">
        <f>E69+E70</f>
        <v>29278288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568</v>
      </c>
      <c r="B74" s="642" t="s">
        <v>126</v>
      </c>
      <c r="C74" s="641"/>
      <c r="D74" s="641"/>
      <c r="E74" s="641"/>
    </row>
    <row r="75" spans="1:5" ht="25.5" customHeight="1">
      <c r="A75" s="639">
        <v>1</v>
      </c>
      <c r="B75" s="640" t="s">
        <v>127</v>
      </c>
      <c r="C75" s="641">
        <f aca="true" t="shared" si="0" ref="C75:E76">+C59+C64+C69</f>
        <v>36047069</v>
      </c>
      <c r="D75" s="641">
        <f t="shared" si="0"/>
        <v>36808260</v>
      </c>
      <c r="E75" s="641">
        <f t="shared" si="0"/>
        <v>37098685</v>
      </c>
    </row>
    <row r="76" spans="1:5" ht="25.5" customHeight="1">
      <c r="A76" s="639">
        <v>2</v>
      </c>
      <c r="B76" s="640" t="s">
        <v>128</v>
      </c>
      <c r="C76" s="641">
        <f t="shared" si="0"/>
        <v>12885922</v>
      </c>
      <c r="D76" s="641">
        <f t="shared" si="0"/>
        <v>12641493</v>
      </c>
      <c r="E76" s="641">
        <f t="shared" si="0"/>
        <v>12646534</v>
      </c>
    </row>
    <row r="77" spans="1:5" ht="25.5" customHeight="1">
      <c r="A77" s="650">
        <v>3</v>
      </c>
      <c r="B77" s="651" t="s">
        <v>126</v>
      </c>
      <c r="C77" s="654">
        <f>C75+C76</f>
        <v>48932991</v>
      </c>
      <c r="D77" s="654">
        <f>D75+D76</f>
        <v>49449753</v>
      </c>
      <c r="E77" s="654">
        <f>E75+E76</f>
        <v>49745219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577</v>
      </c>
      <c r="B79" s="642" t="s">
        <v>129</v>
      </c>
      <c r="C79" s="649"/>
      <c r="D79" s="649"/>
      <c r="E79" s="649"/>
    </row>
    <row r="80" spans="1:5" ht="25.5" customHeight="1">
      <c r="A80" s="639">
        <v>1</v>
      </c>
      <c r="B80" s="640" t="s">
        <v>733</v>
      </c>
      <c r="C80" s="646">
        <v>173.8</v>
      </c>
      <c r="D80" s="646">
        <v>180.8</v>
      </c>
      <c r="E80" s="646">
        <v>219</v>
      </c>
    </row>
    <row r="81" spans="1:5" ht="25.5" customHeight="1">
      <c r="A81" s="639">
        <v>2</v>
      </c>
      <c r="B81" s="640" t="s">
        <v>734</v>
      </c>
      <c r="C81" s="646">
        <v>9.3</v>
      </c>
      <c r="D81" s="646">
        <v>4.7</v>
      </c>
      <c r="E81" s="646">
        <v>1.1</v>
      </c>
    </row>
    <row r="82" spans="1:5" ht="25.5" customHeight="1">
      <c r="A82" s="639">
        <v>3</v>
      </c>
      <c r="B82" s="640" t="s">
        <v>130</v>
      </c>
      <c r="C82" s="646">
        <v>400.9</v>
      </c>
      <c r="D82" s="646">
        <v>409.3</v>
      </c>
      <c r="E82" s="646">
        <v>387.9</v>
      </c>
    </row>
    <row r="83" spans="1:5" ht="25.5" customHeight="1">
      <c r="A83" s="650">
        <v>4</v>
      </c>
      <c r="B83" s="651" t="s">
        <v>129</v>
      </c>
      <c r="C83" s="656">
        <f>C80+C81+C82</f>
        <v>584</v>
      </c>
      <c r="D83" s="656">
        <f>D80+D81+D82</f>
        <v>594.8</v>
      </c>
      <c r="E83" s="656">
        <f>E80+E81+E82</f>
        <v>608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580</v>
      </c>
      <c r="B85" s="642" t="s">
        <v>131</v>
      </c>
      <c r="C85" s="657"/>
      <c r="D85" s="657"/>
      <c r="E85" s="657"/>
    </row>
    <row r="86" spans="1:5" ht="25.5" customHeight="1">
      <c r="A86" s="639">
        <v>1</v>
      </c>
      <c r="B86" s="640" t="s">
        <v>132</v>
      </c>
      <c r="C86" s="649">
        <f>IF(C80=0,0,C59/C80)</f>
        <v>64672.38204833141</v>
      </c>
      <c r="D86" s="649">
        <f>IF(D80=0,0,D59/D80)</f>
        <v>68118.96017699115</v>
      </c>
      <c r="E86" s="649">
        <f>IF(E80=0,0,E59/E80)</f>
        <v>69118.74429223745</v>
      </c>
    </row>
    <row r="87" spans="1:5" ht="25.5" customHeight="1">
      <c r="A87" s="639">
        <v>2</v>
      </c>
      <c r="B87" s="640" t="s">
        <v>133</v>
      </c>
      <c r="C87" s="649">
        <f>IF(C80=0,0,C60/C80)</f>
        <v>22471.714614499422</v>
      </c>
      <c r="D87" s="649">
        <f>IF(D80=0,0,D60/D80)</f>
        <v>23073.523230088493</v>
      </c>
      <c r="E87" s="649">
        <f>IF(E80=0,0,E60/E80)</f>
        <v>23555.666666666668</v>
      </c>
    </row>
    <row r="88" spans="1:5" ht="25.5" customHeight="1">
      <c r="A88" s="650">
        <v>3</v>
      </c>
      <c r="B88" s="651" t="s">
        <v>134</v>
      </c>
      <c r="C88" s="652">
        <f>+C86+C87</f>
        <v>87144.09666283084</v>
      </c>
      <c r="D88" s="652">
        <f>+D86+D87</f>
        <v>91192.48340707965</v>
      </c>
      <c r="E88" s="652">
        <f>+E86+E87</f>
        <v>92674.41095890412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731</v>
      </c>
      <c r="B90" s="642" t="s">
        <v>135</v>
      </c>
    </row>
    <row r="91" spans="1:5" ht="25.5" customHeight="1">
      <c r="A91" s="639">
        <v>1</v>
      </c>
      <c r="B91" s="640" t="s">
        <v>136</v>
      </c>
      <c r="C91" s="641">
        <f>IF(C81=0,0,C64/C81)</f>
        <v>535334.193548387</v>
      </c>
      <c r="D91" s="641">
        <f>IF(D81=0,0,D64/D81)</f>
        <v>633656.1702127659</v>
      </c>
      <c r="E91" s="641">
        <f>IF(E81=0,0,E64/E81)</f>
        <v>116100.90909090909</v>
      </c>
    </row>
    <row r="92" spans="1:5" ht="25.5" customHeight="1">
      <c r="A92" s="639">
        <v>2</v>
      </c>
      <c r="B92" s="640" t="s">
        <v>137</v>
      </c>
      <c r="C92" s="641">
        <f>IF(C81=0,0,C65/C81)</f>
        <v>90122.58064516129</v>
      </c>
      <c r="D92" s="641">
        <f>IF(D81=0,0,D65/D81)</f>
        <v>242071.06382978722</v>
      </c>
      <c r="E92" s="641">
        <f>IF(E81=0,0,E65/E81)</f>
        <v>39567.27272727272</v>
      </c>
    </row>
    <row r="93" spans="1:5" ht="25.5" customHeight="1">
      <c r="A93" s="650">
        <v>3</v>
      </c>
      <c r="B93" s="651" t="s">
        <v>138</v>
      </c>
      <c r="C93" s="654">
        <f>+C91+C92</f>
        <v>625456.7741935484</v>
      </c>
      <c r="D93" s="654">
        <f>+D91+D92</f>
        <v>875727.2340425531</v>
      </c>
      <c r="E93" s="654">
        <f>+E91+E92</f>
        <v>155668.18181818182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139</v>
      </c>
      <c r="B95" s="642" t="s">
        <v>140</v>
      </c>
      <c r="C95" s="649"/>
      <c r="D95" s="649"/>
      <c r="E95" s="649"/>
    </row>
    <row r="96" spans="1:5" ht="25.5" customHeight="1">
      <c r="A96" s="639">
        <v>1</v>
      </c>
      <c r="B96" s="640" t="s">
        <v>141</v>
      </c>
      <c r="C96" s="649">
        <f>IF(C82=0,0,C69/C82)</f>
        <v>49459.718134198054</v>
      </c>
      <c r="D96" s="649">
        <f>IF(D82=0,0,D69/D82)</f>
        <v>52563.322746151964</v>
      </c>
      <c r="E96" s="649">
        <f>IF(E82=0,0,E69/E82)</f>
        <v>56287.62309873679</v>
      </c>
    </row>
    <row r="97" spans="1:5" ht="25.5" customHeight="1">
      <c r="A97" s="639">
        <v>2</v>
      </c>
      <c r="B97" s="640" t="s">
        <v>142</v>
      </c>
      <c r="C97" s="649">
        <f>IF(C82=0,0,C70/C82)</f>
        <v>20309.797954602145</v>
      </c>
      <c r="D97" s="649">
        <f>IF(D82=0,0,D70/D82)</f>
        <v>17913.67212313706</v>
      </c>
      <c r="E97" s="649">
        <f>IF(E82=0,0,E70/E82)</f>
        <v>19191.335395720547</v>
      </c>
    </row>
    <row r="98" spans="1:5" ht="25.5" customHeight="1">
      <c r="A98" s="650">
        <v>3</v>
      </c>
      <c r="B98" s="651" t="s">
        <v>143</v>
      </c>
      <c r="C98" s="654">
        <f>+C96+C97</f>
        <v>69769.5160888002</v>
      </c>
      <c r="D98" s="654">
        <f>+D96+D97</f>
        <v>70476.99486928902</v>
      </c>
      <c r="E98" s="654">
        <f>+E96+E97</f>
        <v>75478.95849445733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144</v>
      </c>
      <c r="B100" s="642" t="s">
        <v>145</v>
      </c>
    </row>
    <row r="101" spans="1:5" ht="25.5" customHeight="1">
      <c r="A101" s="639">
        <v>1</v>
      </c>
      <c r="B101" s="640" t="s">
        <v>146</v>
      </c>
      <c r="C101" s="641">
        <f>IF(C83=0,0,C75/C83)</f>
        <v>61724.433219178085</v>
      </c>
      <c r="D101" s="641">
        <f>IF(D83=0,0,D75/D83)</f>
        <v>61883.42299932751</v>
      </c>
      <c r="E101" s="641">
        <f>IF(E83=0,0,E75/E83)</f>
        <v>61017.57401315789</v>
      </c>
    </row>
    <row r="102" spans="1:5" ht="25.5" customHeight="1">
      <c r="A102" s="639">
        <v>2</v>
      </c>
      <c r="B102" s="640" t="s">
        <v>147</v>
      </c>
      <c r="C102" s="658">
        <f>IF(C83=0,0,C76/C83)</f>
        <v>22064.93493150685</v>
      </c>
      <c r="D102" s="658">
        <f>IF(D83=0,0,D76/D83)</f>
        <v>21253.350706119705</v>
      </c>
      <c r="E102" s="658">
        <f>IF(E83=0,0,E76/E83)</f>
        <v>20800.220394736843</v>
      </c>
    </row>
    <row r="103" spans="1:5" ht="25.5" customHeight="1">
      <c r="A103" s="650">
        <v>3</v>
      </c>
      <c r="B103" s="651" t="s">
        <v>145</v>
      </c>
      <c r="C103" s="654">
        <f>+C101+C102</f>
        <v>83789.36815068494</v>
      </c>
      <c r="D103" s="654">
        <f>+D101+D102</f>
        <v>83136.77370544721</v>
      </c>
      <c r="E103" s="654">
        <f>+E101+E102</f>
        <v>81817.79440789473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148</v>
      </c>
      <c r="B107" s="634" t="s">
        <v>149</v>
      </c>
      <c r="C107" s="659"/>
      <c r="D107" s="659"/>
      <c r="E107" s="641"/>
    </row>
    <row r="108" spans="1:5" ht="25.5" customHeight="1">
      <c r="A108" s="639">
        <v>1</v>
      </c>
      <c r="B108" s="640" t="s">
        <v>150</v>
      </c>
      <c r="C108" s="641">
        <f>IF(C19=0,0,C77/C19)</f>
        <v>2265.940773327159</v>
      </c>
      <c r="D108" s="641">
        <f>IF(D19=0,0,D77/D19)</f>
        <v>2349.156912114014</v>
      </c>
      <c r="E108" s="641">
        <f>IF(E19=0,0,E77/E19)</f>
        <v>2403.6151430228065</v>
      </c>
    </row>
    <row r="109" spans="1:5" ht="25.5" customHeight="1">
      <c r="A109" s="639">
        <v>2</v>
      </c>
      <c r="B109" s="640" t="s">
        <v>151</v>
      </c>
      <c r="C109" s="641">
        <f>IF(C20=0,0,C77/C20)</f>
        <v>8565.200595133905</v>
      </c>
      <c r="D109" s="641">
        <f>IF(D20=0,0,D77/D20)</f>
        <v>8608.94028551532</v>
      </c>
      <c r="E109" s="641">
        <f>IF(E20=0,0,E77/E20)</f>
        <v>9310.353546696613</v>
      </c>
    </row>
    <row r="110" spans="1:5" ht="25.5" customHeight="1">
      <c r="A110" s="639">
        <v>3</v>
      </c>
      <c r="B110" s="640" t="s">
        <v>152</v>
      </c>
      <c r="C110" s="641">
        <f>IF(C22=0,0,C77/C22)</f>
        <v>888.240790923766</v>
      </c>
      <c r="D110" s="641">
        <f>IF(D22=0,0,D77/D22)</f>
        <v>903.1447637894918</v>
      </c>
      <c r="E110" s="641">
        <f>IF(E22=0,0,E77/E22)</f>
        <v>915.60240871654</v>
      </c>
    </row>
    <row r="111" spans="1:5" ht="25.5" customHeight="1">
      <c r="A111" s="639">
        <v>4</v>
      </c>
      <c r="B111" s="640" t="s">
        <v>153</v>
      </c>
      <c r="C111" s="641">
        <f>IF(C23=0,0,C77/C23)</f>
        <v>3357.5284228949286</v>
      </c>
      <c r="D111" s="641">
        <f>IF(D23=0,0,D77/D23)</f>
        <v>3309.748829695125</v>
      </c>
      <c r="E111" s="641">
        <f>IF(E23=0,0,E77/E23)</f>
        <v>3546.566994347279</v>
      </c>
    </row>
    <row r="112" spans="1:5" ht="25.5" customHeight="1">
      <c r="A112" s="639">
        <v>5</v>
      </c>
      <c r="B112" s="640" t="s">
        <v>154</v>
      </c>
      <c r="C112" s="641">
        <f>IF(C29=0,0,C77/C29)</f>
        <v>880.1944562484496</v>
      </c>
      <c r="D112" s="641">
        <f>IF(D29=0,0,D77/D29)</f>
        <v>892.0223032363594</v>
      </c>
      <c r="E112" s="641">
        <f>IF(E29=0,0,E77/E29)</f>
        <v>897.5761531571417</v>
      </c>
    </row>
    <row r="113" spans="1:5" ht="25.5" customHeight="1">
      <c r="A113" s="639">
        <v>6</v>
      </c>
      <c r="B113" s="640" t="s">
        <v>155</v>
      </c>
      <c r="C113" s="641">
        <f>IF(C30=0,0,C77/C30)</f>
        <v>3327.1134750017973</v>
      </c>
      <c r="D113" s="641">
        <f>IF(D30=0,0,D77/D30)</f>
        <v>3268.9884197641654</v>
      </c>
      <c r="E113" s="641">
        <f>IF(E30=0,0,E77/E30)</f>
        <v>3476.7426662437215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FILING&amp;R&amp;12WINDHAM COMMUNITY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156</v>
      </c>
      <c r="C1" s="57"/>
      <c r="D1" s="57"/>
      <c r="E1" s="57"/>
      <c r="F1" s="58"/>
    </row>
    <row r="2" spans="1:6" ht="22.5" customHeight="1">
      <c r="A2" s="57"/>
      <c r="B2" s="57" t="s">
        <v>157</v>
      </c>
      <c r="C2" s="57"/>
      <c r="D2" s="57"/>
      <c r="E2" s="57"/>
      <c r="F2" s="58"/>
    </row>
    <row r="3" spans="1:6" ht="22.5" customHeight="1">
      <c r="A3" s="57"/>
      <c r="B3" s="57" t="s">
        <v>158</v>
      </c>
      <c r="C3" s="57"/>
      <c r="D3" s="57"/>
      <c r="E3" s="57"/>
      <c r="F3" s="58"/>
    </row>
    <row r="4" spans="1:6" ht="22.5" customHeight="1">
      <c r="A4" s="57"/>
      <c r="B4" s="57" t="s">
        <v>225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160</v>
      </c>
      <c r="D6" s="10" t="s">
        <v>161</v>
      </c>
      <c r="E6" s="59" t="s">
        <v>162</v>
      </c>
      <c r="F6" s="59" t="s">
        <v>163</v>
      </c>
    </row>
    <row r="7" spans="1:8" ht="15.75" customHeight="1">
      <c r="A7" s="61" t="s">
        <v>164</v>
      </c>
      <c r="B7" s="62" t="s">
        <v>165</v>
      </c>
      <c r="C7" s="14" t="s">
        <v>166</v>
      </c>
      <c r="D7" s="14" t="s">
        <v>166</v>
      </c>
      <c r="E7" s="63" t="s">
        <v>167</v>
      </c>
      <c r="F7" s="63" t="s">
        <v>167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170</v>
      </c>
      <c r="B11" s="30" t="s">
        <v>226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227</v>
      </c>
      <c r="C12" s="51">
        <v>193794864</v>
      </c>
      <c r="D12" s="51">
        <v>190183873</v>
      </c>
      <c r="E12" s="51">
        <f aca="true" t="shared" si="0" ref="E12:E19">D12-C12</f>
        <v>-3610991</v>
      </c>
      <c r="F12" s="70">
        <f aca="true" t="shared" si="1" ref="F12:F19">IF(C12=0,0,E12/C12)</f>
        <v>-0.018633058304372813</v>
      </c>
    </row>
    <row r="13" spans="1:6" ht="22.5" customHeight="1">
      <c r="A13" s="25">
        <v>2</v>
      </c>
      <c r="B13" s="48" t="s">
        <v>228</v>
      </c>
      <c r="C13" s="51">
        <v>110124702</v>
      </c>
      <c r="D13" s="51">
        <v>104418812</v>
      </c>
      <c r="E13" s="51">
        <f t="shared" si="0"/>
        <v>-5705890</v>
      </c>
      <c r="F13" s="70">
        <f t="shared" si="1"/>
        <v>-0.05181298924195954</v>
      </c>
    </row>
    <row r="14" spans="1:6" ht="22.5" customHeight="1">
      <c r="A14" s="25">
        <v>3</v>
      </c>
      <c r="B14" s="48" t="s">
        <v>229</v>
      </c>
      <c r="C14" s="51">
        <v>2658651</v>
      </c>
      <c r="D14" s="51">
        <v>2159913</v>
      </c>
      <c r="E14" s="51">
        <f t="shared" si="0"/>
        <v>-498738</v>
      </c>
      <c r="F14" s="70">
        <f t="shared" si="1"/>
        <v>-0.18759062396681625</v>
      </c>
    </row>
    <row r="15" spans="1:7" ht="22.5" customHeight="1">
      <c r="A15" s="25">
        <v>4</v>
      </c>
      <c r="B15" s="48" t="s">
        <v>230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231</v>
      </c>
      <c r="C16" s="27">
        <f>C12-C13-C14-C15</f>
        <v>81011511</v>
      </c>
      <c r="D16" s="27">
        <f>D12-D13-D14-D15</f>
        <v>83605148</v>
      </c>
      <c r="E16" s="27">
        <f t="shared" si="0"/>
        <v>2593637</v>
      </c>
      <c r="F16" s="28">
        <f t="shared" si="1"/>
        <v>0.032015660095514084</v>
      </c>
    </row>
    <row r="17" spans="1:7" ht="22.5" customHeight="1">
      <c r="A17" s="25">
        <v>5</v>
      </c>
      <c r="B17" s="48" t="s">
        <v>232</v>
      </c>
      <c r="C17" s="51">
        <v>4257607</v>
      </c>
      <c r="D17" s="51">
        <v>2401877</v>
      </c>
      <c r="E17" s="51">
        <f t="shared" si="0"/>
        <v>-1855730</v>
      </c>
      <c r="F17" s="70">
        <f t="shared" si="1"/>
        <v>-0.4358622108616413</v>
      </c>
      <c r="G17" s="64"/>
    </row>
    <row r="18" spans="1:7" ht="22.5" customHeight="1">
      <c r="A18" s="25">
        <v>6</v>
      </c>
      <c r="B18" s="45" t="s">
        <v>233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234</v>
      </c>
      <c r="C19" s="27">
        <f>SUM(C16:C18)</f>
        <v>85269118</v>
      </c>
      <c r="D19" s="27">
        <f>SUM(D16:D18)</f>
        <v>86007025</v>
      </c>
      <c r="E19" s="27">
        <f t="shared" si="0"/>
        <v>737907</v>
      </c>
      <c r="F19" s="28">
        <f t="shared" si="1"/>
        <v>0.008653859888641044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182</v>
      </c>
      <c r="B21" s="30" t="s">
        <v>235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236</v>
      </c>
      <c r="C22" s="51">
        <v>36808260</v>
      </c>
      <c r="D22" s="51">
        <v>37098685</v>
      </c>
      <c r="E22" s="51">
        <f aca="true" t="shared" si="2" ref="E22:E31">D22-C22</f>
        <v>290425</v>
      </c>
      <c r="F22" s="70">
        <f aca="true" t="shared" si="3" ref="F22:F31">IF(C22=0,0,E22/C22)</f>
        <v>0.007890212685956901</v>
      </c>
    </row>
    <row r="23" spans="1:6" ht="22.5" customHeight="1">
      <c r="A23" s="25">
        <v>2</v>
      </c>
      <c r="B23" s="48" t="s">
        <v>237</v>
      </c>
      <c r="C23" s="51">
        <v>12641493</v>
      </c>
      <c r="D23" s="51">
        <v>12646534</v>
      </c>
      <c r="E23" s="51">
        <f t="shared" si="2"/>
        <v>5041</v>
      </c>
      <c r="F23" s="70">
        <f t="shared" si="3"/>
        <v>0.0003987661900378381</v>
      </c>
    </row>
    <row r="24" spans="1:7" ht="22.5" customHeight="1">
      <c r="A24" s="25">
        <v>3</v>
      </c>
      <c r="B24" s="48" t="s">
        <v>238</v>
      </c>
      <c r="C24" s="51">
        <v>1049121</v>
      </c>
      <c r="D24" s="51">
        <v>910707</v>
      </c>
      <c r="E24" s="51">
        <f t="shared" si="2"/>
        <v>-138414</v>
      </c>
      <c r="F24" s="70">
        <f t="shared" si="3"/>
        <v>-0.13193330416605903</v>
      </c>
      <c r="G24" s="64"/>
    </row>
    <row r="25" spans="1:6" ht="22.5" customHeight="1">
      <c r="A25" s="25">
        <v>4</v>
      </c>
      <c r="B25" s="48" t="s">
        <v>239</v>
      </c>
      <c r="C25" s="51">
        <v>8319961</v>
      </c>
      <c r="D25" s="51">
        <v>9286201</v>
      </c>
      <c r="E25" s="51">
        <f t="shared" si="2"/>
        <v>966240</v>
      </c>
      <c r="F25" s="70">
        <f t="shared" si="3"/>
        <v>0.1161351597681768</v>
      </c>
    </row>
    <row r="26" spans="1:6" ht="22.5" customHeight="1">
      <c r="A26" s="25">
        <v>5</v>
      </c>
      <c r="B26" s="48" t="s">
        <v>240</v>
      </c>
      <c r="C26" s="51">
        <v>4033781</v>
      </c>
      <c r="D26" s="51">
        <v>4418804</v>
      </c>
      <c r="E26" s="51">
        <f t="shared" si="2"/>
        <v>385023</v>
      </c>
      <c r="F26" s="70">
        <f t="shared" si="3"/>
        <v>0.09544965381115138</v>
      </c>
    </row>
    <row r="27" spans="1:6" ht="22.5" customHeight="1">
      <c r="A27" s="25">
        <v>6</v>
      </c>
      <c r="B27" s="48" t="s">
        <v>241</v>
      </c>
      <c r="C27" s="51">
        <v>4723613</v>
      </c>
      <c r="D27" s="51">
        <v>4595065</v>
      </c>
      <c r="E27" s="51">
        <f t="shared" si="2"/>
        <v>-128548</v>
      </c>
      <c r="F27" s="70">
        <f t="shared" si="3"/>
        <v>-0.027213914433718428</v>
      </c>
    </row>
    <row r="28" spans="1:6" ht="22.5" customHeight="1">
      <c r="A28" s="25">
        <v>7</v>
      </c>
      <c r="B28" s="48" t="s">
        <v>242</v>
      </c>
      <c r="C28" s="51">
        <v>1218189</v>
      </c>
      <c r="D28" s="51">
        <v>1483430</v>
      </c>
      <c r="E28" s="51">
        <f t="shared" si="2"/>
        <v>265241</v>
      </c>
      <c r="F28" s="70">
        <f t="shared" si="3"/>
        <v>0.21773386559885208</v>
      </c>
    </row>
    <row r="29" spans="1:6" ht="22.5" customHeight="1">
      <c r="A29" s="25">
        <v>8</v>
      </c>
      <c r="B29" s="48" t="s">
        <v>243</v>
      </c>
      <c r="C29" s="51">
        <v>986674</v>
      </c>
      <c r="D29" s="51">
        <v>980763</v>
      </c>
      <c r="E29" s="51">
        <f t="shared" si="2"/>
        <v>-5911</v>
      </c>
      <c r="F29" s="70">
        <f t="shared" si="3"/>
        <v>-0.00599083385191056</v>
      </c>
    </row>
    <row r="30" spans="1:6" ht="22.5" customHeight="1">
      <c r="A30" s="25">
        <v>9</v>
      </c>
      <c r="B30" s="48" t="s">
        <v>244</v>
      </c>
      <c r="C30" s="51">
        <v>13706042</v>
      </c>
      <c r="D30" s="51">
        <v>13980968</v>
      </c>
      <c r="E30" s="51">
        <f t="shared" si="2"/>
        <v>274926</v>
      </c>
      <c r="F30" s="70">
        <f t="shared" si="3"/>
        <v>0.02005874489513457</v>
      </c>
    </row>
    <row r="31" spans="1:6" ht="22.5" customHeight="1">
      <c r="A31" s="29"/>
      <c r="B31" s="71" t="s">
        <v>245</v>
      </c>
      <c r="C31" s="27">
        <f>SUM(C22:C30)</f>
        <v>83487134</v>
      </c>
      <c r="D31" s="27">
        <f>SUM(D22:D30)</f>
        <v>85401157</v>
      </c>
      <c r="E31" s="27">
        <f t="shared" si="2"/>
        <v>1914023</v>
      </c>
      <c r="F31" s="28">
        <f t="shared" si="3"/>
        <v>0.022925963658064968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246</v>
      </c>
      <c r="C33" s="27">
        <f>+C19-C31</f>
        <v>1781984</v>
      </c>
      <c r="D33" s="27">
        <f>+D19-D31</f>
        <v>605868</v>
      </c>
      <c r="E33" s="27">
        <f>D33-C33</f>
        <v>-1176116</v>
      </c>
      <c r="F33" s="28">
        <f>IF(C33=0,0,E33/C33)</f>
        <v>-0.6600036812900677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192</v>
      </c>
      <c r="B35" s="30" t="s">
        <v>247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248</v>
      </c>
      <c r="C36" s="51">
        <v>170517</v>
      </c>
      <c r="D36" s="51">
        <v>152507</v>
      </c>
      <c r="E36" s="51">
        <f>D36-C36</f>
        <v>-18010</v>
      </c>
      <c r="F36" s="70">
        <f>IF(C36=0,0,E36/C36)</f>
        <v>-0.10561996751057079</v>
      </c>
    </row>
    <row r="37" spans="1:6" ht="22.5" customHeight="1">
      <c r="A37" s="44">
        <v>2</v>
      </c>
      <c r="B37" s="48" t="s">
        <v>249</v>
      </c>
      <c r="C37" s="51">
        <v>248855</v>
      </c>
      <c r="D37" s="51">
        <v>205897</v>
      </c>
      <c r="E37" s="51">
        <f>D37-C37</f>
        <v>-42958</v>
      </c>
      <c r="F37" s="70">
        <f>IF(C37=0,0,E37/C37)</f>
        <v>-0.17262261156094916</v>
      </c>
    </row>
    <row r="38" spans="1:6" ht="22.5" customHeight="1">
      <c r="A38" s="44">
        <v>3</v>
      </c>
      <c r="B38" s="48" t="s">
        <v>250</v>
      </c>
      <c r="C38" s="51">
        <v>-108905</v>
      </c>
      <c r="D38" s="51">
        <v>-2151268</v>
      </c>
      <c r="E38" s="51">
        <f>D38-C38</f>
        <v>-2042363</v>
      </c>
      <c r="F38" s="70">
        <f>IF(C38=0,0,E38/C38)</f>
        <v>18.753620127634175</v>
      </c>
    </row>
    <row r="39" spans="1:6" ht="22.5" customHeight="1">
      <c r="A39" s="20"/>
      <c r="B39" s="71" t="s">
        <v>251</v>
      </c>
      <c r="C39" s="27">
        <f>SUM(C36:C38)</f>
        <v>310467</v>
      </c>
      <c r="D39" s="27">
        <f>SUM(D36:D38)</f>
        <v>-1792864</v>
      </c>
      <c r="E39" s="27">
        <f>D39-C39</f>
        <v>-2103331</v>
      </c>
      <c r="F39" s="28">
        <f>IF(C39=0,0,E39/C39)</f>
        <v>-6.774732902369656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252</v>
      </c>
      <c r="C41" s="27">
        <f>C33+C39</f>
        <v>2092451</v>
      </c>
      <c r="D41" s="27">
        <f>D33+D39</f>
        <v>-1186996</v>
      </c>
      <c r="E41" s="27">
        <f>D41-C41</f>
        <v>-3279447</v>
      </c>
      <c r="F41" s="28">
        <f>IF(C41=0,0,E41/C41)</f>
        <v>-1.567275410511405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253</v>
      </c>
      <c r="C43" s="27"/>
      <c r="D43" s="27"/>
      <c r="E43" s="27"/>
      <c r="F43" s="28"/>
    </row>
    <row r="44" spans="1:6" ht="22.5" customHeight="1">
      <c r="A44" s="44"/>
      <c r="B44" s="48" t="s">
        <v>254</v>
      </c>
      <c r="C44" s="51">
        <v>0</v>
      </c>
      <c r="D44" s="51">
        <v>1992</v>
      </c>
      <c r="E44" s="51">
        <f>D44-C44</f>
        <v>1992</v>
      </c>
      <c r="F44" s="70">
        <f>IF(C44=0,0,E44/C44)</f>
        <v>0</v>
      </c>
    </row>
    <row r="45" spans="1:6" ht="22.5" customHeight="1">
      <c r="A45" s="44"/>
      <c r="B45" s="48" t="s">
        <v>255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256</v>
      </c>
      <c r="C46" s="27">
        <f>SUM(C44:C45)</f>
        <v>0</v>
      </c>
      <c r="D46" s="27">
        <f>SUM(D44:D45)</f>
        <v>1992</v>
      </c>
      <c r="E46" s="27">
        <f>D46-C46</f>
        <v>1992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257</v>
      </c>
      <c r="C48" s="27">
        <f>C41+C46</f>
        <v>2092451</v>
      </c>
      <c r="D48" s="27">
        <f>D41+D46</f>
        <v>-1185004</v>
      </c>
      <c r="E48" s="27">
        <f>D48-C48</f>
        <v>-3277455</v>
      </c>
      <c r="F48" s="28">
        <f>IF(C48=0,0,E48/C48)</f>
        <v>-1.5663234168924385</v>
      </c>
    </row>
    <row r="49" spans="1:6" ht="22.5" customHeight="1">
      <c r="A49" s="44"/>
      <c r="B49" s="48" t="s">
        <v>258</v>
      </c>
      <c r="C49" s="51">
        <v>0</v>
      </c>
      <c r="D49" s="51">
        <v>1681042</v>
      </c>
      <c r="E49" s="51">
        <f>D49-C49</f>
        <v>1681042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FILING&amp;RWINDHAM COMMUNITY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2" t="s">
        <v>156</v>
      </c>
      <c r="B2" s="672"/>
      <c r="C2" s="672"/>
      <c r="D2" s="672"/>
      <c r="E2" s="672"/>
      <c r="F2" s="672"/>
    </row>
    <row r="3" spans="1:6" ht="18" customHeight="1">
      <c r="A3" s="672" t="s">
        <v>157</v>
      </c>
      <c r="B3" s="672"/>
      <c r="C3" s="672"/>
      <c r="D3" s="672"/>
      <c r="E3" s="672"/>
      <c r="F3" s="672"/>
    </row>
    <row r="4" spans="1:6" ht="18" customHeight="1">
      <c r="A4" s="672" t="s">
        <v>158</v>
      </c>
      <c r="B4" s="672"/>
      <c r="C4" s="672"/>
      <c r="D4" s="672"/>
      <c r="E4" s="672"/>
      <c r="F4" s="672"/>
    </row>
    <row r="5" spans="1:6" ht="18" customHeight="1">
      <c r="A5" s="672" t="s">
        <v>259</v>
      </c>
      <c r="B5" s="672"/>
      <c r="C5" s="672"/>
      <c r="D5" s="672"/>
      <c r="E5" s="672"/>
      <c r="F5" s="672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164</v>
      </c>
      <c r="B8" s="87" t="s">
        <v>260</v>
      </c>
      <c r="C8" s="88" t="s">
        <v>261</v>
      </c>
      <c r="D8" s="89" t="s">
        <v>262</v>
      </c>
      <c r="E8" s="90" t="s">
        <v>263</v>
      </c>
      <c r="F8" s="91" t="s">
        <v>264</v>
      </c>
    </row>
    <row r="9" spans="1:6" ht="18" customHeight="1">
      <c r="A9" s="92"/>
      <c r="B9" s="93"/>
      <c r="C9" s="673"/>
      <c r="D9" s="674"/>
      <c r="E9" s="674"/>
      <c r="F9" s="675"/>
    </row>
    <row r="10" spans="1:6" ht="18" customHeight="1">
      <c r="A10" s="662" t="s">
        <v>168</v>
      </c>
      <c r="B10" s="664" t="s">
        <v>265</v>
      </c>
      <c r="C10" s="666"/>
      <c r="D10" s="667"/>
      <c r="E10" s="667"/>
      <c r="F10" s="668"/>
    </row>
    <row r="11" spans="1:6" ht="18" customHeight="1">
      <c r="A11" s="663"/>
      <c r="B11" s="665"/>
      <c r="C11" s="669"/>
      <c r="D11" s="670"/>
      <c r="E11" s="670"/>
      <c r="F11" s="671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266</v>
      </c>
      <c r="B13" s="95" t="s">
        <v>267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268</v>
      </c>
      <c r="C14" s="97">
        <v>40431249</v>
      </c>
      <c r="D14" s="97">
        <v>38791771</v>
      </c>
      <c r="E14" s="97">
        <f aca="true" t="shared" si="0" ref="E14:E25">D14-C14</f>
        <v>-1639478</v>
      </c>
      <c r="F14" s="98">
        <f aca="true" t="shared" si="1" ref="F14:F25">IF(C14=0,0,E14/C14)</f>
        <v>-0.040549773765336805</v>
      </c>
    </row>
    <row r="15" spans="1:6" ht="18" customHeight="1">
      <c r="A15" s="99">
        <v>2</v>
      </c>
      <c r="B15" s="100" t="s">
        <v>269</v>
      </c>
      <c r="C15" s="97">
        <v>2371723</v>
      </c>
      <c r="D15" s="97">
        <v>2867764</v>
      </c>
      <c r="E15" s="97">
        <f t="shared" si="0"/>
        <v>496041</v>
      </c>
      <c r="F15" s="98">
        <f t="shared" si="1"/>
        <v>0.20914794855891689</v>
      </c>
    </row>
    <row r="16" spans="1:6" ht="18" customHeight="1">
      <c r="A16" s="99">
        <v>3</v>
      </c>
      <c r="B16" s="100" t="s">
        <v>270</v>
      </c>
      <c r="C16" s="97">
        <v>5319420</v>
      </c>
      <c r="D16" s="97">
        <v>5369993</v>
      </c>
      <c r="E16" s="97">
        <f t="shared" si="0"/>
        <v>50573</v>
      </c>
      <c r="F16" s="98">
        <f t="shared" si="1"/>
        <v>0.009507239511074515</v>
      </c>
    </row>
    <row r="17" spans="1:6" ht="18" customHeight="1">
      <c r="A17" s="99">
        <v>4</v>
      </c>
      <c r="B17" s="100" t="s">
        <v>271</v>
      </c>
      <c r="C17" s="97">
        <v>3732083</v>
      </c>
      <c r="D17" s="97">
        <v>3427253</v>
      </c>
      <c r="E17" s="97">
        <f t="shared" si="0"/>
        <v>-304830</v>
      </c>
      <c r="F17" s="98">
        <f t="shared" si="1"/>
        <v>-0.0816782477774476</v>
      </c>
    </row>
    <row r="18" spans="1:6" ht="18" customHeight="1">
      <c r="A18" s="99">
        <v>5</v>
      </c>
      <c r="B18" s="100" t="s">
        <v>272</v>
      </c>
      <c r="C18" s="97">
        <v>145351</v>
      </c>
      <c r="D18" s="97">
        <v>176391</v>
      </c>
      <c r="E18" s="97">
        <f t="shared" si="0"/>
        <v>31040</v>
      </c>
      <c r="F18" s="98">
        <f t="shared" si="1"/>
        <v>0.2135520223459075</v>
      </c>
    </row>
    <row r="19" spans="1:6" ht="18" customHeight="1">
      <c r="A19" s="99">
        <v>6</v>
      </c>
      <c r="B19" s="100" t="s">
        <v>273</v>
      </c>
      <c r="C19" s="97">
        <v>17148828</v>
      </c>
      <c r="D19" s="97">
        <v>17563881</v>
      </c>
      <c r="E19" s="97">
        <f t="shared" si="0"/>
        <v>415053</v>
      </c>
      <c r="F19" s="98">
        <f t="shared" si="1"/>
        <v>0.024202995096807782</v>
      </c>
    </row>
    <row r="20" spans="1:6" ht="18" customHeight="1">
      <c r="A20" s="99">
        <v>7</v>
      </c>
      <c r="B20" s="100" t="s">
        <v>274</v>
      </c>
      <c r="C20" s="97">
        <v>0</v>
      </c>
      <c r="D20" s="97">
        <v>0</v>
      </c>
      <c r="E20" s="97">
        <f t="shared" si="0"/>
        <v>0</v>
      </c>
      <c r="F20" s="98">
        <f t="shared" si="1"/>
        <v>0</v>
      </c>
    </row>
    <row r="21" spans="1:6" ht="18" customHeight="1">
      <c r="A21" s="99">
        <v>8</v>
      </c>
      <c r="B21" s="100" t="s">
        <v>275</v>
      </c>
      <c r="C21" s="97">
        <v>173506</v>
      </c>
      <c r="D21" s="97">
        <v>322444</v>
      </c>
      <c r="E21" s="97">
        <f t="shared" si="0"/>
        <v>148938</v>
      </c>
      <c r="F21" s="98">
        <f t="shared" si="1"/>
        <v>0.8584025912648554</v>
      </c>
    </row>
    <row r="22" spans="1:6" ht="18" customHeight="1">
      <c r="A22" s="99">
        <v>9</v>
      </c>
      <c r="B22" s="100" t="s">
        <v>276</v>
      </c>
      <c r="C22" s="97">
        <v>1705284</v>
      </c>
      <c r="D22" s="97">
        <v>921311</v>
      </c>
      <c r="E22" s="97">
        <f t="shared" si="0"/>
        <v>-783973</v>
      </c>
      <c r="F22" s="98">
        <f t="shared" si="1"/>
        <v>-0.45973163414422463</v>
      </c>
    </row>
    <row r="23" spans="1:6" ht="18" customHeight="1">
      <c r="A23" s="99">
        <v>10</v>
      </c>
      <c r="B23" s="100" t="s">
        <v>277</v>
      </c>
      <c r="C23" s="97">
        <v>2831247</v>
      </c>
      <c r="D23" s="97">
        <v>2722254</v>
      </c>
      <c r="E23" s="97">
        <f t="shared" si="0"/>
        <v>-108993</v>
      </c>
      <c r="F23" s="98">
        <f t="shared" si="1"/>
        <v>-0.038496464632015504</v>
      </c>
    </row>
    <row r="24" spans="1:6" ht="18" customHeight="1">
      <c r="A24" s="99">
        <v>11</v>
      </c>
      <c r="B24" s="100" t="s">
        <v>278</v>
      </c>
      <c r="C24" s="97">
        <v>646684</v>
      </c>
      <c r="D24" s="97">
        <v>283149</v>
      </c>
      <c r="E24" s="97">
        <f t="shared" si="0"/>
        <v>-363535</v>
      </c>
      <c r="F24" s="98">
        <f t="shared" si="1"/>
        <v>-0.5621524577691732</v>
      </c>
    </row>
    <row r="25" spans="1:6" ht="18" customHeight="1">
      <c r="A25" s="101"/>
      <c r="B25" s="102" t="s">
        <v>279</v>
      </c>
      <c r="C25" s="103">
        <f>SUM(C14:C24)</f>
        <v>74505375</v>
      </c>
      <c r="D25" s="103">
        <f>SUM(D14:D24)</f>
        <v>72446211</v>
      </c>
      <c r="E25" s="103">
        <f t="shared" si="0"/>
        <v>-2059164</v>
      </c>
      <c r="F25" s="104">
        <f t="shared" si="1"/>
        <v>-0.02763779123318284</v>
      </c>
    </row>
    <row r="26" spans="1:6" ht="18" customHeight="1">
      <c r="A26" s="94" t="s">
        <v>280</v>
      </c>
      <c r="B26" s="95" t="s">
        <v>281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268</v>
      </c>
      <c r="C27" s="97">
        <v>31402637</v>
      </c>
      <c r="D27" s="97">
        <v>30441041</v>
      </c>
      <c r="E27" s="97">
        <f aca="true" t="shared" si="2" ref="E27:E38">D27-C27</f>
        <v>-961596</v>
      </c>
      <c r="F27" s="98">
        <f aca="true" t="shared" si="3" ref="F27:F38">IF(C27=0,0,E27/C27)</f>
        <v>-0.03062150481184112</v>
      </c>
    </row>
    <row r="28" spans="1:6" ht="18" customHeight="1">
      <c r="A28" s="99">
        <v>2</v>
      </c>
      <c r="B28" s="100" t="s">
        <v>269</v>
      </c>
      <c r="C28" s="97">
        <v>2481077</v>
      </c>
      <c r="D28" s="97">
        <v>3879268</v>
      </c>
      <c r="E28" s="97">
        <f t="shared" si="2"/>
        <v>1398191</v>
      </c>
      <c r="F28" s="98">
        <f t="shared" si="3"/>
        <v>0.5635419618173881</v>
      </c>
    </row>
    <row r="29" spans="1:6" ht="18" customHeight="1">
      <c r="A29" s="99">
        <v>3</v>
      </c>
      <c r="B29" s="100" t="s">
        <v>270</v>
      </c>
      <c r="C29" s="97">
        <v>5977430</v>
      </c>
      <c r="D29" s="97">
        <v>5626178</v>
      </c>
      <c r="E29" s="97">
        <f t="shared" si="2"/>
        <v>-351252</v>
      </c>
      <c r="F29" s="98">
        <f t="shared" si="3"/>
        <v>-0.05876304699511328</v>
      </c>
    </row>
    <row r="30" spans="1:6" ht="18" customHeight="1">
      <c r="A30" s="99">
        <v>4</v>
      </c>
      <c r="B30" s="100" t="s">
        <v>271</v>
      </c>
      <c r="C30" s="97">
        <v>10952125</v>
      </c>
      <c r="D30" s="97">
        <v>11612879</v>
      </c>
      <c r="E30" s="97">
        <f t="shared" si="2"/>
        <v>660754</v>
      </c>
      <c r="F30" s="98">
        <f t="shared" si="3"/>
        <v>0.06033112295559081</v>
      </c>
    </row>
    <row r="31" spans="1:6" ht="18" customHeight="1">
      <c r="A31" s="99">
        <v>5</v>
      </c>
      <c r="B31" s="100" t="s">
        <v>272</v>
      </c>
      <c r="C31" s="97">
        <v>401747</v>
      </c>
      <c r="D31" s="97">
        <v>412560</v>
      </c>
      <c r="E31" s="97">
        <f t="shared" si="2"/>
        <v>10813</v>
      </c>
      <c r="F31" s="98">
        <f t="shared" si="3"/>
        <v>0.026914948960415387</v>
      </c>
    </row>
    <row r="32" spans="1:6" ht="18" customHeight="1">
      <c r="A32" s="99">
        <v>6</v>
      </c>
      <c r="B32" s="100" t="s">
        <v>273</v>
      </c>
      <c r="C32" s="97">
        <v>56353637</v>
      </c>
      <c r="D32" s="97">
        <v>53425394</v>
      </c>
      <c r="E32" s="97">
        <f t="shared" si="2"/>
        <v>-2928243</v>
      </c>
      <c r="F32" s="98">
        <f t="shared" si="3"/>
        <v>-0.05196191685019372</v>
      </c>
    </row>
    <row r="33" spans="1:6" ht="18" customHeight="1">
      <c r="A33" s="99">
        <v>7</v>
      </c>
      <c r="B33" s="100" t="s">
        <v>274</v>
      </c>
      <c r="C33" s="97">
        <v>0</v>
      </c>
      <c r="D33" s="97">
        <v>0</v>
      </c>
      <c r="E33" s="97">
        <f t="shared" si="2"/>
        <v>0</v>
      </c>
      <c r="F33" s="98">
        <f t="shared" si="3"/>
        <v>0</v>
      </c>
    </row>
    <row r="34" spans="1:6" ht="18" customHeight="1">
      <c r="A34" s="99">
        <v>8</v>
      </c>
      <c r="B34" s="100" t="s">
        <v>275</v>
      </c>
      <c r="C34" s="97">
        <v>2276592</v>
      </c>
      <c r="D34" s="97">
        <v>2236807</v>
      </c>
      <c r="E34" s="97">
        <f t="shared" si="2"/>
        <v>-39785</v>
      </c>
      <c r="F34" s="98">
        <f t="shared" si="3"/>
        <v>-0.017475682950656067</v>
      </c>
    </row>
    <row r="35" spans="1:6" ht="18" customHeight="1">
      <c r="A35" s="99">
        <v>9</v>
      </c>
      <c r="B35" s="100" t="s">
        <v>276</v>
      </c>
      <c r="C35" s="97">
        <v>3802879</v>
      </c>
      <c r="D35" s="97">
        <v>3276135</v>
      </c>
      <c r="E35" s="97">
        <f t="shared" si="2"/>
        <v>-526744</v>
      </c>
      <c r="F35" s="98">
        <f t="shared" si="3"/>
        <v>-0.13851190111491846</v>
      </c>
    </row>
    <row r="36" spans="1:6" ht="18" customHeight="1">
      <c r="A36" s="99">
        <v>10</v>
      </c>
      <c r="B36" s="100" t="s">
        <v>277</v>
      </c>
      <c r="C36" s="97">
        <v>5406772</v>
      </c>
      <c r="D36" s="97">
        <v>6749180</v>
      </c>
      <c r="E36" s="97">
        <f t="shared" si="2"/>
        <v>1342408</v>
      </c>
      <c r="F36" s="98">
        <f t="shared" si="3"/>
        <v>0.2482827091654688</v>
      </c>
    </row>
    <row r="37" spans="1:6" ht="18" customHeight="1">
      <c r="A37" s="99">
        <v>11</v>
      </c>
      <c r="B37" s="100" t="s">
        <v>278</v>
      </c>
      <c r="C37" s="97">
        <v>234593</v>
      </c>
      <c r="D37" s="97">
        <v>78219</v>
      </c>
      <c r="E37" s="97">
        <f t="shared" si="2"/>
        <v>-156374</v>
      </c>
      <c r="F37" s="98">
        <f t="shared" si="3"/>
        <v>-0.6665757290285729</v>
      </c>
    </row>
    <row r="38" spans="1:6" ht="18" customHeight="1">
      <c r="A38" s="101"/>
      <c r="B38" s="102" t="s">
        <v>282</v>
      </c>
      <c r="C38" s="103">
        <f>SUM(C27:C37)</f>
        <v>119289489</v>
      </c>
      <c r="D38" s="103">
        <f>SUM(D27:D37)</f>
        <v>117737661</v>
      </c>
      <c r="E38" s="103">
        <f t="shared" si="2"/>
        <v>-1551828</v>
      </c>
      <c r="F38" s="104">
        <f t="shared" si="3"/>
        <v>-0.013008924868476886</v>
      </c>
    </row>
    <row r="39" spans="1:6" ht="18" customHeight="1">
      <c r="A39" s="662" t="s">
        <v>283</v>
      </c>
      <c r="B39" s="664" t="s">
        <v>284</v>
      </c>
      <c r="C39" s="666"/>
      <c r="D39" s="667"/>
      <c r="E39" s="667"/>
      <c r="F39" s="668"/>
    </row>
    <row r="40" spans="1:6" ht="18" customHeight="1">
      <c r="A40" s="663"/>
      <c r="B40" s="665"/>
      <c r="C40" s="669"/>
      <c r="D40" s="670"/>
      <c r="E40" s="670"/>
      <c r="F40" s="671"/>
    </row>
    <row r="41" spans="1:6" ht="18" customHeight="1">
      <c r="A41" s="105">
        <v>1</v>
      </c>
      <c r="B41" s="106" t="s">
        <v>268</v>
      </c>
      <c r="C41" s="103">
        <f aca="true" t="shared" si="4" ref="C41:D51">+C27+C14</f>
        <v>71833886</v>
      </c>
      <c r="D41" s="103">
        <f t="shared" si="4"/>
        <v>69232812</v>
      </c>
      <c r="E41" s="107">
        <f aca="true" t="shared" si="5" ref="E41:E52">D41-C41</f>
        <v>-2601074</v>
      </c>
      <c r="F41" s="108">
        <f aca="true" t="shared" si="6" ref="F41:F52">IF(C41=0,0,E41/C41)</f>
        <v>-0.03620956828090854</v>
      </c>
    </row>
    <row r="42" spans="1:6" ht="18" customHeight="1">
      <c r="A42" s="105">
        <v>2</v>
      </c>
      <c r="B42" s="106" t="s">
        <v>269</v>
      </c>
      <c r="C42" s="103">
        <f t="shared" si="4"/>
        <v>4852800</v>
      </c>
      <c r="D42" s="103">
        <f t="shared" si="4"/>
        <v>6747032</v>
      </c>
      <c r="E42" s="107">
        <f t="shared" si="5"/>
        <v>1894232</v>
      </c>
      <c r="F42" s="108">
        <f t="shared" si="6"/>
        <v>0.3903379492251896</v>
      </c>
    </row>
    <row r="43" spans="1:6" ht="18" customHeight="1">
      <c r="A43" s="105">
        <v>3</v>
      </c>
      <c r="B43" s="106" t="s">
        <v>270</v>
      </c>
      <c r="C43" s="103">
        <f t="shared" si="4"/>
        <v>11296850</v>
      </c>
      <c r="D43" s="103">
        <f t="shared" si="4"/>
        <v>10996171</v>
      </c>
      <c r="E43" s="107">
        <f t="shared" si="5"/>
        <v>-300679</v>
      </c>
      <c r="F43" s="108">
        <f t="shared" si="6"/>
        <v>-0.02661618061672059</v>
      </c>
    </row>
    <row r="44" spans="1:6" ht="18" customHeight="1">
      <c r="A44" s="105">
        <v>4</v>
      </c>
      <c r="B44" s="106" t="s">
        <v>271</v>
      </c>
      <c r="C44" s="103">
        <f t="shared" si="4"/>
        <v>14684208</v>
      </c>
      <c r="D44" s="103">
        <f t="shared" si="4"/>
        <v>15040132</v>
      </c>
      <c r="E44" s="107">
        <f t="shared" si="5"/>
        <v>355924</v>
      </c>
      <c r="F44" s="108">
        <f t="shared" si="6"/>
        <v>0.02423855614140034</v>
      </c>
    </row>
    <row r="45" spans="1:6" ht="18" customHeight="1">
      <c r="A45" s="105">
        <v>5</v>
      </c>
      <c r="B45" s="106" t="s">
        <v>272</v>
      </c>
      <c r="C45" s="103">
        <f t="shared" si="4"/>
        <v>547098</v>
      </c>
      <c r="D45" s="103">
        <f t="shared" si="4"/>
        <v>588951</v>
      </c>
      <c r="E45" s="107">
        <f t="shared" si="5"/>
        <v>41853</v>
      </c>
      <c r="F45" s="108">
        <f t="shared" si="6"/>
        <v>0.07650000548347828</v>
      </c>
    </row>
    <row r="46" spans="1:6" ht="18" customHeight="1">
      <c r="A46" s="105">
        <v>6</v>
      </c>
      <c r="B46" s="106" t="s">
        <v>273</v>
      </c>
      <c r="C46" s="103">
        <f t="shared" si="4"/>
        <v>73502465</v>
      </c>
      <c r="D46" s="103">
        <f t="shared" si="4"/>
        <v>70989275</v>
      </c>
      <c r="E46" s="107">
        <f t="shared" si="5"/>
        <v>-2513190</v>
      </c>
      <c r="F46" s="108">
        <f t="shared" si="6"/>
        <v>-0.03419191451606419</v>
      </c>
    </row>
    <row r="47" spans="1:6" ht="18" customHeight="1">
      <c r="A47" s="105">
        <v>7</v>
      </c>
      <c r="B47" s="106" t="s">
        <v>274</v>
      </c>
      <c r="C47" s="103">
        <f t="shared" si="4"/>
        <v>0</v>
      </c>
      <c r="D47" s="103">
        <f t="shared" si="4"/>
        <v>0</v>
      </c>
      <c r="E47" s="107">
        <f t="shared" si="5"/>
        <v>0</v>
      </c>
      <c r="F47" s="108">
        <f t="shared" si="6"/>
        <v>0</v>
      </c>
    </row>
    <row r="48" spans="1:6" ht="18" customHeight="1">
      <c r="A48" s="105">
        <v>8</v>
      </c>
      <c r="B48" s="106" t="s">
        <v>275</v>
      </c>
      <c r="C48" s="103">
        <f t="shared" si="4"/>
        <v>2450098</v>
      </c>
      <c r="D48" s="103">
        <f t="shared" si="4"/>
        <v>2559251</v>
      </c>
      <c r="E48" s="107">
        <f t="shared" si="5"/>
        <v>109153</v>
      </c>
      <c r="F48" s="108">
        <f t="shared" si="6"/>
        <v>0.044550462879444</v>
      </c>
    </row>
    <row r="49" spans="1:6" ht="18" customHeight="1">
      <c r="A49" s="105">
        <v>9</v>
      </c>
      <c r="B49" s="106" t="s">
        <v>276</v>
      </c>
      <c r="C49" s="103">
        <f t="shared" si="4"/>
        <v>5508163</v>
      </c>
      <c r="D49" s="103">
        <f t="shared" si="4"/>
        <v>4197446</v>
      </c>
      <c r="E49" s="107">
        <f t="shared" si="5"/>
        <v>-1310717</v>
      </c>
      <c r="F49" s="108">
        <f t="shared" si="6"/>
        <v>-0.237959007385947</v>
      </c>
    </row>
    <row r="50" spans="1:6" ht="18" customHeight="1">
      <c r="A50" s="105">
        <v>10</v>
      </c>
      <c r="B50" s="106" t="s">
        <v>277</v>
      </c>
      <c r="C50" s="103">
        <f t="shared" si="4"/>
        <v>8238019</v>
      </c>
      <c r="D50" s="103">
        <f t="shared" si="4"/>
        <v>9471434</v>
      </c>
      <c r="E50" s="107">
        <f t="shared" si="5"/>
        <v>1233415</v>
      </c>
      <c r="F50" s="108">
        <f t="shared" si="6"/>
        <v>0.14972228153394646</v>
      </c>
    </row>
    <row r="51" spans="1:6" ht="18" customHeight="1" thickBot="1">
      <c r="A51" s="105">
        <v>11</v>
      </c>
      <c r="B51" s="106" t="s">
        <v>278</v>
      </c>
      <c r="C51" s="103">
        <f t="shared" si="4"/>
        <v>881277</v>
      </c>
      <c r="D51" s="103">
        <f t="shared" si="4"/>
        <v>361368</v>
      </c>
      <c r="E51" s="107">
        <f t="shared" si="5"/>
        <v>-519909</v>
      </c>
      <c r="F51" s="108">
        <f t="shared" si="6"/>
        <v>-0.5899495845233678</v>
      </c>
    </row>
    <row r="52" spans="1:6" ht="18.75" customHeight="1" thickBot="1">
      <c r="A52" s="109"/>
      <c r="B52" s="110" t="s">
        <v>284</v>
      </c>
      <c r="C52" s="111">
        <f>SUM(C41:C51)</f>
        <v>193794864</v>
      </c>
      <c r="D52" s="112">
        <f>SUM(D41:D51)</f>
        <v>190183872</v>
      </c>
      <c r="E52" s="111">
        <f t="shared" si="5"/>
        <v>-3610992</v>
      </c>
      <c r="F52" s="113">
        <f t="shared" si="6"/>
        <v>-0.018633063464468285</v>
      </c>
    </row>
    <row r="53" spans="1:6" ht="18" customHeight="1">
      <c r="A53" s="662" t="s">
        <v>200</v>
      </c>
      <c r="B53" s="664" t="s">
        <v>285</v>
      </c>
      <c r="C53" s="666"/>
      <c r="D53" s="667"/>
      <c r="E53" s="667"/>
      <c r="F53" s="668"/>
    </row>
    <row r="54" spans="1:6" ht="18" customHeight="1">
      <c r="A54" s="663"/>
      <c r="B54" s="665"/>
      <c r="C54" s="669"/>
      <c r="D54" s="670"/>
      <c r="E54" s="670"/>
      <c r="F54" s="671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266</v>
      </c>
      <c r="B56" s="95" t="s">
        <v>286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268</v>
      </c>
      <c r="C57" s="97">
        <v>23995727</v>
      </c>
      <c r="D57" s="97">
        <v>23264310</v>
      </c>
      <c r="E57" s="97">
        <f aca="true" t="shared" si="7" ref="E57:E68">D57-C57</f>
        <v>-731417</v>
      </c>
      <c r="F57" s="98">
        <f aca="true" t="shared" si="8" ref="F57:F68">IF(C57=0,0,E57/C57)</f>
        <v>-0.030481135245454326</v>
      </c>
    </row>
    <row r="58" spans="1:6" ht="18" customHeight="1">
      <c r="A58" s="99">
        <v>2</v>
      </c>
      <c r="B58" s="100" t="s">
        <v>269</v>
      </c>
      <c r="C58" s="97">
        <v>1052089</v>
      </c>
      <c r="D58" s="97">
        <v>1433336</v>
      </c>
      <c r="E58" s="97">
        <f t="shared" si="7"/>
        <v>381247</v>
      </c>
      <c r="F58" s="98">
        <f t="shared" si="8"/>
        <v>0.36237143435583874</v>
      </c>
    </row>
    <row r="59" spans="1:6" ht="18" customHeight="1">
      <c r="A59" s="99">
        <v>3</v>
      </c>
      <c r="B59" s="100" t="s">
        <v>270</v>
      </c>
      <c r="C59" s="97">
        <v>2200838</v>
      </c>
      <c r="D59" s="97">
        <v>2741277</v>
      </c>
      <c r="E59" s="97">
        <f t="shared" si="7"/>
        <v>540439</v>
      </c>
      <c r="F59" s="98">
        <f t="shared" si="8"/>
        <v>0.24556055466145169</v>
      </c>
    </row>
    <row r="60" spans="1:6" ht="18" customHeight="1">
      <c r="A60" s="99">
        <v>4</v>
      </c>
      <c r="B60" s="100" t="s">
        <v>271</v>
      </c>
      <c r="C60" s="97">
        <v>1880997</v>
      </c>
      <c r="D60" s="97">
        <v>1783647</v>
      </c>
      <c r="E60" s="97">
        <f t="shared" si="7"/>
        <v>-97350</v>
      </c>
      <c r="F60" s="98">
        <f t="shared" si="8"/>
        <v>-0.051754468507924256</v>
      </c>
    </row>
    <row r="61" spans="1:6" ht="18" customHeight="1">
      <c r="A61" s="99">
        <v>5</v>
      </c>
      <c r="B61" s="100" t="s">
        <v>272</v>
      </c>
      <c r="C61" s="97">
        <v>60824</v>
      </c>
      <c r="D61" s="97">
        <v>62014</v>
      </c>
      <c r="E61" s="97">
        <f t="shared" si="7"/>
        <v>1190</v>
      </c>
      <c r="F61" s="98">
        <f t="shared" si="8"/>
        <v>0.019564645534657372</v>
      </c>
    </row>
    <row r="62" spans="1:6" ht="18" customHeight="1">
      <c r="A62" s="99">
        <v>6</v>
      </c>
      <c r="B62" s="100" t="s">
        <v>273</v>
      </c>
      <c r="C62" s="97">
        <v>8743675</v>
      </c>
      <c r="D62" s="97">
        <v>9808537</v>
      </c>
      <c r="E62" s="97">
        <f t="shared" si="7"/>
        <v>1064862</v>
      </c>
      <c r="F62" s="98">
        <f t="shared" si="8"/>
        <v>0.12178654856224642</v>
      </c>
    </row>
    <row r="63" spans="1:6" ht="18" customHeight="1">
      <c r="A63" s="99">
        <v>7</v>
      </c>
      <c r="B63" s="100" t="s">
        <v>274</v>
      </c>
      <c r="C63" s="97">
        <v>0</v>
      </c>
      <c r="D63" s="97">
        <v>0</v>
      </c>
      <c r="E63" s="97">
        <f t="shared" si="7"/>
        <v>0</v>
      </c>
      <c r="F63" s="98">
        <f t="shared" si="8"/>
        <v>0</v>
      </c>
    </row>
    <row r="64" spans="1:6" ht="18" customHeight="1">
      <c r="A64" s="99">
        <v>8</v>
      </c>
      <c r="B64" s="100" t="s">
        <v>275</v>
      </c>
      <c r="C64" s="97">
        <v>62776</v>
      </c>
      <c r="D64" s="97">
        <v>189440</v>
      </c>
      <c r="E64" s="97">
        <f t="shared" si="7"/>
        <v>126664</v>
      </c>
      <c r="F64" s="98">
        <f t="shared" si="8"/>
        <v>2.017713775965337</v>
      </c>
    </row>
    <row r="65" spans="1:6" ht="18" customHeight="1">
      <c r="A65" s="99">
        <v>9</v>
      </c>
      <c r="B65" s="100" t="s">
        <v>276</v>
      </c>
      <c r="C65" s="97">
        <v>218457</v>
      </c>
      <c r="D65" s="97">
        <v>74458</v>
      </c>
      <c r="E65" s="97">
        <f t="shared" si="7"/>
        <v>-143999</v>
      </c>
      <c r="F65" s="98">
        <f t="shared" si="8"/>
        <v>-0.659164046013632</v>
      </c>
    </row>
    <row r="66" spans="1:6" ht="18" customHeight="1">
      <c r="A66" s="99">
        <v>10</v>
      </c>
      <c r="B66" s="100" t="s">
        <v>277</v>
      </c>
      <c r="C66" s="97">
        <v>522411</v>
      </c>
      <c r="D66" s="97">
        <v>571030</v>
      </c>
      <c r="E66" s="97">
        <f t="shared" si="7"/>
        <v>48619</v>
      </c>
      <c r="F66" s="98">
        <f t="shared" si="8"/>
        <v>0.09306657019090334</v>
      </c>
    </row>
    <row r="67" spans="1:6" ht="18" customHeight="1">
      <c r="A67" s="99">
        <v>11</v>
      </c>
      <c r="B67" s="100" t="s">
        <v>278</v>
      </c>
      <c r="C67" s="97">
        <v>167281</v>
      </c>
      <c r="D67" s="97">
        <v>118212</v>
      </c>
      <c r="E67" s="97">
        <f t="shared" si="7"/>
        <v>-49069</v>
      </c>
      <c r="F67" s="98">
        <f t="shared" si="8"/>
        <v>-0.29333277538991276</v>
      </c>
    </row>
    <row r="68" spans="1:6" ht="18" customHeight="1">
      <c r="A68" s="101"/>
      <c r="B68" s="102" t="s">
        <v>287</v>
      </c>
      <c r="C68" s="103">
        <f>SUM(C57:C67)</f>
        <v>38905075</v>
      </c>
      <c r="D68" s="103">
        <f>SUM(D57:D67)</f>
        <v>40046261</v>
      </c>
      <c r="E68" s="103">
        <f t="shared" si="7"/>
        <v>1141186</v>
      </c>
      <c r="F68" s="104">
        <f t="shared" si="8"/>
        <v>0.029332574220715422</v>
      </c>
    </row>
    <row r="69" spans="1:6" ht="18" customHeight="1">
      <c r="A69" s="94" t="s">
        <v>280</v>
      </c>
      <c r="B69" s="95" t="s">
        <v>288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268</v>
      </c>
      <c r="C70" s="97">
        <v>7595484</v>
      </c>
      <c r="D70" s="97">
        <v>7866579</v>
      </c>
      <c r="E70" s="97">
        <f aca="true" t="shared" si="9" ref="E70:E81">D70-C70</f>
        <v>271095</v>
      </c>
      <c r="F70" s="98">
        <f aca="true" t="shared" si="10" ref="F70:F81">IF(C70=0,0,E70/C70)</f>
        <v>0.03569160306308328</v>
      </c>
    </row>
    <row r="71" spans="1:6" ht="18" customHeight="1">
      <c r="A71" s="99">
        <v>2</v>
      </c>
      <c r="B71" s="100" t="s">
        <v>269</v>
      </c>
      <c r="C71" s="97">
        <v>567128</v>
      </c>
      <c r="D71" s="97">
        <v>1017325</v>
      </c>
      <c r="E71" s="97">
        <f t="shared" si="9"/>
        <v>450197</v>
      </c>
      <c r="F71" s="98">
        <f t="shared" si="10"/>
        <v>0.7938190320350962</v>
      </c>
    </row>
    <row r="72" spans="1:6" ht="18" customHeight="1">
      <c r="A72" s="99">
        <v>3</v>
      </c>
      <c r="B72" s="100" t="s">
        <v>270</v>
      </c>
      <c r="C72" s="97">
        <v>1365009</v>
      </c>
      <c r="D72" s="97">
        <v>1454493</v>
      </c>
      <c r="E72" s="97">
        <f t="shared" si="9"/>
        <v>89484</v>
      </c>
      <c r="F72" s="98">
        <f t="shared" si="10"/>
        <v>0.0655556117212414</v>
      </c>
    </row>
    <row r="73" spans="1:6" ht="18" customHeight="1">
      <c r="A73" s="99">
        <v>4</v>
      </c>
      <c r="B73" s="100" t="s">
        <v>271</v>
      </c>
      <c r="C73" s="97">
        <v>3146916</v>
      </c>
      <c r="D73" s="97">
        <v>3570678</v>
      </c>
      <c r="E73" s="97">
        <f t="shared" si="9"/>
        <v>423762</v>
      </c>
      <c r="F73" s="98">
        <f t="shared" si="10"/>
        <v>0.13465945706844415</v>
      </c>
    </row>
    <row r="74" spans="1:6" ht="18" customHeight="1">
      <c r="A74" s="99">
        <v>5</v>
      </c>
      <c r="B74" s="100" t="s">
        <v>272</v>
      </c>
      <c r="C74" s="97">
        <v>158727</v>
      </c>
      <c r="D74" s="97">
        <v>167114</v>
      </c>
      <c r="E74" s="97">
        <f t="shared" si="9"/>
        <v>8387</v>
      </c>
      <c r="F74" s="98">
        <f t="shared" si="10"/>
        <v>0.052839151499114834</v>
      </c>
    </row>
    <row r="75" spans="1:6" ht="18" customHeight="1">
      <c r="A75" s="99">
        <v>6</v>
      </c>
      <c r="B75" s="100" t="s">
        <v>273</v>
      </c>
      <c r="C75" s="97">
        <v>22084009</v>
      </c>
      <c r="D75" s="97">
        <v>22354842</v>
      </c>
      <c r="E75" s="97">
        <f t="shared" si="9"/>
        <v>270833</v>
      </c>
      <c r="F75" s="98">
        <f t="shared" si="10"/>
        <v>0.012263760624259844</v>
      </c>
    </row>
    <row r="76" spans="1:6" ht="18" customHeight="1">
      <c r="A76" s="99">
        <v>7</v>
      </c>
      <c r="B76" s="100" t="s">
        <v>274</v>
      </c>
      <c r="C76" s="97">
        <v>0</v>
      </c>
      <c r="D76" s="97">
        <v>0</v>
      </c>
      <c r="E76" s="97">
        <f t="shared" si="9"/>
        <v>0</v>
      </c>
      <c r="F76" s="98">
        <f t="shared" si="10"/>
        <v>0</v>
      </c>
    </row>
    <row r="77" spans="1:6" ht="18" customHeight="1">
      <c r="A77" s="99">
        <v>8</v>
      </c>
      <c r="B77" s="100" t="s">
        <v>275</v>
      </c>
      <c r="C77" s="97">
        <v>1409222</v>
      </c>
      <c r="D77" s="97">
        <v>1369506</v>
      </c>
      <c r="E77" s="97">
        <f t="shared" si="9"/>
        <v>-39716</v>
      </c>
      <c r="F77" s="98">
        <f t="shared" si="10"/>
        <v>-0.028182926465808795</v>
      </c>
    </row>
    <row r="78" spans="1:6" ht="18" customHeight="1">
      <c r="A78" s="99">
        <v>9</v>
      </c>
      <c r="B78" s="100" t="s">
        <v>276</v>
      </c>
      <c r="C78" s="97">
        <v>212773</v>
      </c>
      <c r="D78" s="97">
        <v>176601</v>
      </c>
      <c r="E78" s="97">
        <f t="shared" si="9"/>
        <v>-36172</v>
      </c>
      <c r="F78" s="98">
        <f t="shared" si="10"/>
        <v>-0.17000277290821675</v>
      </c>
    </row>
    <row r="79" spans="1:6" ht="18" customHeight="1">
      <c r="A79" s="99">
        <v>10</v>
      </c>
      <c r="B79" s="100" t="s">
        <v>277</v>
      </c>
      <c r="C79" s="97">
        <v>768786</v>
      </c>
      <c r="D79" s="97">
        <v>929303</v>
      </c>
      <c r="E79" s="97">
        <f t="shared" si="9"/>
        <v>160517</v>
      </c>
      <c r="F79" s="98">
        <f t="shared" si="10"/>
        <v>0.20879282401084306</v>
      </c>
    </row>
    <row r="80" spans="1:6" ht="18" customHeight="1">
      <c r="A80" s="99">
        <v>11</v>
      </c>
      <c r="B80" s="100" t="s">
        <v>278</v>
      </c>
      <c r="C80" s="97">
        <v>26295</v>
      </c>
      <c r="D80" s="97">
        <v>16035</v>
      </c>
      <c r="E80" s="97">
        <f t="shared" si="9"/>
        <v>-10260</v>
      </c>
      <c r="F80" s="98">
        <f t="shared" si="10"/>
        <v>-0.390188248716486</v>
      </c>
    </row>
    <row r="81" spans="1:6" ht="18" customHeight="1">
      <c r="A81" s="101"/>
      <c r="B81" s="102" t="s">
        <v>289</v>
      </c>
      <c r="C81" s="103">
        <f>SUM(C70:C80)</f>
        <v>37334349</v>
      </c>
      <c r="D81" s="103">
        <f>SUM(D70:D80)</f>
        <v>38922476</v>
      </c>
      <c r="E81" s="103">
        <f t="shared" si="9"/>
        <v>1588127</v>
      </c>
      <c r="F81" s="104">
        <f t="shared" si="10"/>
        <v>0.042537958811066985</v>
      </c>
    </row>
    <row r="82" spans="1:6" ht="18" customHeight="1">
      <c r="A82" s="662" t="s">
        <v>283</v>
      </c>
      <c r="B82" s="664" t="s">
        <v>290</v>
      </c>
      <c r="C82" s="666"/>
      <c r="D82" s="667"/>
      <c r="E82" s="667"/>
      <c r="F82" s="668"/>
    </row>
    <row r="83" spans="1:6" ht="18" customHeight="1">
      <c r="A83" s="663"/>
      <c r="B83" s="665"/>
      <c r="C83" s="669"/>
      <c r="D83" s="670"/>
      <c r="E83" s="670"/>
      <c r="F83" s="671"/>
    </row>
    <row r="84" spans="1:6" ht="18" customHeight="1">
      <c r="A84" s="114">
        <v>1</v>
      </c>
      <c r="B84" s="106" t="s">
        <v>268</v>
      </c>
      <c r="C84" s="103">
        <f aca="true" t="shared" si="11" ref="C84:D94">+C70+C57</f>
        <v>31591211</v>
      </c>
      <c r="D84" s="103">
        <f t="shared" si="11"/>
        <v>31130889</v>
      </c>
      <c r="E84" s="103">
        <f aca="true" t="shared" si="12" ref="E84:E95">D84-C84</f>
        <v>-460322</v>
      </c>
      <c r="F84" s="104">
        <f aca="true" t="shared" si="13" ref="F84:F95">IF(C84=0,0,E84/C84)</f>
        <v>-0.014571204630300497</v>
      </c>
    </row>
    <row r="85" spans="1:6" ht="18" customHeight="1">
      <c r="A85" s="114">
        <v>2</v>
      </c>
      <c r="B85" s="106" t="s">
        <v>269</v>
      </c>
      <c r="C85" s="103">
        <f t="shared" si="11"/>
        <v>1619217</v>
      </c>
      <c r="D85" s="103">
        <f t="shared" si="11"/>
        <v>2450661</v>
      </c>
      <c r="E85" s="103">
        <f t="shared" si="12"/>
        <v>831444</v>
      </c>
      <c r="F85" s="104">
        <f t="shared" si="13"/>
        <v>0.5134852215607915</v>
      </c>
    </row>
    <row r="86" spans="1:6" ht="18" customHeight="1">
      <c r="A86" s="114">
        <v>3</v>
      </c>
      <c r="B86" s="106" t="s">
        <v>270</v>
      </c>
      <c r="C86" s="103">
        <f t="shared" si="11"/>
        <v>3565847</v>
      </c>
      <c r="D86" s="103">
        <f t="shared" si="11"/>
        <v>4195770</v>
      </c>
      <c r="E86" s="103">
        <f t="shared" si="12"/>
        <v>629923</v>
      </c>
      <c r="F86" s="104">
        <f t="shared" si="13"/>
        <v>0.1766545227543414</v>
      </c>
    </row>
    <row r="87" spans="1:6" ht="18" customHeight="1">
      <c r="A87" s="114">
        <v>4</v>
      </c>
      <c r="B87" s="106" t="s">
        <v>271</v>
      </c>
      <c r="C87" s="103">
        <f t="shared" si="11"/>
        <v>5027913</v>
      </c>
      <c r="D87" s="103">
        <f t="shared" si="11"/>
        <v>5354325</v>
      </c>
      <c r="E87" s="103">
        <f t="shared" si="12"/>
        <v>326412</v>
      </c>
      <c r="F87" s="104">
        <f t="shared" si="13"/>
        <v>0.0649199777323116</v>
      </c>
    </row>
    <row r="88" spans="1:6" ht="18" customHeight="1">
      <c r="A88" s="114">
        <v>5</v>
      </c>
      <c r="B88" s="106" t="s">
        <v>272</v>
      </c>
      <c r="C88" s="103">
        <f t="shared" si="11"/>
        <v>219551</v>
      </c>
      <c r="D88" s="103">
        <f t="shared" si="11"/>
        <v>229128</v>
      </c>
      <c r="E88" s="103">
        <f t="shared" si="12"/>
        <v>9577</v>
      </c>
      <c r="F88" s="104">
        <f t="shared" si="13"/>
        <v>0.04362084435962487</v>
      </c>
    </row>
    <row r="89" spans="1:6" ht="18" customHeight="1">
      <c r="A89" s="114">
        <v>6</v>
      </c>
      <c r="B89" s="106" t="s">
        <v>273</v>
      </c>
      <c r="C89" s="103">
        <f t="shared" si="11"/>
        <v>30827684</v>
      </c>
      <c r="D89" s="103">
        <f t="shared" si="11"/>
        <v>32163379</v>
      </c>
      <c r="E89" s="103">
        <f t="shared" si="12"/>
        <v>1335695</v>
      </c>
      <c r="F89" s="104">
        <f t="shared" si="13"/>
        <v>0.043327776423295376</v>
      </c>
    </row>
    <row r="90" spans="1:6" ht="18" customHeight="1">
      <c r="A90" s="114">
        <v>7</v>
      </c>
      <c r="B90" s="106" t="s">
        <v>274</v>
      </c>
      <c r="C90" s="103">
        <f t="shared" si="11"/>
        <v>0</v>
      </c>
      <c r="D90" s="103">
        <f t="shared" si="11"/>
        <v>0</v>
      </c>
      <c r="E90" s="103">
        <f t="shared" si="12"/>
        <v>0</v>
      </c>
      <c r="F90" s="104">
        <f t="shared" si="13"/>
        <v>0</v>
      </c>
    </row>
    <row r="91" spans="1:6" ht="18" customHeight="1">
      <c r="A91" s="114">
        <v>8</v>
      </c>
      <c r="B91" s="106" t="s">
        <v>275</v>
      </c>
      <c r="C91" s="103">
        <f t="shared" si="11"/>
        <v>1471998</v>
      </c>
      <c r="D91" s="103">
        <f t="shared" si="11"/>
        <v>1558946</v>
      </c>
      <c r="E91" s="103">
        <f t="shared" si="12"/>
        <v>86948</v>
      </c>
      <c r="F91" s="104">
        <f t="shared" si="13"/>
        <v>0.05906801503806391</v>
      </c>
    </row>
    <row r="92" spans="1:6" ht="18" customHeight="1">
      <c r="A92" s="114">
        <v>9</v>
      </c>
      <c r="B92" s="106" t="s">
        <v>276</v>
      </c>
      <c r="C92" s="103">
        <f t="shared" si="11"/>
        <v>431230</v>
      </c>
      <c r="D92" s="103">
        <f t="shared" si="11"/>
        <v>251059</v>
      </c>
      <c r="E92" s="103">
        <f t="shared" si="12"/>
        <v>-180171</v>
      </c>
      <c r="F92" s="104">
        <f t="shared" si="13"/>
        <v>-0.41780720265287663</v>
      </c>
    </row>
    <row r="93" spans="1:6" ht="18" customHeight="1">
      <c r="A93" s="114">
        <v>10</v>
      </c>
      <c r="B93" s="106" t="s">
        <v>277</v>
      </c>
      <c r="C93" s="103">
        <f t="shared" si="11"/>
        <v>1291197</v>
      </c>
      <c r="D93" s="103">
        <f t="shared" si="11"/>
        <v>1500333</v>
      </c>
      <c r="E93" s="103">
        <f t="shared" si="12"/>
        <v>209136</v>
      </c>
      <c r="F93" s="104">
        <f t="shared" si="13"/>
        <v>0.16197063654887675</v>
      </c>
    </row>
    <row r="94" spans="1:6" ht="18" customHeight="1" thickBot="1">
      <c r="A94" s="114">
        <v>11</v>
      </c>
      <c r="B94" s="106" t="s">
        <v>278</v>
      </c>
      <c r="C94" s="103">
        <f t="shared" si="11"/>
        <v>193576</v>
      </c>
      <c r="D94" s="103">
        <f t="shared" si="11"/>
        <v>134247</v>
      </c>
      <c r="E94" s="103">
        <f t="shared" si="12"/>
        <v>-59329</v>
      </c>
      <c r="F94" s="104">
        <f t="shared" si="13"/>
        <v>-0.30648944083977353</v>
      </c>
    </row>
    <row r="95" spans="1:6" ht="18.75" customHeight="1" thickBot="1">
      <c r="A95" s="115"/>
      <c r="B95" s="116" t="s">
        <v>290</v>
      </c>
      <c r="C95" s="112">
        <f>SUM(C84:C94)</f>
        <v>76239424</v>
      </c>
      <c r="D95" s="112">
        <f>SUM(D84:D94)</f>
        <v>78968737</v>
      </c>
      <c r="E95" s="112">
        <f t="shared" si="12"/>
        <v>2729313</v>
      </c>
      <c r="F95" s="113">
        <f t="shared" si="13"/>
        <v>0.035799234264938834</v>
      </c>
    </row>
    <row r="96" spans="1:6" ht="18" customHeight="1">
      <c r="A96" s="662" t="s">
        <v>291</v>
      </c>
      <c r="B96" s="664" t="s">
        <v>292</v>
      </c>
      <c r="C96" s="666"/>
      <c r="D96" s="667"/>
      <c r="E96" s="667"/>
      <c r="F96" s="668"/>
    </row>
    <row r="97" spans="1:6" ht="18" customHeight="1">
      <c r="A97" s="663"/>
      <c r="B97" s="665"/>
      <c r="C97" s="669"/>
      <c r="D97" s="670"/>
      <c r="E97" s="670"/>
      <c r="F97" s="671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266</v>
      </c>
      <c r="B99" s="95" t="s">
        <v>293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268</v>
      </c>
      <c r="C100" s="117">
        <v>2481</v>
      </c>
      <c r="D100" s="117">
        <v>2345</v>
      </c>
      <c r="E100" s="117">
        <f aca="true" t="shared" si="14" ref="E100:E111">D100-C100</f>
        <v>-136</v>
      </c>
      <c r="F100" s="98">
        <f aca="true" t="shared" si="15" ref="F100:F111">IF(C100=0,0,E100/C100)</f>
        <v>-0.054816606207174524</v>
      </c>
    </row>
    <row r="101" spans="1:6" ht="18" customHeight="1">
      <c r="A101" s="99">
        <v>2</v>
      </c>
      <c r="B101" s="100" t="s">
        <v>269</v>
      </c>
      <c r="C101" s="117">
        <v>147</v>
      </c>
      <c r="D101" s="117">
        <v>189</v>
      </c>
      <c r="E101" s="117">
        <f t="shared" si="14"/>
        <v>42</v>
      </c>
      <c r="F101" s="98">
        <f t="shared" si="15"/>
        <v>0.2857142857142857</v>
      </c>
    </row>
    <row r="102" spans="1:6" ht="18" customHeight="1">
      <c r="A102" s="99">
        <v>3</v>
      </c>
      <c r="B102" s="100" t="s">
        <v>270</v>
      </c>
      <c r="C102" s="117">
        <v>508</v>
      </c>
      <c r="D102" s="117">
        <v>420</v>
      </c>
      <c r="E102" s="117">
        <f t="shared" si="14"/>
        <v>-88</v>
      </c>
      <c r="F102" s="98">
        <f t="shared" si="15"/>
        <v>-0.1732283464566929</v>
      </c>
    </row>
    <row r="103" spans="1:6" ht="18" customHeight="1">
      <c r="A103" s="99">
        <v>4</v>
      </c>
      <c r="B103" s="100" t="s">
        <v>271</v>
      </c>
      <c r="C103" s="117">
        <v>636</v>
      </c>
      <c r="D103" s="117">
        <v>541</v>
      </c>
      <c r="E103" s="117">
        <f t="shared" si="14"/>
        <v>-95</v>
      </c>
      <c r="F103" s="98">
        <f t="shared" si="15"/>
        <v>-0.14937106918238993</v>
      </c>
    </row>
    <row r="104" spans="1:6" ht="18" customHeight="1">
      <c r="A104" s="99">
        <v>5</v>
      </c>
      <c r="B104" s="100" t="s">
        <v>272</v>
      </c>
      <c r="C104" s="117">
        <v>12</v>
      </c>
      <c r="D104" s="117">
        <v>13</v>
      </c>
      <c r="E104" s="117">
        <f t="shared" si="14"/>
        <v>1</v>
      </c>
      <c r="F104" s="98">
        <f t="shared" si="15"/>
        <v>0.08333333333333333</v>
      </c>
    </row>
    <row r="105" spans="1:6" ht="18" customHeight="1">
      <c r="A105" s="99">
        <v>6</v>
      </c>
      <c r="B105" s="100" t="s">
        <v>273</v>
      </c>
      <c r="C105" s="117">
        <v>1550</v>
      </c>
      <c r="D105" s="117">
        <v>1497</v>
      </c>
      <c r="E105" s="117">
        <f t="shared" si="14"/>
        <v>-53</v>
      </c>
      <c r="F105" s="98">
        <f t="shared" si="15"/>
        <v>-0.034193548387096775</v>
      </c>
    </row>
    <row r="106" spans="1:6" ht="18" customHeight="1">
      <c r="A106" s="99">
        <v>7</v>
      </c>
      <c r="B106" s="100" t="s">
        <v>274</v>
      </c>
      <c r="C106" s="117">
        <v>0</v>
      </c>
      <c r="D106" s="117">
        <v>0</v>
      </c>
      <c r="E106" s="117">
        <f t="shared" si="14"/>
        <v>0</v>
      </c>
      <c r="F106" s="98">
        <f t="shared" si="15"/>
        <v>0</v>
      </c>
    </row>
    <row r="107" spans="1:6" ht="18" customHeight="1">
      <c r="A107" s="99">
        <v>8</v>
      </c>
      <c r="B107" s="100" t="s">
        <v>275</v>
      </c>
      <c r="C107" s="117">
        <v>14</v>
      </c>
      <c r="D107" s="117">
        <v>17</v>
      </c>
      <c r="E107" s="117">
        <f t="shared" si="14"/>
        <v>3</v>
      </c>
      <c r="F107" s="98">
        <f t="shared" si="15"/>
        <v>0.21428571428571427</v>
      </c>
    </row>
    <row r="108" spans="1:6" ht="18" customHeight="1">
      <c r="A108" s="99">
        <v>9</v>
      </c>
      <c r="B108" s="100" t="s">
        <v>276</v>
      </c>
      <c r="C108" s="117">
        <v>143</v>
      </c>
      <c r="D108" s="117">
        <v>87</v>
      </c>
      <c r="E108" s="117">
        <f t="shared" si="14"/>
        <v>-56</v>
      </c>
      <c r="F108" s="98">
        <f t="shared" si="15"/>
        <v>-0.3916083916083916</v>
      </c>
    </row>
    <row r="109" spans="1:6" ht="18" customHeight="1">
      <c r="A109" s="99">
        <v>10</v>
      </c>
      <c r="B109" s="100" t="s">
        <v>277</v>
      </c>
      <c r="C109" s="117">
        <v>215</v>
      </c>
      <c r="D109" s="117">
        <v>202</v>
      </c>
      <c r="E109" s="117">
        <f t="shared" si="14"/>
        <v>-13</v>
      </c>
      <c r="F109" s="98">
        <f t="shared" si="15"/>
        <v>-0.06046511627906977</v>
      </c>
    </row>
    <row r="110" spans="1:6" ht="18" customHeight="1">
      <c r="A110" s="99">
        <v>11</v>
      </c>
      <c r="B110" s="100" t="s">
        <v>278</v>
      </c>
      <c r="C110" s="117">
        <v>38</v>
      </c>
      <c r="D110" s="117">
        <v>32</v>
      </c>
      <c r="E110" s="117">
        <f t="shared" si="14"/>
        <v>-6</v>
      </c>
      <c r="F110" s="98">
        <f t="shared" si="15"/>
        <v>-0.15789473684210525</v>
      </c>
    </row>
    <row r="111" spans="1:6" ht="18" customHeight="1">
      <c r="A111" s="101"/>
      <c r="B111" s="102" t="s">
        <v>294</v>
      </c>
      <c r="C111" s="118">
        <f>SUM(C100:C110)</f>
        <v>5744</v>
      </c>
      <c r="D111" s="118">
        <f>SUM(D100:D110)</f>
        <v>5343</v>
      </c>
      <c r="E111" s="118">
        <f t="shared" si="14"/>
        <v>-401</v>
      </c>
      <c r="F111" s="104">
        <f t="shared" si="15"/>
        <v>-0.06981197771587744</v>
      </c>
    </row>
    <row r="112" spans="1:6" ht="18" customHeight="1">
      <c r="A112" s="94" t="s">
        <v>280</v>
      </c>
      <c r="B112" s="95" t="s">
        <v>295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268</v>
      </c>
      <c r="C113" s="117">
        <v>11456</v>
      </c>
      <c r="D113" s="117">
        <v>11210</v>
      </c>
      <c r="E113" s="117">
        <f aca="true" t="shared" si="16" ref="E113:E124">D113-C113</f>
        <v>-246</v>
      </c>
      <c r="F113" s="98">
        <f aca="true" t="shared" si="17" ref="F113:F124">IF(C113=0,0,E113/C113)</f>
        <v>-0.021473463687150838</v>
      </c>
    </row>
    <row r="114" spans="1:6" ht="18" customHeight="1">
      <c r="A114" s="99">
        <v>2</v>
      </c>
      <c r="B114" s="100" t="s">
        <v>269</v>
      </c>
      <c r="C114" s="117">
        <v>642</v>
      </c>
      <c r="D114" s="117">
        <v>783</v>
      </c>
      <c r="E114" s="117">
        <f t="shared" si="16"/>
        <v>141</v>
      </c>
      <c r="F114" s="98">
        <f t="shared" si="17"/>
        <v>0.21962616822429906</v>
      </c>
    </row>
    <row r="115" spans="1:6" ht="18" customHeight="1">
      <c r="A115" s="99">
        <v>3</v>
      </c>
      <c r="B115" s="100" t="s">
        <v>270</v>
      </c>
      <c r="C115" s="117">
        <v>1729</v>
      </c>
      <c r="D115" s="117">
        <v>1772</v>
      </c>
      <c r="E115" s="117">
        <f t="shared" si="16"/>
        <v>43</v>
      </c>
      <c r="F115" s="98">
        <f t="shared" si="17"/>
        <v>0.024869866975130134</v>
      </c>
    </row>
    <row r="116" spans="1:6" ht="18" customHeight="1">
      <c r="A116" s="99">
        <v>4</v>
      </c>
      <c r="B116" s="100" t="s">
        <v>271</v>
      </c>
      <c r="C116" s="117">
        <v>1520</v>
      </c>
      <c r="D116" s="117">
        <v>1282</v>
      </c>
      <c r="E116" s="117">
        <f t="shared" si="16"/>
        <v>-238</v>
      </c>
      <c r="F116" s="98">
        <f t="shared" si="17"/>
        <v>-0.15657894736842104</v>
      </c>
    </row>
    <row r="117" spans="1:6" ht="18" customHeight="1">
      <c r="A117" s="99">
        <v>5</v>
      </c>
      <c r="B117" s="100" t="s">
        <v>272</v>
      </c>
      <c r="C117" s="117">
        <v>35</v>
      </c>
      <c r="D117" s="117">
        <v>28</v>
      </c>
      <c r="E117" s="117">
        <f t="shared" si="16"/>
        <v>-7</v>
      </c>
      <c r="F117" s="98">
        <f t="shared" si="17"/>
        <v>-0.2</v>
      </c>
    </row>
    <row r="118" spans="1:6" ht="18" customHeight="1">
      <c r="A118" s="99">
        <v>6</v>
      </c>
      <c r="B118" s="100" t="s">
        <v>273</v>
      </c>
      <c r="C118" s="117">
        <v>4311</v>
      </c>
      <c r="D118" s="117">
        <v>4545</v>
      </c>
      <c r="E118" s="117">
        <f t="shared" si="16"/>
        <v>234</v>
      </c>
      <c r="F118" s="98">
        <f t="shared" si="17"/>
        <v>0.054279749478079335</v>
      </c>
    </row>
    <row r="119" spans="1:6" ht="18" customHeight="1">
      <c r="A119" s="99">
        <v>7</v>
      </c>
      <c r="B119" s="100" t="s">
        <v>274</v>
      </c>
      <c r="C119" s="117">
        <v>0</v>
      </c>
      <c r="D119" s="117">
        <v>0</v>
      </c>
      <c r="E119" s="117">
        <f t="shared" si="16"/>
        <v>0</v>
      </c>
      <c r="F119" s="98">
        <f t="shared" si="17"/>
        <v>0</v>
      </c>
    </row>
    <row r="120" spans="1:6" ht="18" customHeight="1">
      <c r="A120" s="99">
        <v>8</v>
      </c>
      <c r="B120" s="100" t="s">
        <v>275</v>
      </c>
      <c r="C120" s="117">
        <v>36</v>
      </c>
      <c r="D120" s="117">
        <v>57</v>
      </c>
      <c r="E120" s="117">
        <f t="shared" si="16"/>
        <v>21</v>
      </c>
      <c r="F120" s="98">
        <f t="shared" si="17"/>
        <v>0.5833333333333334</v>
      </c>
    </row>
    <row r="121" spans="1:6" ht="18" customHeight="1">
      <c r="A121" s="99">
        <v>9</v>
      </c>
      <c r="B121" s="100" t="s">
        <v>276</v>
      </c>
      <c r="C121" s="117">
        <v>433</v>
      </c>
      <c r="D121" s="117">
        <v>242</v>
      </c>
      <c r="E121" s="117">
        <f t="shared" si="16"/>
        <v>-191</v>
      </c>
      <c r="F121" s="98">
        <f t="shared" si="17"/>
        <v>-0.44110854503464203</v>
      </c>
    </row>
    <row r="122" spans="1:6" ht="18" customHeight="1">
      <c r="A122" s="99">
        <v>10</v>
      </c>
      <c r="B122" s="100" t="s">
        <v>277</v>
      </c>
      <c r="C122" s="117">
        <v>749</v>
      </c>
      <c r="D122" s="117">
        <v>704</v>
      </c>
      <c r="E122" s="117">
        <f t="shared" si="16"/>
        <v>-45</v>
      </c>
      <c r="F122" s="98">
        <f t="shared" si="17"/>
        <v>-0.06008010680907877</v>
      </c>
    </row>
    <row r="123" spans="1:6" ht="18" customHeight="1">
      <c r="A123" s="99">
        <v>11</v>
      </c>
      <c r="B123" s="100" t="s">
        <v>278</v>
      </c>
      <c r="C123" s="117">
        <v>139</v>
      </c>
      <c r="D123" s="117">
        <v>73</v>
      </c>
      <c r="E123" s="117">
        <f t="shared" si="16"/>
        <v>-66</v>
      </c>
      <c r="F123" s="98">
        <f t="shared" si="17"/>
        <v>-0.4748201438848921</v>
      </c>
    </row>
    <row r="124" spans="1:6" ht="18" customHeight="1">
      <c r="A124" s="101"/>
      <c r="B124" s="102" t="s">
        <v>296</v>
      </c>
      <c r="C124" s="118">
        <f>SUM(C113:C123)</f>
        <v>21050</v>
      </c>
      <c r="D124" s="118">
        <f>SUM(D113:D123)</f>
        <v>20696</v>
      </c>
      <c r="E124" s="118">
        <f t="shared" si="16"/>
        <v>-354</v>
      </c>
      <c r="F124" s="104">
        <f t="shared" si="17"/>
        <v>-0.01681710213776722</v>
      </c>
    </row>
    <row r="125" spans="1:6" ht="18" customHeight="1">
      <c r="A125" s="94" t="s">
        <v>297</v>
      </c>
      <c r="B125" s="95" t="s">
        <v>298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268</v>
      </c>
      <c r="C126" s="117">
        <v>42516</v>
      </c>
      <c r="D126" s="117">
        <v>42896</v>
      </c>
      <c r="E126" s="117">
        <f aca="true" t="shared" si="18" ref="E126:E137">D126-C126</f>
        <v>380</v>
      </c>
      <c r="F126" s="98">
        <f aca="true" t="shared" si="19" ref="F126:F137">IF(C126=0,0,E126/C126)</f>
        <v>0.00893781164737981</v>
      </c>
    </row>
    <row r="127" spans="1:6" ht="18" customHeight="1">
      <c r="A127" s="99">
        <v>2</v>
      </c>
      <c r="B127" s="100" t="s">
        <v>269</v>
      </c>
      <c r="C127" s="117">
        <v>3534</v>
      </c>
      <c r="D127" s="117">
        <v>5167</v>
      </c>
      <c r="E127" s="117">
        <f t="shared" si="18"/>
        <v>1633</v>
      </c>
      <c r="F127" s="98">
        <f t="shared" si="19"/>
        <v>0.4620826259196378</v>
      </c>
    </row>
    <row r="128" spans="1:6" ht="18" customHeight="1">
      <c r="A128" s="99">
        <v>3</v>
      </c>
      <c r="B128" s="100" t="s">
        <v>270</v>
      </c>
      <c r="C128" s="117">
        <v>6584</v>
      </c>
      <c r="D128" s="117">
        <v>6720</v>
      </c>
      <c r="E128" s="117">
        <f t="shared" si="18"/>
        <v>136</v>
      </c>
      <c r="F128" s="98">
        <f t="shared" si="19"/>
        <v>0.020656136087484813</v>
      </c>
    </row>
    <row r="129" spans="1:6" ht="18" customHeight="1">
      <c r="A129" s="99">
        <v>4</v>
      </c>
      <c r="B129" s="100" t="s">
        <v>271</v>
      </c>
      <c r="C129" s="117">
        <v>14079</v>
      </c>
      <c r="D129" s="117">
        <v>15088</v>
      </c>
      <c r="E129" s="117">
        <f t="shared" si="18"/>
        <v>1009</v>
      </c>
      <c r="F129" s="98">
        <f t="shared" si="19"/>
        <v>0.07166702180552596</v>
      </c>
    </row>
    <row r="130" spans="1:6" ht="18" customHeight="1">
      <c r="A130" s="99">
        <v>5</v>
      </c>
      <c r="B130" s="100" t="s">
        <v>272</v>
      </c>
      <c r="C130" s="117">
        <v>396</v>
      </c>
      <c r="D130" s="117">
        <v>450</v>
      </c>
      <c r="E130" s="117">
        <f t="shared" si="18"/>
        <v>54</v>
      </c>
      <c r="F130" s="98">
        <f t="shared" si="19"/>
        <v>0.13636363636363635</v>
      </c>
    </row>
    <row r="131" spans="1:6" ht="18" customHeight="1">
      <c r="A131" s="99">
        <v>6</v>
      </c>
      <c r="B131" s="100" t="s">
        <v>273</v>
      </c>
      <c r="C131" s="117">
        <v>75097</v>
      </c>
      <c r="D131" s="117">
        <v>74757</v>
      </c>
      <c r="E131" s="117">
        <f t="shared" si="18"/>
        <v>-340</v>
      </c>
      <c r="F131" s="98">
        <f t="shared" si="19"/>
        <v>-0.004527477795384636</v>
      </c>
    </row>
    <row r="132" spans="1:6" ht="18" customHeight="1">
      <c r="A132" s="99">
        <v>7</v>
      </c>
      <c r="B132" s="100" t="s">
        <v>274</v>
      </c>
      <c r="C132" s="117">
        <v>0</v>
      </c>
      <c r="D132" s="117">
        <v>0</v>
      </c>
      <c r="E132" s="117">
        <f t="shared" si="18"/>
        <v>0</v>
      </c>
      <c r="F132" s="98">
        <f t="shared" si="19"/>
        <v>0</v>
      </c>
    </row>
    <row r="133" spans="1:6" ht="18" customHeight="1">
      <c r="A133" s="99">
        <v>8</v>
      </c>
      <c r="B133" s="100" t="s">
        <v>275</v>
      </c>
      <c r="C133" s="117">
        <v>1965</v>
      </c>
      <c r="D133" s="117">
        <v>2037</v>
      </c>
      <c r="E133" s="117">
        <f t="shared" si="18"/>
        <v>72</v>
      </c>
      <c r="F133" s="98">
        <f t="shared" si="19"/>
        <v>0.0366412213740458</v>
      </c>
    </row>
    <row r="134" spans="1:6" ht="18" customHeight="1">
      <c r="A134" s="99">
        <v>9</v>
      </c>
      <c r="B134" s="100" t="s">
        <v>276</v>
      </c>
      <c r="C134" s="117">
        <v>4706</v>
      </c>
      <c r="D134" s="117">
        <v>4847</v>
      </c>
      <c r="E134" s="117">
        <f t="shared" si="18"/>
        <v>141</v>
      </c>
      <c r="F134" s="98">
        <f t="shared" si="19"/>
        <v>0.029961750956226094</v>
      </c>
    </row>
    <row r="135" spans="1:6" ht="18" customHeight="1">
      <c r="A135" s="99">
        <v>10</v>
      </c>
      <c r="B135" s="100" t="s">
        <v>277</v>
      </c>
      <c r="C135" s="117">
        <v>5143</v>
      </c>
      <c r="D135" s="117">
        <v>6777</v>
      </c>
      <c r="E135" s="117">
        <f t="shared" si="18"/>
        <v>1634</v>
      </c>
      <c r="F135" s="98">
        <f t="shared" si="19"/>
        <v>0.3177133968500875</v>
      </c>
    </row>
    <row r="136" spans="1:6" ht="18" customHeight="1">
      <c r="A136" s="99">
        <v>11</v>
      </c>
      <c r="B136" s="100" t="s">
        <v>278</v>
      </c>
      <c r="C136" s="117">
        <v>148</v>
      </c>
      <c r="D136" s="117">
        <v>102</v>
      </c>
      <c r="E136" s="117">
        <f t="shared" si="18"/>
        <v>-46</v>
      </c>
      <c r="F136" s="98">
        <f t="shared" si="19"/>
        <v>-0.3108108108108108</v>
      </c>
    </row>
    <row r="137" spans="1:6" ht="18" customHeight="1">
      <c r="A137" s="101"/>
      <c r="B137" s="102" t="s">
        <v>299</v>
      </c>
      <c r="C137" s="118">
        <f>SUM(C126:C136)</f>
        <v>154168</v>
      </c>
      <c r="D137" s="118">
        <f>SUM(D126:D136)</f>
        <v>158841</v>
      </c>
      <c r="E137" s="118">
        <f t="shared" si="18"/>
        <v>4673</v>
      </c>
      <c r="F137" s="104">
        <f t="shared" si="19"/>
        <v>0.03031108920139069</v>
      </c>
    </row>
    <row r="138" spans="1:6" ht="18" customHeight="1">
      <c r="A138" s="662" t="s">
        <v>300</v>
      </c>
      <c r="B138" s="664" t="s">
        <v>301</v>
      </c>
      <c r="C138" s="666"/>
      <c r="D138" s="667"/>
      <c r="E138" s="667"/>
      <c r="F138" s="668"/>
    </row>
    <row r="139" spans="1:6" ht="18" customHeight="1">
      <c r="A139" s="663"/>
      <c r="B139" s="665"/>
      <c r="C139" s="669"/>
      <c r="D139" s="670"/>
      <c r="E139" s="670"/>
      <c r="F139" s="671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266</v>
      </c>
      <c r="B141" s="95" t="s">
        <v>302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268</v>
      </c>
      <c r="C142" s="97">
        <v>4822015</v>
      </c>
      <c r="D142" s="97">
        <v>4487155</v>
      </c>
      <c r="E142" s="97">
        <f aca="true" t="shared" si="20" ref="E142:E153">D142-C142</f>
        <v>-334860</v>
      </c>
      <c r="F142" s="98">
        <f aca="true" t="shared" si="21" ref="F142:F153">IF(C142=0,0,E142/C142)</f>
        <v>-0.0694439979966881</v>
      </c>
    </row>
    <row r="143" spans="1:6" ht="18" customHeight="1">
      <c r="A143" s="99">
        <v>2</v>
      </c>
      <c r="B143" s="100" t="s">
        <v>269</v>
      </c>
      <c r="C143" s="97">
        <v>350400</v>
      </c>
      <c r="D143" s="97">
        <v>496648</v>
      </c>
      <c r="E143" s="97">
        <f t="shared" si="20"/>
        <v>146248</v>
      </c>
      <c r="F143" s="98">
        <f t="shared" si="21"/>
        <v>0.4173744292237443</v>
      </c>
    </row>
    <row r="144" spans="1:6" ht="18" customHeight="1">
      <c r="A144" s="99">
        <v>3</v>
      </c>
      <c r="B144" s="100" t="s">
        <v>270</v>
      </c>
      <c r="C144" s="97">
        <v>3005807</v>
      </c>
      <c r="D144" s="97">
        <v>2686678</v>
      </c>
      <c r="E144" s="97">
        <f t="shared" si="20"/>
        <v>-319129</v>
      </c>
      <c r="F144" s="98">
        <f t="shared" si="21"/>
        <v>-0.10617082201219173</v>
      </c>
    </row>
    <row r="145" spans="1:6" ht="18" customHeight="1">
      <c r="A145" s="99">
        <v>4</v>
      </c>
      <c r="B145" s="100" t="s">
        <v>271</v>
      </c>
      <c r="C145" s="97">
        <v>6083674</v>
      </c>
      <c r="D145" s="97">
        <v>6520795</v>
      </c>
      <c r="E145" s="97">
        <f t="shared" si="20"/>
        <v>437121</v>
      </c>
      <c r="F145" s="98">
        <f t="shared" si="21"/>
        <v>0.07185148316625775</v>
      </c>
    </row>
    <row r="146" spans="1:6" ht="18" customHeight="1">
      <c r="A146" s="99">
        <v>5</v>
      </c>
      <c r="B146" s="100" t="s">
        <v>272</v>
      </c>
      <c r="C146" s="97">
        <v>213093</v>
      </c>
      <c r="D146" s="97">
        <v>218499</v>
      </c>
      <c r="E146" s="97">
        <f t="shared" si="20"/>
        <v>5406</v>
      </c>
      <c r="F146" s="98">
        <f t="shared" si="21"/>
        <v>0.02536920499500218</v>
      </c>
    </row>
    <row r="147" spans="1:6" ht="18" customHeight="1">
      <c r="A147" s="99">
        <v>6</v>
      </c>
      <c r="B147" s="100" t="s">
        <v>273</v>
      </c>
      <c r="C147" s="97">
        <v>12330601</v>
      </c>
      <c r="D147" s="97">
        <v>10283821</v>
      </c>
      <c r="E147" s="97">
        <f t="shared" si="20"/>
        <v>-2046780</v>
      </c>
      <c r="F147" s="98">
        <f t="shared" si="21"/>
        <v>-0.1659919090723964</v>
      </c>
    </row>
    <row r="148" spans="1:6" ht="18" customHeight="1">
      <c r="A148" s="99">
        <v>7</v>
      </c>
      <c r="B148" s="100" t="s">
        <v>274</v>
      </c>
      <c r="C148" s="97">
        <v>0</v>
      </c>
      <c r="D148" s="97">
        <v>0</v>
      </c>
      <c r="E148" s="97">
        <f t="shared" si="20"/>
        <v>0</v>
      </c>
      <c r="F148" s="98">
        <f t="shared" si="21"/>
        <v>0</v>
      </c>
    </row>
    <row r="149" spans="1:6" ht="18" customHeight="1">
      <c r="A149" s="99">
        <v>8</v>
      </c>
      <c r="B149" s="100" t="s">
        <v>275</v>
      </c>
      <c r="C149" s="97">
        <v>690855</v>
      </c>
      <c r="D149" s="97">
        <v>485797</v>
      </c>
      <c r="E149" s="97">
        <f t="shared" si="20"/>
        <v>-205058</v>
      </c>
      <c r="F149" s="98">
        <f t="shared" si="21"/>
        <v>-0.2968177113866151</v>
      </c>
    </row>
    <row r="150" spans="1:6" ht="18" customHeight="1">
      <c r="A150" s="99">
        <v>9</v>
      </c>
      <c r="B150" s="100" t="s">
        <v>276</v>
      </c>
      <c r="C150" s="97">
        <v>2606359</v>
      </c>
      <c r="D150" s="97">
        <v>2166838</v>
      </c>
      <c r="E150" s="97">
        <f t="shared" si="20"/>
        <v>-439521</v>
      </c>
      <c r="F150" s="98">
        <f t="shared" si="21"/>
        <v>-0.16863409837248053</v>
      </c>
    </row>
    <row r="151" spans="1:6" ht="18" customHeight="1">
      <c r="A151" s="99">
        <v>10</v>
      </c>
      <c r="B151" s="100" t="s">
        <v>277</v>
      </c>
      <c r="C151" s="97">
        <v>2884177</v>
      </c>
      <c r="D151" s="97">
        <v>3598286</v>
      </c>
      <c r="E151" s="97">
        <f t="shared" si="20"/>
        <v>714109</v>
      </c>
      <c r="F151" s="98">
        <f t="shared" si="21"/>
        <v>0.2475954145671365</v>
      </c>
    </row>
    <row r="152" spans="1:6" ht="18" customHeight="1">
      <c r="A152" s="99">
        <v>11</v>
      </c>
      <c r="B152" s="100" t="s">
        <v>278</v>
      </c>
      <c r="C152" s="97">
        <v>205305</v>
      </c>
      <c r="D152" s="97">
        <v>287107</v>
      </c>
      <c r="E152" s="97">
        <f t="shared" si="20"/>
        <v>81802</v>
      </c>
      <c r="F152" s="98">
        <f t="shared" si="21"/>
        <v>0.3984413433671854</v>
      </c>
    </row>
    <row r="153" spans="1:6" ht="33.75" customHeight="1">
      <c r="A153" s="101"/>
      <c r="B153" s="102" t="s">
        <v>303</v>
      </c>
      <c r="C153" s="103">
        <f>SUM(C142:C152)</f>
        <v>33192286</v>
      </c>
      <c r="D153" s="103">
        <f>SUM(D142:D152)</f>
        <v>31231624</v>
      </c>
      <c r="E153" s="103">
        <f t="shared" si="20"/>
        <v>-1960662</v>
      </c>
      <c r="F153" s="104">
        <f t="shared" si="21"/>
        <v>-0.05906980917192627</v>
      </c>
    </row>
    <row r="154" spans="1:6" ht="18" customHeight="1">
      <c r="A154" s="94" t="s">
        <v>280</v>
      </c>
      <c r="B154" s="95" t="s">
        <v>304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268</v>
      </c>
      <c r="C155" s="97">
        <v>1333332</v>
      </c>
      <c r="D155" s="97">
        <v>1286713</v>
      </c>
      <c r="E155" s="97">
        <f aca="true" t="shared" si="22" ref="E155:E166">D155-C155</f>
        <v>-46619</v>
      </c>
      <c r="F155" s="98">
        <f aca="true" t="shared" si="23" ref="F155:F166">IF(C155=0,0,E155/C155)</f>
        <v>-0.03496428496428496</v>
      </c>
    </row>
    <row r="156" spans="1:6" ht="18" customHeight="1">
      <c r="A156" s="99">
        <v>2</v>
      </c>
      <c r="B156" s="100" t="s">
        <v>269</v>
      </c>
      <c r="C156" s="97">
        <v>92747</v>
      </c>
      <c r="D156" s="97">
        <v>145098</v>
      </c>
      <c r="E156" s="97">
        <f t="shared" si="22"/>
        <v>52351</v>
      </c>
      <c r="F156" s="98">
        <f t="shared" si="23"/>
        <v>0.5644495239738213</v>
      </c>
    </row>
    <row r="157" spans="1:6" ht="18" customHeight="1">
      <c r="A157" s="99">
        <v>3</v>
      </c>
      <c r="B157" s="100" t="s">
        <v>270</v>
      </c>
      <c r="C157" s="97">
        <v>669050</v>
      </c>
      <c r="D157" s="97">
        <v>729990</v>
      </c>
      <c r="E157" s="97">
        <f t="shared" si="22"/>
        <v>60940</v>
      </c>
      <c r="F157" s="98">
        <f t="shared" si="23"/>
        <v>0.09108437336521934</v>
      </c>
    </row>
    <row r="158" spans="1:6" ht="18" customHeight="1">
      <c r="A158" s="99">
        <v>4</v>
      </c>
      <c r="B158" s="100" t="s">
        <v>271</v>
      </c>
      <c r="C158" s="97">
        <v>1779812</v>
      </c>
      <c r="D158" s="97">
        <v>2013165</v>
      </c>
      <c r="E158" s="97">
        <f t="shared" si="22"/>
        <v>233353</v>
      </c>
      <c r="F158" s="98">
        <f t="shared" si="23"/>
        <v>0.13111103869397442</v>
      </c>
    </row>
    <row r="159" spans="1:6" ht="18" customHeight="1">
      <c r="A159" s="99">
        <v>5</v>
      </c>
      <c r="B159" s="100" t="s">
        <v>272</v>
      </c>
      <c r="C159" s="97">
        <v>107867</v>
      </c>
      <c r="D159" s="97">
        <v>107984</v>
      </c>
      <c r="E159" s="97">
        <f t="shared" si="22"/>
        <v>117</v>
      </c>
      <c r="F159" s="98">
        <f t="shared" si="23"/>
        <v>0.0010846690832228578</v>
      </c>
    </row>
    <row r="160" spans="1:6" ht="18" customHeight="1">
      <c r="A160" s="99">
        <v>6</v>
      </c>
      <c r="B160" s="100" t="s">
        <v>273</v>
      </c>
      <c r="C160" s="97">
        <v>5020565</v>
      </c>
      <c r="D160" s="97">
        <v>4511234</v>
      </c>
      <c r="E160" s="97">
        <f t="shared" si="22"/>
        <v>-509331</v>
      </c>
      <c r="F160" s="98">
        <f t="shared" si="23"/>
        <v>-0.10144894050769186</v>
      </c>
    </row>
    <row r="161" spans="1:6" ht="18" customHeight="1">
      <c r="A161" s="99">
        <v>7</v>
      </c>
      <c r="B161" s="100" t="s">
        <v>274</v>
      </c>
      <c r="C161" s="97">
        <v>0</v>
      </c>
      <c r="D161" s="97">
        <v>0</v>
      </c>
      <c r="E161" s="97">
        <f t="shared" si="22"/>
        <v>0</v>
      </c>
      <c r="F161" s="98">
        <f t="shared" si="23"/>
        <v>0</v>
      </c>
    </row>
    <row r="162" spans="1:6" ht="18" customHeight="1">
      <c r="A162" s="99">
        <v>8</v>
      </c>
      <c r="B162" s="100" t="s">
        <v>275</v>
      </c>
      <c r="C162" s="97">
        <v>464395</v>
      </c>
      <c r="D162" s="97">
        <v>322561</v>
      </c>
      <c r="E162" s="97">
        <f t="shared" si="22"/>
        <v>-141834</v>
      </c>
      <c r="F162" s="98">
        <f t="shared" si="23"/>
        <v>-0.3054167249862725</v>
      </c>
    </row>
    <row r="163" spans="1:6" ht="18" customHeight="1">
      <c r="A163" s="99">
        <v>9</v>
      </c>
      <c r="B163" s="100" t="s">
        <v>276</v>
      </c>
      <c r="C163" s="97">
        <v>102392</v>
      </c>
      <c r="D163" s="97">
        <v>69764</v>
      </c>
      <c r="E163" s="97">
        <f t="shared" si="22"/>
        <v>-32628</v>
      </c>
      <c r="F163" s="98">
        <f t="shared" si="23"/>
        <v>-0.31865770763340884</v>
      </c>
    </row>
    <row r="164" spans="1:6" ht="18" customHeight="1">
      <c r="A164" s="99">
        <v>10</v>
      </c>
      <c r="B164" s="100" t="s">
        <v>277</v>
      </c>
      <c r="C164" s="97">
        <v>389086</v>
      </c>
      <c r="D164" s="97">
        <v>492111</v>
      </c>
      <c r="E164" s="97">
        <f t="shared" si="22"/>
        <v>103025</v>
      </c>
      <c r="F164" s="98">
        <f t="shared" si="23"/>
        <v>0.26478721927800025</v>
      </c>
    </row>
    <row r="165" spans="1:6" ht="18" customHeight="1">
      <c r="A165" s="99">
        <v>11</v>
      </c>
      <c r="B165" s="100" t="s">
        <v>278</v>
      </c>
      <c r="C165" s="97">
        <v>18983</v>
      </c>
      <c r="D165" s="97">
        <v>59389</v>
      </c>
      <c r="E165" s="97">
        <f t="shared" si="22"/>
        <v>40406</v>
      </c>
      <c r="F165" s="98">
        <f t="shared" si="23"/>
        <v>2.1285360585787285</v>
      </c>
    </row>
    <row r="166" spans="1:6" ht="33.75" customHeight="1">
      <c r="A166" s="101"/>
      <c r="B166" s="102" t="s">
        <v>305</v>
      </c>
      <c r="C166" s="103">
        <f>SUM(C155:C165)</f>
        <v>9978229</v>
      </c>
      <c r="D166" s="103">
        <f>SUM(D155:D165)</f>
        <v>9738009</v>
      </c>
      <c r="E166" s="103">
        <f t="shared" si="22"/>
        <v>-240220</v>
      </c>
      <c r="F166" s="104">
        <f t="shared" si="23"/>
        <v>-0.024074412403243102</v>
      </c>
    </row>
    <row r="167" spans="1:6" ht="18" customHeight="1">
      <c r="A167" s="94" t="s">
        <v>297</v>
      </c>
      <c r="B167" s="95" t="s">
        <v>306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268</v>
      </c>
      <c r="C168" s="117">
        <v>3088</v>
      </c>
      <c r="D168" s="117">
        <v>3190</v>
      </c>
      <c r="E168" s="117">
        <f aca="true" t="shared" si="24" ref="E168:E179">D168-C168</f>
        <v>102</v>
      </c>
      <c r="F168" s="98">
        <f aca="true" t="shared" si="25" ref="F168:F179">IF(C168=0,0,E168/C168)</f>
        <v>0.033031088082901554</v>
      </c>
    </row>
    <row r="169" spans="1:6" ht="18" customHeight="1">
      <c r="A169" s="99">
        <v>2</v>
      </c>
      <c r="B169" s="100" t="s">
        <v>269</v>
      </c>
      <c r="C169" s="117">
        <v>184</v>
      </c>
      <c r="D169" s="117">
        <v>359</v>
      </c>
      <c r="E169" s="117">
        <f t="shared" si="24"/>
        <v>175</v>
      </c>
      <c r="F169" s="98">
        <f t="shared" si="25"/>
        <v>0.9510869565217391</v>
      </c>
    </row>
    <row r="170" spans="1:6" ht="18" customHeight="1">
      <c r="A170" s="99">
        <v>3</v>
      </c>
      <c r="B170" s="100" t="s">
        <v>270</v>
      </c>
      <c r="C170" s="117">
        <v>2051</v>
      </c>
      <c r="D170" s="117">
        <v>1979</v>
      </c>
      <c r="E170" s="117">
        <f t="shared" si="24"/>
        <v>-72</v>
      </c>
      <c r="F170" s="98">
        <f t="shared" si="25"/>
        <v>-0.035104826913700635</v>
      </c>
    </row>
    <row r="171" spans="1:6" ht="18" customHeight="1">
      <c r="A171" s="99">
        <v>4</v>
      </c>
      <c r="B171" s="100" t="s">
        <v>271</v>
      </c>
      <c r="C171" s="117">
        <v>5257</v>
      </c>
      <c r="D171" s="117">
        <v>5811</v>
      </c>
      <c r="E171" s="117">
        <f t="shared" si="24"/>
        <v>554</v>
      </c>
      <c r="F171" s="98">
        <f t="shared" si="25"/>
        <v>0.10538329845919726</v>
      </c>
    </row>
    <row r="172" spans="1:6" ht="18" customHeight="1">
      <c r="A172" s="99">
        <v>5</v>
      </c>
      <c r="B172" s="100" t="s">
        <v>272</v>
      </c>
      <c r="C172" s="117">
        <v>177</v>
      </c>
      <c r="D172" s="117">
        <v>212</v>
      </c>
      <c r="E172" s="117">
        <f t="shared" si="24"/>
        <v>35</v>
      </c>
      <c r="F172" s="98">
        <f t="shared" si="25"/>
        <v>0.1977401129943503</v>
      </c>
    </row>
    <row r="173" spans="1:6" ht="18" customHeight="1">
      <c r="A173" s="99">
        <v>6</v>
      </c>
      <c r="B173" s="100" t="s">
        <v>273</v>
      </c>
      <c r="C173" s="117">
        <v>8629</v>
      </c>
      <c r="D173" s="117">
        <v>8757</v>
      </c>
      <c r="E173" s="117">
        <f t="shared" si="24"/>
        <v>128</v>
      </c>
      <c r="F173" s="98">
        <f t="shared" si="25"/>
        <v>0.014833700312898365</v>
      </c>
    </row>
    <row r="174" spans="1:6" ht="18" customHeight="1">
      <c r="A174" s="99">
        <v>7</v>
      </c>
      <c r="B174" s="100" t="s">
        <v>274</v>
      </c>
      <c r="C174" s="117">
        <v>0</v>
      </c>
      <c r="D174" s="117">
        <v>0</v>
      </c>
      <c r="E174" s="117">
        <f t="shared" si="24"/>
        <v>0</v>
      </c>
      <c r="F174" s="98">
        <f t="shared" si="25"/>
        <v>0</v>
      </c>
    </row>
    <row r="175" spans="1:6" ht="18" customHeight="1">
      <c r="A175" s="99">
        <v>8</v>
      </c>
      <c r="B175" s="100" t="s">
        <v>275</v>
      </c>
      <c r="C175" s="117">
        <v>793</v>
      </c>
      <c r="D175" s="117">
        <v>717</v>
      </c>
      <c r="E175" s="117">
        <f t="shared" si="24"/>
        <v>-76</v>
      </c>
      <c r="F175" s="98">
        <f t="shared" si="25"/>
        <v>-0.09583858764186633</v>
      </c>
    </row>
    <row r="176" spans="1:6" ht="18" customHeight="1">
      <c r="A176" s="99">
        <v>9</v>
      </c>
      <c r="B176" s="100" t="s">
        <v>276</v>
      </c>
      <c r="C176" s="117">
        <v>2226</v>
      </c>
      <c r="D176" s="117">
        <v>2304</v>
      </c>
      <c r="E176" s="117">
        <f t="shared" si="24"/>
        <v>78</v>
      </c>
      <c r="F176" s="98">
        <f t="shared" si="25"/>
        <v>0.03504043126684636</v>
      </c>
    </row>
    <row r="177" spans="1:6" ht="18" customHeight="1">
      <c r="A177" s="99">
        <v>10</v>
      </c>
      <c r="B177" s="100" t="s">
        <v>277</v>
      </c>
      <c r="C177" s="117">
        <v>2260</v>
      </c>
      <c r="D177" s="117">
        <v>2679</v>
      </c>
      <c r="E177" s="117">
        <f t="shared" si="24"/>
        <v>419</v>
      </c>
      <c r="F177" s="98">
        <f t="shared" si="25"/>
        <v>0.18539823008849557</v>
      </c>
    </row>
    <row r="178" spans="1:6" ht="18" customHeight="1">
      <c r="A178" s="99">
        <v>11</v>
      </c>
      <c r="B178" s="100" t="s">
        <v>278</v>
      </c>
      <c r="C178" s="117">
        <v>113</v>
      </c>
      <c r="D178" s="117">
        <v>285</v>
      </c>
      <c r="E178" s="117">
        <f t="shared" si="24"/>
        <v>172</v>
      </c>
      <c r="F178" s="98">
        <f t="shared" si="25"/>
        <v>1.5221238938053097</v>
      </c>
    </row>
    <row r="179" spans="1:6" ht="33.75" customHeight="1">
      <c r="A179" s="101"/>
      <c r="B179" s="102" t="s">
        <v>307</v>
      </c>
      <c r="C179" s="118">
        <f>SUM(C168:C178)</f>
        <v>24778</v>
      </c>
      <c r="D179" s="118">
        <f>SUM(D168:D178)</f>
        <v>26293</v>
      </c>
      <c r="E179" s="118">
        <f t="shared" si="24"/>
        <v>1515</v>
      </c>
      <c r="F179" s="104">
        <f t="shared" si="25"/>
        <v>0.061142949390588425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3" fitToWidth="1" horizontalDpi="1200" verticalDpi="1200" orientation="portrait" paperSize="9" scale="64" r:id="rId1"/>
  <headerFooter alignWithMargins="0">
    <oddHeader>&amp;LOFFICE OF HEALTH CARE ACCESS&amp;CTWELVE MONTHS ACTUAL FILING&amp;RWINDHAM COMMUNITY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156</v>
      </c>
      <c r="E2" s="123"/>
      <c r="F2" s="123"/>
      <c r="G2" s="124"/>
    </row>
    <row r="3" spans="1:7" ht="15.75" customHeight="1">
      <c r="A3" s="121"/>
      <c r="C3" s="123" t="s">
        <v>157</v>
      </c>
      <c r="E3" s="123"/>
      <c r="F3" s="123"/>
      <c r="G3" s="124"/>
    </row>
    <row r="4" spans="1:7" ht="15.75" customHeight="1">
      <c r="A4" s="121"/>
      <c r="C4" s="123" t="s">
        <v>158</v>
      </c>
      <c r="E4" s="123"/>
      <c r="F4" s="123"/>
      <c r="G4" s="124"/>
    </row>
    <row r="5" spans="1:7" ht="15.75" customHeight="1">
      <c r="A5" s="121"/>
      <c r="C5" s="123" t="s">
        <v>308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160</v>
      </c>
      <c r="D9" s="127" t="s">
        <v>161</v>
      </c>
      <c r="E9" s="129" t="s">
        <v>162</v>
      </c>
      <c r="F9" s="130" t="s">
        <v>309</v>
      </c>
      <c r="G9" s="124"/>
    </row>
    <row r="10" spans="1:7" ht="15.75" customHeight="1">
      <c r="A10" s="131" t="s">
        <v>310</v>
      </c>
      <c r="B10" s="132" t="s">
        <v>165</v>
      </c>
      <c r="C10" s="133" t="s">
        <v>166</v>
      </c>
      <c r="D10" s="133" t="s">
        <v>166</v>
      </c>
      <c r="E10" s="134" t="s">
        <v>167</v>
      </c>
      <c r="F10" s="133" t="s">
        <v>167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168</v>
      </c>
      <c r="B12" s="139" t="s">
        <v>311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266</v>
      </c>
      <c r="B14" s="145" t="s">
        <v>312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313</v>
      </c>
      <c r="C15" s="146">
        <v>12315908</v>
      </c>
      <c r="D15" s="146">
        <v>15137005</v>
      </c>
      <c r="E15" s="146">
        <f>+D15-C15</f>
        <v>2821097</v>
      </c>
      <c r="F15" s="150">
        <f>IF(C15=0,0,E15/C15)</f>
        <v>0.2290612271543438</v>
      </c>
    </row>
    <row r="16" spans="1:6" ht="15" customHeight="1">
      <c r="A16" s="141">
        <v>2</v>
      </c>
      <c r="B16" s="149" t="s">
        <v>314</v>
      </c>
      <c r="C16" s="146">
        <v>2978184</v>
      </c>
      <c r="D16" s="146">
        <v>127711</v>
      </c>
      <c r="E16" s="146">
        <f>+D16-C16</f>
        <v>-2850473</v>
      </c>
      <c r="F16" s="150">
        <f>IF(C16=0,0,E16/C16)</f>
        <v>-0.9571178275083071</v>
      </c>
    </row>
    <row r="17" spans="1:6" ht="15" customHeight="1">
      <c r="A17" s="141">
        <v>3</v>
      </c>
      <c r="B17" s="149" t="s">
        <v>315</v>
      </c>
      <c r="C17" s="146">
        <v>21514168</v>
      </c>
      <c r="D17" s="146">
        <v>21833969</v>
      </c>
      <c r="E17" s="146">
        <f>+D17-C17</f>
        <v>319801</v>
      </c>
      <c r="F17" s="150">
        <f>IF(C17=0,0,E17/C17)</f>
        <v>0.014864669644673222</v>
      </c>
    </row>
    <row r="18" spans="1:7" ht="15.75" customHeight="1">
      <c r="A18" s="141"/>
      <c r="B18" s="151" t="s">
        <v>316</v>
      </c>
      <c r="C18" s="147">
        <f>SUM(C15:C17)</f>
        <v>36808260</v>
      </c>
      <c r="D18" s="147">
        <f>SUM(D15:D17)</f>
        <v>37098685</v>
      </c>
      <c r="E18" s="147">
        <f>+D18-C18</f>
        <v>290425</v>
      </c>
      <c r="F18" s="148">
        <f>IF(C18=0,0,E18/C18)</f>
        <v>0.007890212685956901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280</v>
      </c>
      <c r="B20" s="145" t="s">
        <v>317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318</v>
      </c>
      <c r="C21" s="146">
        <v>4171693</v>
      </c>
      <c r="D21" s="146">
        <v>5158691</v>
      </c>
      <c r="E21" s="146">
        <f>+D21-C21</f>
        <v>986998</v>
      </c>
      <c r="F21" s="150">
        <f>IF(C21=0,0,E21/C21)</f>
        <v>0.2365941117910642</v>
      </c>
    </row>
    <row r="22" spans="1:6" ht="15" customHeight="1">
      <c r="A22" s="141">
        <v>2</v>
      </c>
      <c r="B22" s="149" t="s">
        <v>319</v>
      </c>
      <c r="C22" s="146">
        <v>1137734</v>
      </c>
      <c r="D22" s="146">
        <v>43524</v>
      </c>
      <c r="E22" s="146">
        <f>+D22-C22</f>
        <v>-1094210</v>
      </c>
      <c r="F22" s="150">
        <f>IF(C22=0,0,E22/C22)</f>
        <v>-0.9617450124545808</v>
      </c>
    </row>
    <row r="23" spans="1:6" ht="15" customHeight="1">
      <c r="A23" s="141">
        <v>3</v>
      </c>
      <c r="B23" s="149" t="s">
        <v>320</v>
      </c>
      <c r="C23" s="146">
        <v>7332066</v>
      </c>
      <c r="D23" s="146">
        <v>7444319</v>
      </c>
      <c r="E23" s="146">
        <f>+D23-C23</f>
        <v>112253</v>
      </c>
      <c r="F23" s="150">
        <f>IF(C23=0,0,E23/C23)</f>
        <v>0.01530987309715979</v>
      </c>
    </row>
    <row r="24" spans="1:7" ht="15.75" customHeight="1">
      <c r="A24" s="141"/>
      <c r="B24" s="151" t="s">
        <v>321</v>
      </c>
      <c r="C24" s="147">
        <f>SUM(C21:C23)</f>
        <v>12641493</v>
      </c>
      <c r="D24" s="147">
        <f>SUM(D21:D23)</f>
        <v>12646534</v>
      </c>
      <c r="E24" s="147">
        <f>+D24-C24</f>
        <v>5041</v>
      </c>
      <c r="F24" s="148">
        <f>IF(C24=0,0,E24/C24)</f>
        <v>0.0003987661900378381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297</v>
      </c>
      <c r="B26" s="145" t="s">
        <v>322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323</v>
      </c>
      <c r="C27" s="146">
        <v>979101</v>
      </c>
      <c r="D27" s="146">
        <v>663417</v>
      </c>
      <c r="E27" s="146">
        <f>+D27-C27</f>
        <v>-315684</v>
      </c>
      <c r="F27" s="150">
        <f>IF(C27=0,0,E27/C27)</f>
        <v>-0.32242230372556047</v>
      </c>
    </row>
    <row r="28" spans="1:6" ht="15" customHeight="1">
      <c r="A28" s="141">
        <v>2</v>
      </c>
      <c r="B28" s="149" t="s">
        <v>324</v>
      </c>
      <c r="C28" s="146">
        <v>1049121</v>
      </c>
      <c r="D28" s="146">
        <v>910707</v>
      </c>
      <c r="E28" s="146">
        <f>+D28-C28</f>
        <v>-138414</v>
      </c>
      <c r="F28" s="150">
        <f>IF(C28=0,0,E28/C28)</f>
        <v>-0.13193330416605903</v>
      </c>
    </row>
    <row r="29" spans="1:6" ht="15" customHeight="1">
      <c r="A29" s="141">
        <v>3</v>
      </c>
      <c r="B29" s="149" t="s">
        <v>325</v>
      </c>
      <c r="C29" s="146">
        <v>4245161</v>
      </c>
      <c r="D29" s="146">
        <v>5514297</v>
      </c>
      <c r="E29" s="146">
        <f>+D29-C29</f>
        <v>1269136</v>
      </c>
      <c r="F29" s="150">
        <f>IF(C29=0,0,E29/C29)</f>
        <v>0.2989606283483712</v>
      </c>
    </row>
    <row r="30" spans="1:7" ht="15.75" customHeight="1">
      <c r="A30" s="141"/>
      <c r="B30" s="151" t="s">
        <v>326</v>
      </c>
      <c r="C30" s="147">
        <f>SUM(C27:C29)</f>
        <v>6273383</v>
      </c>
      <c r="D30" s="147">
        <f>SUM(D27:D29)</f>
        <v>7088421</v>
      </c>
      <c r="E30" s="147">
        <f>+D30-C30</f>
        <v>815038</v>
      </c>
      <c r="F30" s="148">
        <f>IF(C30=0,0,E30/C30)</f>
        <v>0.12992001285430843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327</v>
      </c>
      <c r="B32" s="145" t="s">
        <v>328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329</v>
      </c>
      <c r="C33" s="146">
        <v>6211373</v>
      </c>
      <c r="D33" s="146">
        <v>7012568</v>
      </c>
      <c r="E33" s="146">
        <f>+D33-C33</f>
        <v>801195</v>
      </c>
      <c r="F33" s="150">
        <f>IF(C33=0,0,E33/C33)</f>
        <v>0.12898838952354014</v>
      </c>
    </row>
    <row r="34" spans="1:6" ht="15" customHeight="1">
      <c r="A34" s="141">
        <v>2</v>
      </c>
      <c r="B34" s="149" t="s">
        <v>330</v>
      </c>
      <c r="C34" s="146">
        <v>2108588</v>
      </c>
      <c r="D34" s="146">
        <v>2273633</v>
      </c>
      <c r="E34" s="146">
        <f>+D34-C34</f>
        <v>165045</v>
      </c>
      <c r="F34" s="150">
        <f>IF(C34=0,0,E34/C34)</f>
        <v>0.07827275883197667</v>
      </c>
    </row>
    <row r="35" spans="1:7" ht="15.75" customHeight="1">
      <c r="A35" s="141"/>
      <c r="B35" s="151" t="s">
        <v>331</v>
      </c>
      <c r="C35" s="147">
        <f>SUM(C33:C34)</f>
        <v>8319961</v>
      </c>
      <c r="D35" s="147">
        <f>SUM(D33:D34)</f>
        <v>9286201</v>
      </c>
      <c r="E35" s="147">
        <f>+D35-C35</f>
        <v>966240</v>
      </c>
      <c r="F35" s="148">
        <f>IF(C35=0,0,E35/C35)</f>
        <v>0.1161351597681768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332</v>
      </c>
      <c r="B37" s="145" t="s">
        <v>333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334</v>
      </c>
      <c r="C38" s="146">
        <v>1452223</v>
      </c>
      <c r="D38" s="146">
        <v>1556957</v>
      </c>
      <c r="E38" s="146">
        <f>+D38-C38</f>
        <v>104734</v>
      </c>
      <c r="F38" s="150">
        <f>IF(C38=0,0,E38/C38)</f>
        <v>0.07211977774763242</v>
      </c>
    </row>
    <row r="39" spans="1:6" ht="15" customHeight="1">
      <c r="A39" s="141">
        <v>2</v>
      </c>
      <c r="B39" s="149" t="s">
        <v>335</v>
      </c>
      <c r="C39" s="146">
        <v>2581558</v>
      </c>
      <c r="D39" s="146">
        <v>2861847</v>
      </c>
      <c r="E39" s="146">
        <f>+D39-C39</f>
        <v>280289</v>
      </c>
      <c r="F39" s="150">
        <f>IF(C39=0,0,E39/C39)</f>
        <v>0.10857358230959754</v>
      </c>
    </row>
    <row r="40" spans="1:6" ht="15" customHeight="1">
      <c r="A40" s="141">
        <v>3</v>
      </c>
      <c r="B40" s="149" t="s">
        <v>336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337</v>
      </c>
      <c r="C41" s="147">
        <f>SUM(C38:C40)</f>
        <v>4033781</v>
      </c>
      <c r="D41" s="147">
        <f>SUM(D38:D40)</f>
        <v>4418804</v>
      </c>
      <c r="E41" s="147">
        <f>+D41-C41</f>
        <v>385023</v>
      </c>
      <c r="F41" s="148">
        <f>IF(C41=0,0,E41/C41)</f>
        <v>0.09544965381115138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338</v>
      </c>
      <c r="B43" s="145" t="s">
        <v>339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241</v>
      </c>
      <c r="C44" s="146">
        <v>4723613</v>
      </c>
      <c r="D44" s="146">
        <v>4595065</v>
      </c>
      <c r="E44" s="146">
        <f>+D44-C44</f>
        <v>-128548</v>
      </c>
      <c r="F44" s="150">
        <f>IF(C44=0,0,E44/C44)</f>
        <v>-0.027213914433718428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340</v>
      </c>
      <c r="B46" s="145" t="s">
        <v>341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342</v>
      </c>
      <c r="C47" s="146">
        <v>1218189</v>
      </c>
      <c r="D47" s="146">
        <v>1483430</v>
      </c>
      <c r="E47" s="146">
        <f>+D47-C47</f>
        <v>265241</v>
      </c>
      <c r="F47" s="150">
        <f>IF(C47=0,0,E47/C47)</f>
        <v>0.21773386559885208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343</v>
      </c>
      <c r="B49" s="145" t="s">
        <v>344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345</v>
      </c>
      <c r="C50" s="146">
        <v>986674</v>
      </c>
      <c r="D50" s="146">
        <v>980763</v>
      </c>
      <c r="E50" s="146">
        <f>+D50-C50</f>
        <v>-5911</v>
      </c>
      <c r="F50" s="150">
        <f>IF(C50=0,0,E50/C50)</f>
        <v>-0.00599083385191056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346</v>
      </c>
      <c r="B52" s="145" t="s">
        <v>347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348</v>
      </c>
      <c r="C53" s="146">
        <v>89840</v>
      </c>
      <c r="D53" s="146">
        <v>97451</v>
      </c>
      <c r="E53" s="146">
        <f aca="true" t="shared" si="0" ref="E53:E59">+D53-C53</f>
        <v>7611</v>
      </c>
      <c r="F53" s="150">
        <f aca="true" t="shared" si="1" ref="F53:F59">IF(C53=0,0,E53/C53)</f>
        <v>0.08471727515583259</v>
      </c>
    </row>
    <row r="54" spans="1:6" ht="15" customHeight="1">
      <c r="A54" s="141">
        <v>2</v>
      </c>
      <c r="B54" s="149" t="s">
        <v>349</v>
      </c>
      <c r="C54" s="146">
        <v>478193</v>
      </c>
      <c r="D54" s="146">
        <v>706731</v>
      </c>
      <c r="E54" s="146">
        <f t="shared" si="0"/>
        <v>228538</v>
      </c>
      <c r="F54" s="150">
        <f t="shared" si="1"/>
        <v>0.4779200030113364</v>
      </c>
    </row>
    <row r="55" spans="1:6" ht="15" customHeight="1">
      <c r="A55" s="141">
        <v>3</v>
      </c>
      <c r="B55" s="149" t="s">
        <v>350</v>
      </c>
      <c r="C55" s="146">
        <v>3081</v>
      </c>
      <c r="D55" s="146">
        <v>18761</v>
      </c>
      <c r="E55" s="146">
        <f t="shared" si="0"/>
        <v>15680</v>
      </c>
      <c r="F55" s="150">
        <f t="shared" si="1"/>
        <v>5.089256734826355</v>
      </c>
    </row>
    <row r="56" spans="1:6" ht="15" customHeight="1">
      <c r="A56" s="141">
        <v>4</v>
      </c>
      <c r="B56" s="149" t="s">
        <v>351</v>
      </c>
      <c r="C56" s="146">
        <v>909254</v>
      </c>
      <c r="D56" s="146">
        <v>780780</v>
      </c>
      <c r="E56" s="146">
        <f t="shared" si="0"/>
        <v>-128474</v>
      </c>
      <c r="F56" s="150">
        <f t="shared" si="1"/>
        <v>-0.141296051488363</v>
      </c>
    </row>
    <row r="57" spans="1:6" ht="15" customHeight="1">
      <c r="A57" s="141">
        <v>5</v>
      </c>
      <c r="B57" s="149" t="s">
        <v>352</v>
      </c>
      <c r="C57" s="146">
        <v>95911</v>
      </c>
      <c r="D57" s="146">
        <v>125087</v>
      </c>
      <c r="E57" s="146">
        <f t="shared" si="0"/>
        <v>29176</v>
      </c>
      <c r="F57" s="150">
        <f t="shared" si="1"/>
        <v>0.30419868419680746</v>
      </c>
    </row>
    <row r="58" spans="1:6" ht="15" customHeight="1">
      <c r="A58" s="141">
        <v>6</v>
      </c>
      <c r="B58" s="149" t="s">
        <v>353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>
      <c r="A59" s="141"/>
      <c r="B59" s="151" t="s">
        <v>354</v>
      </c>
      <c r="C59" s="147">
        <f>SUM(C53:C58)</f>
        <v>1576279</v>
      </c>
      <c r="D59" s="147">
        <f>SUM(D53:D58)</f>
        <v>1728810</v>
      </c>
      <c r="E59" s="147">
        <f t="shared" si="0"/>
        <v>152531</v>
      </c>
      <c r="F59" s="148">
        <f t="shared" si="1"/>
        <v>0.09676649882412948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355</v>
      </c>
      <c r="B61" s="145" t="s">
        <v>356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357</v>
      </c>
      <c r="C62" s="146">
        <v>91412</v>
      </c>
      <c r="D62" s="146">
        <v>150392</v>
      </c>
      <c r="E62" s="146">
        <f aca="true" t="shared" si="2" ref="E62:E78">+D62-C62</f>
        <v>58980</v>
      </c>
      <c r="F62" s="150">
        <f aca="true" t="shared" si="3" ref="F62:F78">IF(C62=0,0,E62/C62)</f>
        <v>0.645210694438367</v>
      </c>
    </row>
    <row r="63" spans="1:6" ht="15" customHeight="1">
      <c r="A63" s="141">
        <v>2</v>
      </c>
      <c r="B63" s="149" t="s">
        <v>358</v>
      </c>
      <c r="C63" s="146">
        <v>234892</v>
      </c>
      <c r="D63" s="146">
        <v>365969</v>
      </c>
      <c r="E63" s="146">
        <f t="shared" si="2"/>
        <v>131077</v>
      </c>
      <c r="F63" s="150">
        <f t="shared" si="3"/>
        <v>0.5580309248505696</v>
      </c>
    </row>
    <row r="64" spans="1:6" ht="15" customHeight="1">
      <c r="A64" s="141">
        <v>3</v>
      </c>
      <c r="B64" s="149" t="s">
        <v>359</v>
      </c>
      <c r="C64" s="146">
        <v>123839</v>
      </c>
      <c r="D64" s="146">
        <v>248583</v>
      </c>
      <c r="E64" s="146">
        <f t="shared" si="2"/>
        <v>124744</v>
      </c>
      <c r="F64" s="150">
        <f t="shared" si="3"/>
        <v>1.0073078755480906</v>
      </c>
    </row>
    <row r="65" spans="1:6" ht="15" customHeight="1">
      <c r="A65" s="141">
        <v>4</v>
      </c>
      <c r="B65" s="149" t="s">
        <v>360</v>
      </c>
      <c r="C65" s="146">
        <v>430875</v>
      </c>
      <c r="D65" s="146">
        <v>419385</v>
      </c>
      <c r="E65" s="146">
        <f t="shared" si="2"/>
        <v>-11490</v>
      </c>
      <c r="F65" s="150">
        <f t="shared" si="3"/>
        <v>-0.02666666666666667</v>
      </c>
    </row>
    <row r="66" spans="1:6" ht="15" customHeight="1">
      <c r="A66" s="141">
        <v>5</v>
      </c>
      <c r="B66" s="149" t="s">
        <v>361</v>
      </c>
      <c r="C66" s="146">
        <v>628351</v>
      </c>
      <c r="D66" s="146">
        <v>602604</v>
      </c>
      <c r="E66" s="146">
        <f t="shared" si="2"/>
        <v>-25747</v>
      </c>
      <c r="F66" s="150">
        <f t="shared" si="3"/>
        <v>-0.04097550572848615</v>
      </c>
    </row>
    <row r="67" spans="1:6" ht="15" customHeight="1">
      <c r="A67" s="141">
        <v>6</v>
      </c>
      <c r="B67" s="149" t="s">
        <v>362</v>
      </c>
      <c r="C67" s="146">
        <v>137451</v>
      </c>
      <c r="D67" s="146">
        <v>119718</v>
      </c>
      <c r="E67" s="146">
        <f t="shared" si="2"/>
        <v>-17733</v>
      </c>
      <c r="F67" s="150">
        <f t="shared" si="3"/>
        <v>-0.12901324835759653</v>
      </c>
    </row>
    <row r="68" spans="1:6" ht="15" customHeight="1">
      <c r="A68" s="141">
        <v>7</v>
      </c>
      <c r="B68" s="149" t="s">
        <v>363</v>
      </c>
      <c r="C68" s="146">
        <v>2245610</v>
      </c>
      <c r="D68" s="146">
        <v>2385947</v>
      </c>
      <c r="E68" s="146">
        <f t="shared" si="2"/>
        <v>140337</v>
      </c>
      <c r="F68" s="150">
        <f t="shared" si="3"/>
        <v>0.06249393260628515</v>
      </c>
    </row>
    <row r="69" spans="1:6" ht="15" customHeight="1">
      <c r="A69" s="141">
        <v>8</v>
      </c>
      <c r="B69" s="149" t="s">
        <v>364</v>
      </c>
      <c r="C69" s="146">
        <v>238365</v>
      </c>
      <c r="D69" s="146">
        <v>220231</v>
      </c>
      <c r="E69" s="146">
        <f t="shared" si="2"/>
        <v>-18134</v>
      </c>
      <c r="F69" s="150">
        <f t="shared" si="3"/>
        <v>-0.07607660520630126</v>
      </c>
    </row>
    <row r="70" spans="1:6" ht="15" customHeight="1">
      <c r="A70" s="141">
        <v>9</v>
      </c>
      <c r="B70" s="149" t="s">
        <v>365</v>
      </c>
      <c r="C70" s="146">
        <v>78102</v>
      </c>
      <c r="D70" s="146">
        <v>67447</v>
      </c>
      <c r="E70" s="146">
        <f t="shared" si="2"/>
        <v>-10655</v>
      </c>
      <c r="F70" s="150">
        <f t="shared" si="3"/>
        <v>-0.13642416327366777</v>
      </c>
    </row>
    <row r="71" spans="1:6" ht="15" customHeight="1">
      <c r="A71" s="141">
        <v>10</v>
      </c>
      <c r="B71" s="149" t="s">
        <v>366</v>
      </c>
      <c r="C71" s="146">
        <v>180458</v>
      </c>
      <c r="D71" s="146">
        <v>164847</v>
      </c>
      <c r="E71" s="146">
        <f t="shared" si="2"/>
        <v>-15611</v>
      </c>
      <c r="F71" s="150">
        <f t="shared" si="3"/>
        <v>-0.08650766383313568</v>
      </c>
    </row>
    <row r="72" spans="1:6" ht="15" customHeight="1">
      <c r="A72" s="141">
        <v>11</v>
      </c>
      <c r="B72" s="149" t="s">
        <v>367</v>
      </c>
      <c r="C72" s="146">
        <v>106154</v>
      </c>
      <c r="D72" s="146">
        <v>77698</v>
      </c>
      <c r="E72" s="146">
        <f t="shared" si="2"/>
        <v>-28456</v>
      </c>
      <c r="F72" s="150">
        <f t="shared" si="3"/>
        <v>-0.2680633796182904</v>
      </c>
    </row>
    <row r="73" spans="1:6" ht="15" customHeight="1">
      <c r="A73" s="141">
        <v>12</v>
      </c>
      <c r="B73" s="149" t="s">
        <v>368</v>
      </c>
      <c r="C73" s="146">
        <v>229391</v>
      </c>
      <c r="D73" s="146">
        <v>209391</v>
      </c>
      <c r="E73" s="146">
        <f t="shared" si="2"/>
        <v>-20000</v>
      </c>
      <c r="F73" s="150">
        <f t="shared" si="3"/>
        <v>-0.08718737875505142</v>
      </c>
    </row>
    <row r="74" spans="1:6" ht="15" customHeight="1">
      <c r="A74" s="141">
        <v>13</v>
      </c>
      <c r="B74" s="149" t="s">
        <v>369</v>
      </c>
      <c r="C74" s="146">
        <v>71813</v>
      </c>
      <c r="D74" s="146">
        <v>73436</v>
      </c>
      <c r="E74" s="146">
        <f t="shared" si="2"/>
        <v>1623</v>
      </c>
      <c r="F74" s="150">
        <f t="shared" si="3"/>
        <v>0.022600364836450226</v>
      </c>
    </row>
    <row r="75" spans="1:6" ht="15" customHeight="1">
      <c r="A75" s="141">
        <v>14</v>
      </c>
      <c r="B75" s="149" t="s">
        <v>370</v>
      </c>
      <c r="C75" s="146">
        <v>131922</v>
      </c>
      <c r="D75" s="146">
        <v>129497</v>
      </c>
      <c r="E75" s="146">
        <f t="shared" si="2"/>
        <v>-2425</v>
      </c>
      <c r="F75" s="150">
        <f t="shared" si="3"/>
        <v>-0.018382074255999758</v>
      </c>
    </row>
    <row r="76" spans="1:6" ht="15" customHeight="1">
      <c r="A76" s="141">
        <v>15</v>
      </c>
      <c r="B76" s="149" t="s">
        <v>371</v>
      </c>
      <c r="C76" s="146">
        <v>345506</v>
      </c>
      <c r="D76" s="146">
        <v>180847</v>
      </c>
      <c r="E76" s="146">
        <f t="shared" si="2"/>
        <v>-164659</v>
      </c>
      <c r="F76" s="150">
        <f t="shared" si="3"/>
        <v>-0.4765734893171175</v>
      </c>
    </row>
    <row r="77" spans="1:6" ht="15" customHeight="1">
      <c r="A77" s="141">
        <v>16</v>
      </c>
      <c r="B77" s="149" t="s">
        <v>372</v>
      </c>
      <c r="C77" s="146">
        <v>658854</v>
      </c>
      <c r="D77" s="146">
        <v>574630</v>
      </c>
      <c r="E77" s="146">
        <f t="shared" si="2"/>
        <v>-84224</v>
      </c>
      <c r="F77" s="150">
        <f t="shared" si="3"/>
        <v>-0.1278340876734451</v>
      </c>
    </row>
    <row r="78" spans="1:7" ht="15.75" customHeight="1">
      <c r="A78" s="141"/>
      <c r="B78" s="151" t="s">
        <v>373</v>
      </c>
      <c r="C78" s="147">
        <f>SUM(C62:C77)</f>
        <v>5932995</v>
      </c>
      <c r="D78" s="147">
        <f>SUM(D62:D77)</f>
        <v>5990622</v>
      </c>
      <c r="E78" s="147">
        <f t="shared" si="2"/>
        <v>57627</v>
      </c>
      <c r="F78" s="148">
        <f t="shared" si="3"/>
        <v>0.009712969587872567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374</v>
      </c>
      <c r="B80" s="145" t="s">
        <v>375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376</v>
      </c>
      <c r="C81" s="146">
        <v>972506</v>
      </c>
      <c r="D81" s="146">
        <v>83822</v>
      </c>
      <c r="E81" s="146">
        <f>+D81-C81</f>
        <v>-888684</v>
      </c>
      <c r="F81" s="150">
        <f>IF(C81=0,0,E81/C81)</f>
        <v>-0.9138082438565932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377</v>
      </c>
      <c r="C83" s="147">
        <f>+C81+C78+C59+C50+C47+C44+C41+C35+C30+C24+C18</f>
        <v>83487134</v>
      </c>
      <c r="D83" s="147">
        <f>+D81+D78+D59+D50+D47+D44+D41+D35+D30+D24+D18</f>
        <v>85401157</v>
      </c>
      <c r="E83" s="147">
        <f>+D83-C83</f>
        <v>1914023</v>
      </c>
      <c r="F83" s="148">
        <f>IF(C83=0,0,E83/C83)</f>
        <v>0.022925963658064968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378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200</v>
      </c>
      <c r="B88" s="142" t="s">
        <v>379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266</v>
      </c>
      <c r="B90" s="145" t="s">
        <v>380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381</v>
      </c>
      <c r="C91" s="146">
        <v>1187953</v>
      </c>
      <c r="D91" s="146">
        <v>1580099</v>
      </c>
      <c r="E91" s="146">
        <f aca="true" t="shared" si="4" ref="E91:E109">D91-C91</f>
        <v>392146</v>
      </c>
      <c r="F91" s="150">
        <f aca="true" t="shared" si="5" ref="F91:F109">IF(C91=0,0,E91/C91)</f>
        <v>0.3301022851914175</v>
      </c>
      <c r="G91" s="155"/>
    </row>
    <row r="92" spans="1:7" ht="15" customHeight="1">
      <c r="A92" s="141">
        <v>2</v>
      </c>
      <c r="B92" s="161" t="s">
        <v>382</v>
      </c>
      <c r="C92" s="146">
        <v>641172</v>
      </c>
      <c r="D92" s="146">
        <v>739808</v>
      </c>
      <c r="E92" s="146">
        <f t="shared" si="4"/>
        <v>98636</v>
      </c>
      <c r="F92" s="150">
        <f t="shared" si="5"/>
        <v>0.15383703592795692</v>
      </c>
      <c r="G92" s="155"/>
    </row>
    <row r="93" spans="1:7" ht="15" customHeight="1">
      <c r="A93" s="141">
        <v>3</v>
      </c>
      <c r="B93" s="161" t="s">
        <v>383</v>
      </c>
      <c r="C93" s="146">
        <v>1232184</v>
      </c>
      <c r="D93" s="146">
        <v>589955</v>
      </c>
      <c r="E93" s="146">
        <f t="shared" si="4"/>
        <v>-642229</v>
      </c>
      <c r="F93" s="150">
        <f t="shared" si="5"/>
        <v>-0.5212119293871694</v>
      </c>
      <c r="G93" s="155"/>
    </row>
    <row r="94" spans="1:7" ht="15" customHeight="1">
      <c r="A94" s="141">
        <v>4</v>
      </c>
      <c r="B94" s="161" t="s">
        <v>384</v>
      </c>
      <c r="C94" s="146">
        <v>1170791</v>
      </c>
      <c r="D94" s="146">
        <v>1833396</v>
      </c>
      <c r="E94" s="146">
        <f t="shared" si="4"/>
        <v>662605</v>
      </c>
      <c r="F94" s="150">
        <f t="shared" si="5"/>
        <v>0.5659464413375231</v>
      </c>
      <c r="G94" s="155"/>
    </row>
    <row r="95" spans="1:7" ht="15" customHeight="1">
      <c r="A95" s="141">
        <v>5</v>
      </c>
      <c r="B95" s="161" t="s">
        <v>385</v>
      </c>
      <c r="C95" s="146">
        <v>1174069</v>
      </c>
      <c r="D95" s="146">
        <v>1999012</v>
      </c>
      <c r="E95" s="146">
        <f t="shared" si="4"/>
        <v>824943</v>
      </c>
      <c r="F95" s="150">
        <f t="shared" si="5"/>
        <v>0.702635875744952</v>
      </c>
      <c r="G95" s="155"/>
    </row>
    <row r="96" spans="1:7" ht="15" customHeight="1">
      <c r="A96" s="141">
        <v>6</v>
      </c>
      <c r="B96" s="161" t="s">
        <v>386</v>
      </c>
      <c r="C96" s="146">
        <v>141988</v>
      </c>
      <c r="D96" s="146">
        <v>151269</v>
      </c>
      <c r="E96" s="146">
        <f t="shared" si="4"/>
        <v>9281</v>
      </c>
      <c r="F96" s="150">
        <f t="shared" si="5"/>
        <v>0.0653646787052427</v>
      </c>
      <c r="G96" s="155"/>
    </row>
    <row r="97" spans="1:7" ht="15" customHeight="1">
      <c r="A97" s="141">
        <v>7</v>
      </c>
      <c r="B97" s="161" t="s">
        <v>387</v>
      </c>
      <c r="C97" s="146">
        <v>568996</v>
      </c>
      <c r="D97" s="146">
        <v>742139</v>
      </c>
      <c r="E97" s="146">
        <f t="shared" si="4"/>
        <v>173143</v>
      </c>
      <c r="F97" s="150">
        <f t="shared" si="5"/>
        <v>0.3042956365246856</v>
      </c>
      <c r="G97" s="155"/>
    </row>
    <row r="98" spans="1:7" ht="15" customHeight="1">
      <c r="A98" s="141">
        <v>8</v>
      </c>
      <c r="B98" s="161" t="s">
        <v>388</v>
      </c>
      <c r="C98" s="146">
        <v>215243</v>
      </c>
      <c r="D98" s="146">
        <v>398768</v>
      </c>
      <c r="E98" s="146">
        <f t="shared" si="4"/>
        <v>183525</v>
      </c>
      <c r="F98" s="150">
        <f t="shared" si="5"/>
        <v>0.8526409685796983</v>
      </c>
      <c r="G98" s="155"/>
    </row>
    <row r="99" spans="1:7" ht="15" customHeight="1">
      <c r="A99" s="141">
        <v>9</v>
      </c>
      <c r="B99" s="161" t="s">
        <v>389</v>
      </c>
      <c r="C99" s="146">
        <v>362509</v>
      </c>
      <c r="D99" s="146">
        <v>162822</v>
      </c>
      <c r="E99" s="146">
        <f t="shared" si="4"/>
        <v>-199687</v>
      </c>
      <c r="F99" s="150">
        <f t="shared" si="5"/>
        <v>-0.5508470134534591</v>
      </c>
      <c r="G99" s="155"/>
    </row>
    <row r="100" spans="1:7" ht="15" customHeight="1">
      <c r="A100" s="141">
        <v>10</v>
      </c>
      <c r="B100" s="161" t="s">
        <v>390</v>
      </c>
      <c r="C100" s="146">
        <v>1902656</v>
      </c>
      <c r="D100" s="146">
        <v>1977147</v>
      </c>
      <c r="E100" s="146">
        <f t="shared" si="4"/>
        <v>74491</v>
      </c>
      <c r="F100" s="150">
        <f t="shared" si="5"/>
        <v>0.03915106041239194</v>
      </c>
      <c r="G100" s="155"/>
    </row>
    <row r="101" spans="1:7" ht="15" customHeight="1">
      <c r="A101" s="141">
        <v>11</v>
      </c>
      <c r="B101" s="161" t="s">
        <v>391</v>
      </c>
      <c r="C101" s="146">
        <v>1105834</v>
      </c>
      <c r="D101" s="146">
        <v>1180973</v>
      </c>
      <c r="E101" s="146">
        <f t="shared" si="4"/>
        <v>75139</v>
      </c>
      <c r="F101" s="150">
        <f t="shared" si="5"/>
        <v>0.06794781133515519</v>
      </c>
      <c r="G101" s="155"/>
    </row>
    <row r="102" spans="1:7" ht="15" customHeight="1">
      <c r="A102" s="141">
        <v>12</v>
      </c>
      <c r="B102" s="161" t="s">
        <v>392</v>
      </c>
      <c r="C102" s="146">
        <v>421344</v>
      </c>
      <c r="D102" s="146">
        <v>461189</v>
      </c>
      <c r="E102" s="146">
        <f t="shared" si="4"/>
        <v>39845</v>
      </c>
      <c r="F102" s="150">
        <f t="shared" si="5"/>
        <v>0.09456643502696134</v>
      </c>
      <c r="G102" s="155"/>
    </row>
    <row r="103" spans="1:7" ht="15" customHeight="1">
      <c r="A103" s="141">
        <v>13</v>
      </c>
      <c r="B103" s="161" t="s">
        <v>393</v>
      </c>
      <c r="C103" s="146">
        <v>1272265</v>
      </c>
      <c r="D103" s="146">
        <v>1334725</v>
      </c>
      <c r="E103" s="146">
        <f t="shared" si="4"/>
        <v>62460</v>
      </c>
      <c r="F103" s="150">
        <f t="shared" si="5"/>
        <v>0.049093545762871726</v>
      </c>
      <c r="G103" s="155"/>
    </row>
    <row r="104" spans="1:7" ht="15" customHeight="1">
      <c r="A104" s="141">
        <v>14</v>
      </c>
      <c r="B104" s="161" t="s">
        <v>394</v>
      </c>
      <c r="C104" s="146">
        <v>453114</v>
      </c>
      <c r="D104" s="146">
        <v>462262</v>
      </c>
      <c r="E104" s="146">
        <f t="shared" si="4"/>
        <v>9148</v>
      </c>
      <c r="F104" s="150">
        <f t="shared" si="5"/>
        <v>0.020189179764915674</v>
      </c>
      <c r="G104" s="155"/>
    </row>
    <row r="105" spans="1:7" ht="15" customHeight="1">
      <c r="A105" s="141">
        <v>15</v>
      </c>
      <c r="B105" s="161" t="s">
        <v>363</v>
      </c>
      <c r="C105" s="146">
        <v>1583404</v>
      </c>
      <c r="D105" s="146">
        <v>1844471</v>
      </c>
      <c r="E105" s="146">
        <f t="shared" si="4"/>
        <v>261067</v>
      </c>
      <c r="F105" s="150">
        <f t="shared" si="5"/>
        <v>0.16487706232900765</v>
      </c>
      <c r="G105" s="155"/>
    </row>
    <row r="106" spans="1:7" ht="15" customHeight="1">
      <c r="A106" s="141">
        <v>16</v>
      </c>
      <c r="B106" s="161" t="s">
        <v>395</v>
      </c>
      <c r="C106" s="146">
        <v>458869</v>
      </c>
      <c r="D106" s="146">
        <v>384688</v>
      </c>
      <c r="E106" s="146">
        <f t="shared" si="4"/>
        <v>-74181</v>
      </c>
      <c r="F106" s="150">
        <f t="shared" si="5"/>
        <v>-0.16166051748974108</v>
      </c>
      <c r="G106" s="155"/>
    </row>
    <row r="107" spans="1:7" ht="15" customHeight="1">
      <c r="A107" s="141">
        <v>17</v>
      </c>
      <c r="B107" s="161" t="s">
        <v>396</v>
      </c>
      <c r="C107" s="146">
        <v>3195767</v>
      </c>
      <c r="D107" s="146">
        <v>3355073</v>
      </c>
      <c r="E107" s="146">
        <f t="shared" si="4"/>
        <v>159306</v>
      </c>
      <c r="F107" s="150">
        <f t="shared" si="5"/>
        <v>0.04984906596757523</v>
      </c>
      <c r="G107" s="155"/>
    </row>
    <row r="108" spans="1:7" ht="15" customHeight="1">
      <c r="A108" s="141">
        <v>18</v>
      </c>
      <c r="B108" s="161" t="s">
        <v>397</v>
      </c>
      <c r="C108" s="146">
        <v>415436</v>
      </c>
      <c r="D108" s="146">
        <v>472523</v>
      </c>
      <c r="E108" s="146">
        <f t="shared" si="4"/>
        <v>57087</v>
      </c>
      <c r="F108" s="150">
        <f t="shared" si="5"/>
        <v>0.1374146679632964</v>
      </c>
      <c r="G108" s="155"/>
    </row>
    <row r="109" spans="1:7" ht="15.75" customHeight="1">
      <c r="A109" s="141"/>
      <c r="B109" s="154" t="s">
        <v>398</v>
      </c>
      <c r="C109" s="147">
        <f>SUM(C91:C108)</f>
        <v>17503594</v>
      </c>
      <c r="D109" s="147">
        <f>SUM(D91:D108)</f>
        <v>19670319</v>
      </c>
      <c r="E109" s="147">
        <f t="shared" si="4"/>
        <v>2166725</v>
      </c>
      <c r="F109" s="148">
        <f t="shared" si="5"/>
        <v>0.12378743474054528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280</v>
      </c>
      <c r="B111" s="145" t="s">
        <v>399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400</v>
      </c>
      <c r="C112" s="146">
        <v>97671</v>
      </c>
      <c r="D112" s="146">
        <v>119603</v>
      </c>
      <c r="E112" s="146">
        <f aca="true" t="shared" si="6" ref="E112:E118">D112-C112</f>
        <v>21932</v>
      </c>
      <c r="F112" s="150">
        <f aca="true" t="shared" si="7" ref="F112:F118">IF(C112=0,0,E112/C112)</f>
        <v>0.2245497640036449</v>
      </c>
      <c r="G112" s="155"/>
    </row>
    <row r="113" spans="1:7" ht="15" customHeight="1">
      <c r="A113" s="141">
        <v>2</v>
      </c>
      <c r="B113" s="161" t="s">
        <v>401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402</v>
      </c>
      <c r="C114" s="146">
        <v>2601767</v>
      </c>
      <c r="D114" s="146">
        <v>2438186</v>
      </c>
      <c r="E114" s="146">
        <f t="shared" si="6"/>
        <v>-163581</v>
      </c>
      <c r="F114" s="150">
        <f t="shared" si="7"/>
        <v>-0.06287303974568054</v>
      </c>
      <c r="G114" s="155"/>
    </row>
    <row r="115" spans="1:7" ht="15" customHeight="1">
      <c r="A115" s="141">
        <v>4</v>
      </c>
      <c r="B115" s="161" t="s">
        <v>403</v>
      </c>
      <c r="C115" s="146">
        <v>1100493</v>
      </c>
      <c r="D115" s="146">
        <v>951548</v>
      </c>
      <c r="E115" s="146">
        <f t="shared" si="6"/>
        <v>-148945</v>
      </c>
      <c r="F115" s="150">
        <f t="shared" si="7"/>
        <v>-0.13534388678528622</v>
      </c>
      <c r="G115" s="155"/>
    </row>
    <row r="116" spans="1:7" ht="15" customHeight="1">
      <c r="A116" s="141">
        <v>5</v>
      </c>
      <c r="B116" s="161" t="s">
        <v>404</v>
      </c>
      <c r="C116" s="146">
        <v>108</v>
      </c>
      <c r="D116" s="146">
        <v>372</v>
      </c>
      <c r="E116" s="146">
        <f t="shared" si="6"/>
        <v>264</v>
      </c>
      <c r="F116" s="150">
        <f t="shared" si="7"/>
        <v>2.4444444444444446</v>
      </c>
      <c r="G116" s="155"/>
    </row>
    <row r="117" spans="1:7" ht="15" customHeight="1">
      <c r="A117" s="141">
        <v>6</v>
      </c>
      <c r="B117" s="161" t="s">
        <v>405</v>
      </c>
      <c r="C117" s="146">
        <v>2031681</v>
      </c>
      <c r="D117" s="146">
        <v>0</v>
      </c>
      <c r="E117" s="146">
        <f t="shared" si="6"/>
        <v>-2031681</v>
      </c>
      <c r="F117" s="150">
        <f t="shared" si="7"/>
        <v>-1</v>
      </c>
      <c r="G117" s="155"/>
    </row>
    <row r="118" spans="1:7" ht="15.75" customHeight="1">
      <c r="A118" s="141"/>
      <c r="B118" s="154" t="s">
        <v>406</v>
      </c>
      <c r="C118" s="147">
        <f>SUM(C112:C117)</f>
        <v>5831720</v>
      </c>
      <c r="D118" s="147">
        <f>SUM(D112:D117)</f>
        <v>3509709</v>
      </c>
      <c r="E118" s="147">
        <f t="shared" si="6"/>
        <v>-2322011</v>
      </c>
      <c r="F118" s="148">
        <f t="shared" si="7"/>
        <v>-0.3981691507822735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297</v>
      </c>
      <c r="B120" s="145" t="s">
        <v>407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408</v>
      </c>
      <c r="C121" s="146">
        <v>4563741</v>
      </c>
      <c r="D121" s="146">
        <v>4672343</v>
      </c>
      <c r="E121" s="146">
        <f aca="true" t="shared" si="8" ref="E121:E155">D121-C121</f>
        <v>108602</v>
      </c>
      <c r="F121" s="150">
        <f aca="true" t="shared" si="9" ref="F121:F155">IF(C121=0,0,E121/C121)</f>
        <v>0.023796705378328877</v>
      </c>
      <c r="G121" s="155"/>
    </row>
    <row r="122" spans="1:7" ht="15" customHeight="1">
      <c r="A122" s="141">
        <v>2</v>
      </c>
      <c r="B122" s="161" t="s">
        <v>409</v>
      </c>
      <c r="C122" s="146">
        <v>194094</v>
      </c>
      <c r="D122" s="146">
        <v>253547</v>
      </c>
      <c r="E122" s="146">
        <f t="shared" si="8"/>
        <v>59453</v>
      </c>
      <c r="F122" s="150">
        <f t="shared" si="9"/>
        <v>0.306310344472266</v>
      </c>
      <c r="G122" s="155"/>
    </row>
    <row r="123" spans="1:7" ht="15" customHeight="1">
      <c r="A123" s="141">
        <v>3</v>
      </c>
      <c r="B123" s="161" t="s">
        <v>410</v>
      </c>
      <c r="C123" s="146">
        <v>0</v>
      </c>
      <c r="D123" s="146">
        <v>0</v>
      </c>
      <c r="E123" s="146">
        <f t="shared" si="8"/>
        <v>0</v>
      </c>
      <c r="F123" s="150">
        <f t="shared" si="9"/>
        <v>0</v>
      </c>
      <c r="G123" s="155"/>
    </row>
    <row r="124" spans="1:7" ht="15" customHeight="1">
      <c r="A124" s="141">
        <v>4</v>
      </c>
      <c r="B124" s="161" t="s">
        <v>411</v>
      </c>
      <c r="C124" s="146">
        <v>873047</v>
      </c>
      <c r="D124" s="146">
        <v>878596</v>
      </c>
      <c r="E124" s="146">
        <f t="shared" si="8"/>
        <v>5549</v>
      </c>
      <c r="F124" s="150">
        <f t="shared" si="9"/>
        <v>0.00635590065597843</v>
      </c>
      <c r="G124" s="155"/>
    </row>
    <row r="125" spans="1:7" ht="15" customHeight="1">
      <c r="A125" s="141">
        <v>5</v>
      </c>
      <c r="B125" s="161" t="s">
        <v>412</v>
      </c>
      <c r="C125" s="146">
        <v>2225194</v>
      </c>
      <c r="D125" s="146">
        <v>2226186</v>
      </c>
      <c r="E125" s="146">
        <f t="shared" si="8"/>
        <v>992</v>
      </c>
      <c r="F125" s="150">
        <f t="shared" si="9"/>
        <v>0.00044580382654276434</v>
      </c>
      <c r="G125" s="155"/>
    </row>
    <row r="126" spans="1:7" ht="15" customHeight="1">
      <c r="A126" s="141">
        <v>6</v>
      </c>
      <c r="B126" s="161" t="s">
        <v>413</v>
      </c>
      <c r="C126" s="146">
        <v>423197</v>
      </c>
      <c r="D126" s="146">
        <v>460333</v>
      </c>
      <c r="E126" s="146">
        <f t="shared" si="8"/>
        <v>37136</v>
      </c>
      <c r="F126" s="150">
        <f t="shared" si="9"/>
        <v>0.08775109464386563</v>
      </c>
      <c r="G126" s="155"/>
    </row>
    <row r="127" spans="1:7" ht="15" customHeight="1">
      <c r="A127" s="141">
        <v>7</v>
      </c>
      <c r="B127" s="161" t="s">
        <v>414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>
      <c r="A128" s="141">
        <v>8</v>
      </c>
      <c r="B128" s="161" t="s">
        <v>415</v>
      </c>
      <c r="C128" s="146">
        <v>674156</v>
      </c>
      <c r="D128" s="146">
        <v>700776</v>
      </c>
      <c r="E128" s="146">
        <f t="shared" si="8"/>
        <v>26620</v>
      </c>
      <c r="F128" s="150">
        <f t="shared" si="9"/>
        <v>0.03948640967372537</v>
      </c>
      <c r="G128" s="155"/>
    </row>
    <row r="129" spans="1:7" ht="15" customHeight="1">
      <c r="A129" s="141">
        <v>9</v>
      </c>
      <c r="B129" s="161" t="s">
        <v>416</v>
      </c>
      <c r="C129" s="146">
        <v>398320</v>
      </c>
      <c r="D129" s="146">
        <v>474812</v>
      </c>
      <c r="E129" s="146">
        <f t="shared" si="8"/>
        <v>76492</v>
      </c>
      <c r="F129" s="150">
        <f t="shared" si="9"/>
        <v>0.19203655352480417</v>
      </c>
      <c r="G129" s="155"/>
    </row>
    <row r="130" spans="1:7" ht="15" customHeight="1">
      <c r="A130" s="141">
        <v>10</v>
      </c>
      <c r="B130" s="161" t="s">
        <v>417</v>
      </c>
      <c r="C130" s="146">
        <v>4479031</v>
      </c>
      <c r="D130" s="146">
        <v>4403555</v>
      </c>
      <c r="E130" s="146">
        <f t="shared" si="8"/>
        <v>-75476</v>
      </c>
      <c r="F130" s="150">
        <f t="shared" si="9"/>
        <v>-0.01685096620228795</v>
      </c>
      <c r="G130" s="155"/>
    </row>
    <row r="131" spans="1:7" ht="15" customHeight="1">
      <c r="A131" s="141">
        <v>11</v>
      </c>
      <c r="B131" s="161" t="s">
        <v>418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419</v>
      </c>
      <c r="C132" s="146">
        <v>478363</v>
      </c>
      <c r="D132" s="146">
        <v>494736</v>
      </c>
      <c r="E132" s="146">
        <f t="shared" si="8"/>
        <v>16373</v>
      </c>
      <c r="F132" s="150">
        <f t="shared" si="9"/>
        <v>0.03422714549411221</v>
      </c>
      <c r="G132" s="155"/>
    </row>
    <row r="133" spans="1:7" ht="15" customHeight="1">
      <c r="A133" s="141">
        <v>13</v>
      </c>
      <c r="B133" s="161" t="s">
        <v>420</v>
      </c>
      <c r="C133" s="146">
        <v>224004</v>
      </c>
      <c r="D133" s="146">
        <v>224325</v>
      </c>
      <c r="E133" s="146">
        <f t="shared" si="8"/>
        <v>321</v>
      </c>
      <c r="F133" s="150">
        <f t="shared" si="9"/>
        <v>0.0014330101248191997</v>
      </c>
      <c r="G133" s="155"/>
    </row>
    <row r="134" spans="1:7" ht="15" customHeight="1">
      <c r="A134" s="141">
        <v>14</v>
      </c>
      <c r="B134" s="161" t="s">
        <v>421</v>
      </c>
      <c r="C134" s="146">
        <v>134960</v>
      </c>
      <c r="D134" s="146">
        <v>99003</v>
      </c>
      <c r="E134" s="146">
        <f t="shared" si="8"/>
        <v>-35957</v>
      </c>
      <c r="F134" s="150">
        <f t="shared" si="9"/>
        <v>-0.26642708950800237</v>
      </c>
      <c r="G134" s="155"/>
    </row>
    <row r="135" spans="1:7" ht="15" customHeight="1">
      <c r="A135" s="141">
        <v>15</v>
      </c>
      <c r="B135" s="161" t="s">
        <v>422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423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424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425</v>
      </c>
      <c r="C138" s="146">
        <v>955881</v>
      </c>
      <c r="D138" s="146">
        <v>981487</v>
      </c>
      <c r="E138" s="146">
        <f t="shared" si="8"/>
        <v>25606</v>
      </c>
      <c r="F138" s="150">
        <f t="shared" si="9"/>
        <v>0.026787853299730824</v>
      </c>
      <c r="G138" s="155"/>
    </row>
    <row r="139" spans="1:7" ht="15" customHeight="1">
      <c r="A139" s="141">
        <v>19</v>
      </c>
      <c r="B139" s="161" t="s">
        <v>426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427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>
      <c r="A141" s="141">
        <v>21</v>
      </c>
      <c r="B141" s="161" t="s">
        <v>428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429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430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>
      <c r="A144" s="141">
        <v>24</v>
      </c>
      <c r="B144" s="161" t="s">
        <v>431</v>
      </c>
      <c r="C144" s="146">
        <v>3459283</v>
      </c>
      <c r="D144" s="146">
        <v>5170508</v>
      </c>
      <c r="E144" s="146">
        <f t="shared" si="8"/>
        <v>1711225</v>
      </c>
      <c r="F144" s="150">
        <f t="shared" si="9"/>
        <v>0.4946762089138125</v>
      </c>
      <c r="G144" s="155"/>
    </row>
    <row r="145" spans="1:7" ht="15" customHeight="1">
      <c r="A145" s="141">
        <v>25</v>
      </c>
      <c r="B145" s="161" t="s">
        <v>432</v>
      </c>
      <c r="C145" s="146">
        <v>476046</v>
      </c>
      <c r="D145" s="146">
        <v>538321</v>
      </c>
      <c r="E145" s="146">
        <f t="shared" si="8"/>
        <v>62275</v>
      </c>
      <c r="F145" s="150">
        <f t="shared" si="9"/>
        <v>0.1308171899354264</v>
      </c>
      <c r="G145" s="155"/>
    </row>
    <row r="146" spans="1:7" ht="15" customHeight="1">
      <c r="A146" s="141">
        <v>26</v>
      </c>
      <c r="B146" s="161" t="s">
        <v>433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434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435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>
      <c r="A149" s="141">
        <v>29</v>
      </c>
      <c r="B149" s="161" t="s">
        <v>436</v>
      </c>
      <c r="C149" s="146">
        <v>564416</v>
      </c>
      <c r="D149" s="146">
        <v>583509</v>
      </c>
      <c r="E149" s="146">
        <f t="shared" si="8"/>
        <v>19093</v>
      </c>
      <c r="F149" s="150">
        <f t="shared" si="9"/>
        <v>0.033827885814718225</v>
      </c>
      <c r="G149" s="155"/>
    </row>
    <row r="150" spans="1:7" ht="15" customHeight="1">
      <c r="A150" s="141">
        <v>30</v>
      </c>
      <c r="B150" s="161" t="s">
        <v>437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438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439</v>
      </c>
      <c r="C152" s="146">
        <v>1639009</v>
      </c>
      <c r="D152" s="146">
        <v>1701527</v>
      </c>
      <c r="E152" s="146">
        <f t="shared" si="8"/>
        <v>62518</v>
      </c>
      <c r="F152" s="150">
        <f t="shared" si="9"/>
        <v>0.03814378078460826</v>
      </c>
      <c r="G152" s="155"/>
    </row>
    <row r="153" spans="1:7" ht="15" customHeight="1">
      <c r="A153" s="141">
        <v>33</v>
      </c>
      <c r="B153" s="161" t="s">
        <v>440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441</v>
      </c>
      <c r="C154" s="146">
        <v>1514283</v>
      </c>
      <c r="D154" s="146">
        <v>1412320</v>
      </c>
      <c r="E154" s="146">
        <f t="shared" si="8"/>
        <v>-101963</v>
      </c>
      <c r="F154" s="150">
        <f t="shared" si="9"/>
        <v>-0.06733417729711025</v>
      </c>
      <c r="G154" s="155"/>
    </row>
    <row r="155" spans="1:7" ht="15.75" customHeight="1">
      <c r="A155" s="141"/>
      <c r="B155" s="154" t="s">
        <v>442</v>
      </c>
      <c r="C155" s="147">
        <f>SUM(C121:C154)</f>
        <v>23277025</v>
      </c>
      <c r="D155" s="147">
        <f>SUM(D121:D154)</f>
        <v>25275884</v>
      </c>
      <c r="E155" s="147">
        <f t="shared" si="8"/>
        <v>1998859</v>
      </c>
      <c r="F155" s="148">
        <f t="shared" si="9"/>
        <v>0.08587261473491566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327</v>
      </c>
      <c r="B157" s="145" t="s">
        <v>443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444</v>
      </c>
      <c r="C158" s="146">
        <v>6681065</v>
      </c>
      <c r="D158" s="146">
        <v>6520881</v>
      </c>
      <c r="E158" s="146">
        <f aca="true" t="shared" si="10" ref="E158:E171">D158-C158</f>
        <v>-160184</v>
      </c>
      <c r="F158" s="150">
        <f aca="true" t="shared" si="11" ref="F158:F171">IF(C158=0,0,E158/C158)</f>
        <v>-0.023975818226585132</v>
      </c>
      <c r="G158" s="155"/>
    </row>
    <row r="159" spans="1:7" ht="15" customHeight="1">
      <c r="A159" s="141">
        <v>2</v>
      </c>
      <c r="B159" s="161" t="s">
        <v>445</v>
      </c>
      <c r="C159" s="146">
        <v>2085604</v>
      </c>
      <c r="D159" s="146">
        <v>2224780</v>
      </c>
      <c r="E159" s="146">
        <f t="shared" si="10"/>
        <v>139176</v>
      </c>
      <c r="F159" s="150">
        <f t="shared" si="11"/>
        <v>0.06673174773351029</v>
      </c>
      <c r="G159" s="155"/>
    </row>
    <row r="160" spans="1:7" ht="15" customHeight="1">
      <c r="A160" s="141">
        <v>3</v>
      </c>
      <c r="B160" s="161" t="s">
        <v>446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447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>
      <c r="A162" s="141">
        <v>5</v>
      </c>
      <c r="B162" s="161" t="s">
        <v>448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449</v>
      </c>
      <c r="C163" s="146">
        <v>873047</v>
      </c>
      <c r="D163" s="146">
        <v>516821</v>
      </c>
      <c r="E163" s="146">
        <f t="shared" si="10"/>
        <v>-356226</v>
      </c>
      <c r="F163" s="150">
        <f t="shared" si="11"/>
        <v>-0.40802614292243145</v>
      </c>
      <c r="G163" s="155"/>
    </row>
    <row r="164" spans="1:7" ht="15" customHeight="1">
      <c r="A164" s="141">
        <v>7</v>
      </c>
      <c r="B164" s="161" t="s">
        <v>450</v>
      </c>
      <c r="C164" s="146">
        <v>302209</v>
      </c>
      <c r="D164" s="146">
        <v>327320</v>
      </c>
      <c r="E164" s="146">
        <f t="shared" si="10"/>
        <v>25111</v>
      </c>
      <c r="F164" s="150">
        <f t="shared" si="11"/>
        <v>0.08309150290031071</v>
      </c>
      <c r="G164" s="155"/>
    </row>
    <row r="165" spans="1:7" ht="15" customHeight="1">
      <c r="A165" s="141">
        <v>8</v>
      </c>
      <c r="B165" s="161" t="s">
        <v>451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452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453</v>
      </c>
      <c r="C167" s="146">
        <v>1111864</v>
      </c>
      <c r="D167" s="146">
        <v>1118723</v>
      </c>
      <c r="E167" s="146">
        <f t="shared" si="10"/>
        <v>6859</v>
      </c>
      <c r="F167" s="150">
        <f t="shared" si="11"/>
        <v>0.006168919939848759</v>
      </c>
      <c r="G167" s="155"/>
    </row>
    <row r="168" spans="1:7" ht="15" customHeight="1">
      <c r="A168" s="141">
        <v>11</v>
      </c>
      <c r="B168" s="161" t="s">
        <v>454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455</v>
      </c>
      <c r="C169" s="146">
        <v>813079</v>
      </c>
      <c r="D169" s="146">
        <v>836205</v>
      </c>
      <c r="E169" s="146">
        <f t="shared" si="10"/>
        <v>23126</v>
      </c>
      <c r="F169" s="150">
        <f t="shared" si="11"/>
        <v>0.02844250066721684</v>
      </c>
      <c r="G169" s="155"/>
    </row>
    <row r="170" spans="1:7" ht="15" customHeight="1">
      <c r="A170" s="141">
        <v>13</v>
      </c>
      <c r="B170" s="161" t="s">
        <v>456</v>
      </c>
      <c r="C170" s="146">
        <v>478630</v>
      </c>
      <c r="D170" s="146">
        <v>571413</v>
      </c>
      <c r="E170" s="146">
        <f t="shared" si="10"/>
        <v>92783</v>
      </c>
      <c r="F170" s="150">
        <f t="shared" si="11"/>
        <v>0.1938512003008587</v>
      </c>
      <c r="G170" s="155"/>
    </row>
    <row r="171" spans="1:7" ht="15.75" customHeight="1">
      <c r="A171" s="141"/>
      <c r="B171" s="154" t="s">
        <v>457</v>
      </c>
      <c r="C171" s="147">
        <f>SUM(C158:C170)</f>
        <v>12345498</v>
      </c>
      <c r="D171" s="147">
        <f>SUM(D158:D170)</f>
        <v>12116143</v>
      </c>
      <c r="E171" s="147">
        <f t="shared" si="10"/>
        <v>-229355</v>
      </c>
      <c r="F171" s="148">
        <f t="shared" si="11"/>
        <v>-0.01857802739103761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332</v>
      </c>
      <c r="B173" s="145" t="s">
        <v>458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459</v>
      </c>
      <c r="C174" s="146">
        <v>24529297</v>
      </c>
      <c r="D174" s="146">
        <v>24829102</v>
      </c>
      <c r="E174" s="146">
        <f>D174-C174</f>
        <v>299805</v>
      </c>
      <c r="F174" s="150">
        <f>IF(C174=0,0,E174/C174)</f>
        <v>0.012222323371110065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460</v>
      </c>
      <c r="C176" s="147">
        <f>+C174+C171+C155+C118+C109</f>
        <v>83487134</v>
      </c>
      <c r="D176" s="147">
        <f>+D174+D171+D155+D118+D109</f>
        <v>85401157</v>
      </c>
      <c r="E176" s="147">
        <f>D176-C176</f>
        <v>1914023</v>
      </c>
      <c r="F176" s="148">
        <f>IF(C176=0,0,E176/C176)</f>
        <v>0.022925963658064968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461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FILING&amp;RWINDHAM COMMUNITY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156</v>
      </c>
      <c r="C1" s="3"/>
      <c r="D1" s="3"/>
      <c r="E1" s="4"/>
      <c r="F1" s="5"/>
    </row>
    <row r="2" spans="1:6" ht="24" customHeight="1">
      <c r="A2" s="35"/>
      <c r="B2" s="3" t="s">
        <v>157</v>
      </c>
      <c r="C2" s="3"/>
      <c r="D2" s="3"/>
      <c r="E2" s="4"/>
      <c r="F2" s="5"/>
    </row>
    <row r="3" spans="1:6" ht="24" customHeight="1">
      <c r="A3" s="35"/>
      <c r="B3" s="3" t="s">
        <v>158</v>
      </c>
      <c r="C3" s="3"/>
      <c r="D3" s="3"/>
      <c r="E3" s="4"/>
      <c r="F3" s="5"/>
    </row>
    <row r="4" spans="1:6" ht="24" customHeight="1">
      <c r="A4" s="35"/>
      <c r="B4" s="3" t="s">
        <v>462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166</v>
      </c>
      <c r="D7" s="11" t="s">
        <v>166</v>
      </c>
      <c r="E7" s="11" t="s">
        <v>166</v>
      </c>
      <c r="F7" s="11"/>
    </row>
    <row r="8" spans="1:6" ht="24" customHeight="1">
      <c r="A8" s="13" t="s">
        <v>164</v>
      </c>
      <c r="B8" s="16" t="s">
        <v>165</v>
      </c>
      <c r="C8" s="13" t="s">
        <v>463</v>
      </c>
      <c r="D8" s="13" t="s">
        <v>160</v>
      </c>
      <c r="E8" s="13" t="s">
        <v>161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170</v>
      </c>
      <c r="B10" s="30" t="s">
        <v>464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231</v>
      </c>
      <c r="C11" s="51">
        <v>76196541</v>
      </c>
      <c r="D11" s="164">
        <v>81011511</v>
      </c>
      <c r="E11" s="51">
        <v>83605148</v>
      </c>
      <c r="F11" s="13"/>
    </row>
    <row r="12" spans="1:6" ht="24" customHeight="1">
      <c r="A12" s="44">
        <v>2</v>
      </c>
      <c r="B12" s="165" t="s">
        <v>465</v>
      </c>
      <c r="C12" s="49">
        <v>5646903</v>
      </c>
      <c r="D12" s="49">
        <v>4257607</v>
      </c>
      <c r="E12" s="49">
        <v>2401877</v>
      </c>
      <c r="F12" s="13"/>
    </row>
    <row r="13" spans="1:6" ht="24" customHeight="1">
      <c r="A13" s="44">
        <v>3</v>
      </c>
      <c r="B13" s="48" t="s">
        <v>234</v>
      </c>
      <c r="C13" s="51">
        <f>+C11+C12</f>
        <v>81843444</v>
      </c>
      <c r="D13" s="51">
        <f>+D11+D12</f>
        <v>85269118</v>
      </c>
      <c r="E13" s="51">
        <f>+E11+E12</f>
        <v>86007025</v>
      </c>
      <c r="F13" s="13"/>
    </row>
    <row r="14" spans="1:6" ht="24" customHeight="1">
      <c r="A14" s="44">
        <v>4</v>
      </c>
      <c r="B14" s="166" t="s">
        <v>245</v>
      </c>
      <c r="C14" s="49">
        <v>81098944</v>
      </c>
      <c r="D14" s="49">
        <v>83487134</v>
      </c>
      <c r="E14" s="49">
        <v>85401157</v>
      </c>
      <c r="F14" s="13"/>
    </row>
    <row r="15" spans="1:6" ht="24" customHeight="1">
      <c r="A15" s="44">
        <v>5</v>
      </c>
      <c r="B15" s="48" t="s">
        <v>246</v>
      </c>
      <c r="C15" s="51">
        <f>+C13-C14</f>
        <v>744500</v>
      </c>
      <c r="D15" s="51">
        <f>+D13-D14</f>
        <v>1781984</v>
      </c>
      <c r="E15" s="51">
        <f>+E13-E14</f>
        <v>605868</v>
      </c>
      <c r="F15" s="13"/>
    </row>
    <row r="16" spans="1:6" ht="24" customHeight="1">
      <c r="A16" s="44">
        <v>6</v>
      </c>
      <c r="B16" s="166" t="s">
        <v>251</v>
      </c>
      <c r="C16" s="49">
        <v>1627039</v>
      </c>
      <c r="D16" s="49">
        <v>310467</v>
      </c>
      <c r="E16" s="49">
        <v>-1790872</v>
      </c>
      <c r="F16" s="13"/>
    </row>
    <row r="17" spans="1:6" ht="24" customHeight="1">
      <c r="A17" s="44">
        <v>7</v>
      </c>
      <c r="B17" s="45" t="s">
        <v>466</v>
      </c>
      <c r="C17" s="51">
        <f>C15+C16</f>
        <v>2371539</v>
      </c>
      <c r="D17" s="51">
        <f>D15+D16</f>
        <v>2092451</v>
      </c>
      <c r="E17" s="51">
        <f>E15+E16</f>
        <v>-1185004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182</v>
      </c>
      <c r="B19" s="30" t="s">
        <v>467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468</v>
      </c>
      <c r="C20" s="169">
        <f>IF(+C27=0,0,+C24/+C27)</f>
        <v>0.0089193206178045</v>
      </c>
      <c r="D20" s="169">
        <f>IF(+D27=0,0,+D24/+D27)</f>
        <v>0.020822536122370772</v>
      </c>
      <c r="E20" s="169">
        <f>IF(+E27=0,0,+E24/+E27)</f>
        <v>0.00719420180591721</v>
      </c>
      <c r="F20" s="13"/>
    </row>
    <row r="21" spans="1:6" ht="24" customHeight="1">
      <c r="A21" s="25">
        <v>2</v>
      </c>
      <c r="B21" s="48" t="s">
        <v>469</v>
      </c>
      <c r="C21" s="169">
        <f>IF(C27=0,0,+C26/C27)</f>
        <v>0.01949238750661117</v>
      </c>
      <c r="D21" s="169">
        <f>IF(D27=0,0,+D26/D27)</f>
        <v>0.0036278161433009985</v>
      </c>
      <c r="E21" s="169">
        <f>IF(E27=0,0,+E26/E27)</f>
        <v>-0.021265184126850346</v>
      </c>
      <c r="F21" s="13"/>
    </row>
    <row r="22" spans="1:6" ht="24" customHeight="1">
      <c r="A22" s="25">
        <v>3</v>
      </c>
      <c r="B22" s="48" t="s">
        <v>470</v>
      </c>
      <c r="C22" s="169">
        <f>IF(C27=0,0,+C28/C27)</f>
        <v>0.02841170812441567</v>
      </c>
      <c r="D22" s="169">
        <f>IF(D27=0,0,+D28/D27)</f>
        <v>0.02445035226567177</v>
      </c>
      <c r="E22" s="169">
        <f>IF(E27=0,0,+E28/E27)</f>
        <v>-0.014070982320933135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246</v>
      </c>
      <c r="C24" s="51">
        <f>+C15</f>
        <v>744500</v>
      </c>
      <c r="D24" s="51">
        <f>+D15</f>
        <v>1781984</v>
      </c>
      <c r="E24" s="51">
        <f>+E15</f>
        <v>605868</v>
      </c>
      <c r="F24" s="13"/>
    </row>
    <row r="25" spans="1:6" ht="24" customHeight="1">
      <c r="A25" s="21">
        <v>5</v>
      </c>
      <c r="B25" s="48" t="s">
        <v>234</v>
      </c>
      <c r="C25" s="51">
        <f>+C13</f>
        <v>81843444</v>
      </c>
      <c r="D25" s="51">
        <f>+D13</f>
        <v>85269118</v>
      </c>
      <c r="E25" s="51">
        <f>+E13</f>
        <v>86007025</v>
      </c>
      <c r="F25" s="13"/>
    </row>
    <row r="26" spans="1:6" ht="24" customHeight="1">
      <c r="A26" s="21">
        <v>6</v>
      </c>
      <c r="B26" s="48" t="s">
        <v>251</v>
      </c>
      <c r="C26" s="51">
        <f>+C16</f>
        <v>1627039</v>
      </c>
      <c r="D26" s="51">
        <f>+D16</f>
        <v>310467</v>
      </c>
      <c r="E26" s="51">
        <f>+E16</f>
        <v>-1790872</v>
      </c>
      <c r="F26" s="13"/>
    </row>
    <row r="27" spans="1:6" ht="24" customHeight="1">
      <c r="A27" s="21">
        <v>7</v>
      </c>
      <c r="B27" s="48" t="s">
        <v>471</v>
      </c>
      <c r="C27" s="51">
        <f>+C25+C26</f>
        <v>83470483</v>
      </c>
      <c r="D27" s="51">
        <f>+D25+D26</f>
        <v>85579585</v>
      </c>
      <c r="E27" s="51">
        <f>+E25+E26</f>
        <v>84216153</v>
      </c>
      <c r="F27" s="13"/>
    </row>
    <row r="28" spans="1:6" ht="24" customHeight="1">
      <c r="A28" s="21">
        <v>8</v>
      </c>
      <c r="B28" s="45" t="s">
        <v>466</v>
      </c>
      <c r="C28" s="51">
        <f>+C17</f>
        <v>2371539</v>
      </c>
      <c r="D28" s="51">
        <f>+D17</f>
        <v>2092451</v>
      </c>
      <c r="E28" s="51">
        <f>+E17</f>
        <v>-1185004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192</v>
      </c>
      <c r="B30" s="41" t="s">
        <v>472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473</v>
      </c>
      <c r="C31" s="51">
        <v>8993301</v>
      </c>
      <c r="D31" s="51">
        <v>10143299</v>
      </c>
      <c r="E31" s="51">
        <v>-25502905</v>
      </c>
      <c r="F31" s="13"/>
    </row>
    <row r="32" spans="1:6" ht="24" customHeight="1">
      <c r="A32" s="25">
        <v>2</v>
      </c>
      <c r="B32" s="48" t="s">
        <v>474</v>
      </c>
      <c r="C32" s="51">
        <v>12692298</v>
      </c>
      <c r="D32" s="51">
        <v>13271987</v>
      </c>
      <c r="E32" s="51">
        <v>-20171322</v>
      </c>
      <c r="F32" s="13"/>
    </row>
    <row r="33" spans="1:6" ht="24" customHeight="1">
      <c r="A33" s="25">
        <v>3</v>
      </c>
      <c r="B33" s="48" t="s">
        <v>475</v>
      </c>
      <c r="C33" s="51">
        <v>12692298</v>
      </c>
      <c r="D33" s="51">
        <f>+D32-C32</f>
        <v>579689</v>
      </c>
      <c r="E33" s="51">
        <f>+E32-D32</f>
        <v>-33443309</v>
      </c>
      <c r="F33" s="5"/>
    </row>
    <row r="34" spans="1:6" ht="24" customHeight="1">
      <c r="A34" s="25">
        <v>4</v>
      </c>
      <c r="B34" s="48" t="s">
        <v>476</v>
      </c>
      <c r="C34" s="171">
        <v>0</v>
      </c>
      <c r="D34" s="171">
        <f>IF(C32=0,0,+D33/C32)</f>
        <v>0.045672501543849664</v>
      </c>
      <c r="E34" s="171">
        <f>IF(D32=0,0,+E33/D32)</f>
        <v>-2.5198419046070493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477</v>
      </c>
      <c r="B36" s="41" t="s">
        <v>478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479</v>
      </c>
      <c r="C38" s="172">
        <f>IF((C40+C41)=0,0,+C39/(C40+C41))</f>
        <v>0.3696608757455124</v>
      </c>
      <c r="D38" s="172">
        <f>IF((D40+D41)=0,0,+D39/(D40+D41))</f>
        <v>0.3869030502273786</v>
      </c>
      <c r="E38" s="172">
        <f>IF((E40+E41)=0,0,+E39/(E40+E41))</f>
        <v>0.4490452090015014</v>
      </c>
      <c r="F38" s="5"/>
    </row>
    <row r="39" spans="1:6" ht="24" customHeight="1">
      <c r="A39" s="21">
        <v>2</v>
      </c>
      <c r="B39" s="48" t="s">
        <v>480</v>
      </c>
      <c r="C39" s="51">
        <v>70604614</v>
      </c>
      <c r="D39" s="51">
        <v>74979824</v>
      </c>
      <c r="E39" s="23">
        <v>85401157</v>
      </c>
      <c r="F39" s="5"/>
    </row>
    <row r="40" spans="1:6" ht="24" customHeight="1">
      <c r="A40" s="21">
        <v>3</v>
      </c>
      <c r="B40" s="48" t="s">
        <v>481</v>
      </c>
      <c r="C40" s="51">
        <v>190998341</v>
      </c>
      <c r="D40" s="51">
        <v>193794864</v>
      </c>
      <c r="E40" s="23">
        <v>190183873</v>
      </c>
      <c r="F40" s="5"/>
    </row>
    <row r="41" spans="1:6" ht="24" customHeight="1">
      <c r="A41" s="21">
        <v>4</v>
      </c>
      <c r="B41" s="48" t="s">
        <v>482</v>
      </c>
      <c r="C41" s="51">
        <v>0</v>
      </c>
      <c r="D41" s="51">
        <v>0</v>
      </c>
      <c r="E41" s="23">
        <v>0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483</v>
      </c>
      <c r="C43" s="173">
        <f>IF(C38=0,0,IF((C46-C47)=0,0,((+C44-C45)/(C46-C47)/C38)))</f>
        <v>1.1442531982574777</v>
      </c>
      <c r="D43" s="173">
        <f>IF(D38=0,0,IF((D46-D47)=0,0,((+D44-D45)/(D46-D47)/D38)))</f>
        <v>1.0991416358764226</v>
      </c>
      <c r="E43" s="173">
        <f>IF(E38=0,0,IF((E46-E47)=0,0,((+E44-E45)/(E46-E47)/E38)))</f>
        <v>1.021065186604052</v>
      </c>
      <c r="F43" s="5"/>
    </row>
    <row r="44" spans="1:6" ht="24" customHeight="1">
      <c r="A44" s="21">
        <v>6</v>
      </c>
      <c r="B44" s="48" t="s">
        <v>484</v>
      </c>
      <c r="C44" s="51">
        <v>32696363</v>
      </c>
      <c r="D44" s="51">
        <v>32730912</v>
      </c>
      <c r="E44" s="23">
        <v>33973384</v>
      </c>
      <c r="F44" s="5"/>
    </row>
    <row r="45" spans="1:6" ht="24" customHeight="1">
      <c r="A45" s="21">
        <v>7</v>
      </c>
      <c r="B45" s="48" t="s">
        <v>485</v>
      </c>
      <c r="C45" s="51">
        <v>423035</v>
      </c>
      <c r="D45" s="51">
        <v>431230</v>
      </c>
      <c r="E45" s="23">
        <v>251059</v>
      </c>
      <c r="F45" s="5"/>
    </row>
    <row r="46" spans="1:6" ht="24" customHeight="1">
      <c r="A46" s="21">
        <v>8</v>
      </c>
      <c r="B46" s="48" t="s">
        <v>486</v>
      </c>
      <c r="C46" s="51">
        <v>81784516</v>
      </c>
      <c r="D46" s="51">
        <v>81460726</v>
      </c>
      <c r="E46" s="23">
        <v>77745972</v>
      </c>
      <c r="F46" s="5"/>
    </row>
    <row r="47" spans="1:6" ht="24" customHeight="1">
      <c r="A47" s="21">
        <v>9</v>
      </c>
      <c r="B47" s="48" t="s">
        <v>487</v>
      </c>
      <c r="C47" s="51">
        <v>5485642</v>
      </c>
      <c r="D47" s="51">
        <v>5508163</v>
      </c>
      <c r="E47" s="174">
        <v>4197446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488</v>
      </c>
      <c r="C49" s="175">
        <f>IF(C38=0,0,IF(C51=0,0,(C50/C51)/C38))</f>
        <v>1.0082674276468013</v>
      </c>
      <c r="D49" s="175">
        <f>IF(D38=0,0,IF(D51=0,0,(D50/D51)/D38))</f>
        <v>1.1193150644401724</v>
      </c>
      <c r="E49" s="175">
        <f>IF(E38=0,0,IF(E51=0,0,(E50/E51)/E38))</f>
        <v>0.9842655234120699</v>
      </c>
      <c r="F49" s="7"/>
    </row>
    <row r="50" spans="1:6" ht="24" customHeight="1">
      <c r="A50" s="21">
        <v>11</v>
      </c>
      <c r="B50" s="48" t="s">
        <v>489</v>
      </c>
      <c r="C50" s="176">
        <v>28768565</v>
      </c>
      <c r="D50" s="176">
        <v>33210428</v>
      </c>
      <c r="E50" s="176">
        <v>33581550</v>
      </c>
      <c r="F50" s="11"/>
    </row>
    <row r="51" spans="1:6" ht="24" customHeight="1">
      <c r="A51" s="21">
        <v>12</v>
      </c>
      <c r="B51" s="48" t="s">
        <v>490</v>
      </c>
      <c r="C51" s="176">
        <v>77186078</v>
      </c>
      <c r="D51" s="176">
        <v>76686686</v>
      </c>
      <c r="E51" s="176">
        <v>75979844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491</v>
      </c>
      <c r="C53" s="175">
        <f>IF(C38=0,0,IF(C55=0,0,(C54/C55)/C38))</f>
        <v>0.8862407431745143</v>
      </c>
      <c r="D53" s="175">
        <f>IF(D38=0,0,IF(D55=0,0,(D54/D55)/D38))</f>
        <v>0.8549175546547318</v>
      </c>
      <c r="E53" s="175">
        <f>IF(E38=0,0,IF(E55=0,0,(E54/E55)/E38))</f>
        <v>0.8168424656809128</v>
      </c>
      <c r="F53" s="13"/>
    </row>
    <row r="54" spans="1:6" ht="24" customHeight="1">
      <c r="A54" s="21">
        <v>14</v>
      </c>
      <c r="B54" s="48" t="s">
        <v>492</v>
      </c>
      <c r="C54" s="176">
        <v>7525125</v>
      </c>
      <c r="D54" s="176">
        <v>8593760</v>
      </c>
      <c r="E54" s="176">
        <v>9550095</v>
      </c>
      <c r="F54" s="13"/>
    </row>
    <row r="55" spans="1:6" ht="24" customHeight="1">
      <c r="A55" s="21">
        <v>15</v>
      </c>
      <c r="B55" s="48" t="s">
        <v>493</v>
      </c>
      <c r="C55" s="176">
        <v>22969869</v>
      </c>
      <c r="D55" s="176">
        <v>25981058</v>
      </c>
      <c r="E55" s="176">
        <v>26036303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494</v>
      </c>
      <c r="C57" s="53">
        <f>+C60*C38</f>
        <v>2568963.8009065744</v>
      </c>
      <c r="D57" s="53">
        <f>+D60*D38</f>
        <v>2644909.4892715835</v>
      </c>
      <c r="E57" s="53">
        <f>+E60*E38</f>
        <v>2800024.993090534</v>
      </c>
      <c r="F57" s="13"/>
    </row>
    <row r="58" spans="1:6" ht="24" customHeight="1">
      <c r="A58" s="21">
        <v>17</v>
      </c>
      <c r="B58" s="48" t="s">
        <v>495</v>
      </c>
      <c r="C58" s="51">
        <v>2102088</v>
      </c>
      <c r="D58" s="51">
        <v>2586401</v>
      </c>
      <c r="E58" s="52">
        <v>2094259</v>
      </c>
      <c r="F58" s="28"/>
    </row>
    <row r="59" spans="1:6" ht="24" customHeight="1">
      <c r="A59" s="21">
        <v>18</v>
      </c>
      <c r="B59" s="48" t="s">
        <v>241</v>
      </c>
      <c r="C59" s="51">
        <v>4847427</v>
      </c>
      <c r="D59" s="51">
        <v>4249703</v>
      </c>
      <c r="E59" s="52">
        <v>4141249</v>
      </c>
      <c r="F59" s="28"/>
    </row>
    <row r="60" spans="1:6" ht="24" customHeight="1">
      <c r="A60" s="21">
        <v>19</v>
      </c>
      <c r="B60" s="48" t="s">
        <v>496</v>
      </c>
      <c r="C60" s="51">
        <v>6949515</v>
      </c>
      <c r="D60" s="51">
        <v>6836104</v>
      </c>
      <c r="E60" s="52">
        <v>6235508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497</v>
      </c>
      <c r="C62" s="178">
        <f>IF(C63=0,0,+C57/C63)</f>
        <v>0.03638521132495072</v>
      </c>
      <c r="D62" s="178">
        <f>IF(D63=0,0,+D57/D63)</f>
        <v>0.03527494928864575</v>
      </c>
      <c r="E62" s="178">
        <f>IF(E63=0,0,+E57/E63)</f>
        <v>0.03278673371006594</v>
      </c>
      <c r="F62" s="13"/>
    </row>
    <row r="63" spans="1:6" ht="24" customHeight="1">
      <c r="A63" s="21">
        <v>21</v>
      </c>
      <c r="B63" s="45" t="s">
        <v>480</v>
      </c>
      <c r="C63" s="176">
        <v>70604614</v>
      </c>
      <c r="D63" s="176">
        <v>74979824</v>
      </c>
      <c r="E63" s="176">
        <v>85401157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498</v>
      </c>
      <c r="B65" s="41" t="s">
        <v>499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500</v>
      </c>
      <c r="C67" s="179">
        <f>IF(C69=0,0,C68/C69)</f>
        <v>2.275130606420293</v>
      </c>
      <c r="D67" s="179">
        <f>IF(D69=0,0,D68/D69)</f>
        <v>2.5709401573602126</v>
      </c>
      <c r="E67" s="179">
        <f>IF(E69=0,0,E68/E69)</f>
        <v>2.629698449125615</v>
      </c>
      <c r="F67" s="28"/>
    </row>
    <row r="68" spans="1:6" ht="24" customHeight="1">
      <c r="A68" s="21">
        <v>2</v>
      </c>
      <c r="B68" s="48" t="s">
        <v>181</v>
      </c>
      <c r="C68" s="180">
        <v>21323946</v>
      </c>
      <c r="D68" s="180">
        <v>24271629</v>
      </c>
      <c r="E68" s="180">
        <v>24003919</v>
      </c>
      <c r="F68" s="28"/>
    </row>
    <row r="69" spans="1:6" ht="24" customHeight="1">
      <c r="A69" s="21">
        <v>3</v>
      </c>
      <c r="B69" s="48" t="s">
        <v>210</v>
      </c>
      <c r="C69" s="180">
        <v>9372625</v>
      </c>
      <c r="D69" s="180">
        <v>9440760</v>
      </c>
      <c r="E69" s="180">
        <v>9128012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501</v>
      </c>
      <c r="C71" s="181">
        <f>IF((C77/365)=0,0,+C74/(C77/365))</f>
        <v>5.221466853588835</v>
      </c>
      <c r="D71" s="181">
        <f>IF((D77/365)=0,0,+D74/(D77/365))</f>
        <v>12.76184606079494</v>
      </c>
      <c r="E71" s="181">
        <f>IF((E77/365)=0,0,+E74/(E77/365))</f>
        <v>15.13280825515159</v>
      </c>
      <c r="F71" s="28"/>
    </row>
    <row r="72" spans="1:6" ht="24" customHeight="1">
      <c r="A72" s="21">
        <v>5</v>
      </c>
      <c r="B72" s="22" t="s">
        <v>172</v>
      </c>
      <c r="C72" s="182">
        <v>1105693</v>
      </c>
      <c r="D72" s="182">
        <v>2778004</v>
      </c>
      <c r="E72" s="182">
        <v>3357508</v>
      </c>
      <c r="F72" s="28"/>
    </row>
    <row r="73" spans="1:6" ht="24" customHeight="1">
      <c r="A73" s="21">
        <v>6</v>
      </c>
      <c r="B73" s="183" t="s">
        <v>173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502</v>
      </c>
      <c r="C74" s="180">
        <f>+C72+C73</f>
        <v>1105693</v>
      </c>
      <c r="D74" s="180">
        <f>+D72+D73</f>
        <v>2778004</v>
      </c>
      <c r="E74" s="180">
        <f>+E72+E73</f>
        <v>3357508</v>
      </c>
      <c r="F74" s="28"/>
    </row>
    <row r="75" spans="1:6" ht="24" customHeight="1">
      <c r="A75" s="21">
        <v>8</v>
      </c>
      <c r="B75" s="48" t="s">
        <v>480</v>
      </c>
      <c r="C75" s="180">
        <f>+C14</f>
        <v>81098944</v>
      </c>
      <c r="D75" s="180">
        <f>+D14</f>
        <v>83487134</v>
      </c>
      <c r="E75" s="180">
        <f>+E14</f>
        <v>85401157</v>
      </c>
      <c r="F75" s="28"/>
    </row>
    <row r="76" spans="1:6" ht="24" customHeight="1">
      <c r="A76" s="21">
        <v>9</v>
      </c>
      <c r="B76" s="45" t="s">
        <v>503</v>
      </c>
      <c r="C76" s="180">
        <v>3806881</v>
      </c>
      <c r="D76" s="180">
        <v>4033781</v>
      </c>
      <c r="E76" s="180">
        <v>4418804</v>
      </c>
      <c r="F76" s="28"/>
    </row>
    <row r="77" spans="1:6" ht="24" customHeight="1">
      <c r="A77" s="21">
        <v>10</v>
      </c>
      <c r="B77" s="45" t="s">
        <v>504</v>
      </c>
      <c r="C77" s="180">
        <f>+C75-C76</f>
        <v>77292063</v>
      </c>
      <c r="D77" s="180">
        <f>+D75-D76</f>
        <v>79453353</v>
      </c>
      <c r="E77" s="180">
        <f>+E75-E76</f>
        <v>80982353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505</v>
      </c>
      <c r="C79" s="179">
        <f>IF((C84/365)=0,0,+C83/(C84/365))</f>
        <v>69.9778438761413</v>
      </c>
      <c r="D79" s="179">
        <f>IF((D84/365)=0,0,+D83/(D84/365))</f>
        <v>63.81296591295526</v>
      </c>
      <c r="E79" s="179">
        <f>IF((E84/365)=0,0,+E83/(E84/365))</f>
        <v>62.755877185935965</v>
      </c>
      <c r="F79" s="28"/>
    </row>
    <row r="80" spans="1:6" ht="24" customHeight="1">
      <c r="A80" s="21">
        <v>12</v>
      </c>
      <c r="B80" s="188" t="s">
        <v>506</v>
      </c>
      <c r="C80" s="189">
        <v>13196621</v>
      </c>
      <c r="D80" s="189">
        <v>11996552</v>
      </c>
      <c r="E80" s="189">
        <v>13116037</v>
      </c>
      <c r="F80" s="28"/>
    </row>
    <row r="81" spans="1:6" ht="24" customHeight="1">
      <c r="A81" s="21">
        <v>13</v>
      </c>
      <c r="B81" s="188" t="s">
        <v>177</v>
      </c>
      <c r="C81" s="190">
        <v>1411789</v>
      </c>
      <c r="D81" s="190">
        <v>2166694</v>
      </c>
      <c r="E81" s="190">
        <v>1258523</v>
      </c>
      <c r="F81" s="28"/>
    </row>
    <row r="82" spans="1:6" ht="24" customHeight="1">
      <c r="A82" s="21">
        <v>14</v>
      </c>
      <c r="B82" s="188" t="s">
        <v>205</v>
      </c>
      <c r="C82" s="190">
        <v>0</v>
      </c>
      <c r="D82" s="190">
        <v>0</v>
      </c>
      <c r="E82" s="190">
        <v>0</v>
      </c>
      <c r="F82" s="28"/>
    </row>
    <row r="83" spans="1:6" ht="33.75" customHeight="1">
      <c r="A83" s="21">
        <v>15</v>
      </c>
      <c r="B83" s="45" t="s">
        <v>507</v>
      </c>
      <c r="C83" s="191">
        <f>+C80+C81-C82</f>
        <v>14608410</v>
      </c>
      <c r="D83" s="191">
        <f>+D80+D81-D82</f>
        <v>14163246</v>
      </c>
      <c r="E83" s="191">
        <f>+E80+E81-E82</f>
        <v>14374560</v>
      </c>
      <c r="F83" s="28"/>
    </row>
    <row r="84" spans="1:6" ht="24" customHeight="1">
      <c r="A84" s="21">
        <v>16</v>
      </c>
      <c r="B84" s="48" t="s">
        <v>231</v>
      </c>
      <c r="C84" s="180">
        <f>+C11</f>
        <v>76196541</v>
      </c>
      <c r="D84" s="191">
        <f>+D11</f>
        <v>81011511</v>
      </c>
      <c r="E84" s="191">
        <f>+E11</f>
        <v>83605148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508</v>
      </c>
      <c r="C86" s="179">
        <f>IF((C90/365)=0,0,+C87/(C90/365))</f>
        <v>44.2607946044861</v>
      </c>
      <c r="D86" s="179">
        <f>IF((D90/365)=0,0,+D87/(D90/365))</f>
        <v>43.36981725617042</v>
      </c>
      <c r="E86" s="179">
        <f>IF((E90/365)=0,0,+E87/(E90/365))</f>
        <v>41.141362983118064</v>
      </c>
      <c r="F86" s="13"/>
    </row>
    <row r="87" spans="1:6" ht="24" customHeight="1">
      <c r="A87" s="21">
        <v>18</v>
      </c>
      <c r="B87" s="48" t="s">
        <v>210</v>
      </c>
      <c r="C87" s="51">
        <f>+C69</f>
        <v>9372625</v>
      </c>
      <c r="D87" s="51">
        <f>+D69</f>
        <v>9440760</v>
      </c>
      <c r="E87" s="51">
        <f>+E69</f>
        <v>9128012</v>
      </c>
      <c r="F87" s="28"/>
    </row>
    <row r="88" spans="1:6" ht="24" customHeight="1">
      <c r="A88" s="21">
        <v>19</v>
      </c>
      <c r="B88" s="48" t="s">
        <v>480</v>
      </c>
      <c r="C88" s="51">
        <f aca="true" t="shared" si="0" ref="C88:E89">+C75</f>
        <v>81098944</v>
      </c>
      <c r="D88" s="51">
        <f t="shared" si="0"/>
        <v>83487134</v>
      </c>
      <c r="E88" s="51">
        <f t="shared" si="0"/>
        <v>85401157</v>
      </c>
      <c r="F88" s="28"/>
    </row>
    <row r="89" spans="1:6" ht="24" customHeight="1">
      <c r="A89" s="21">
        <v>20</v>
      </c>
      <c r="B89" s="48" t="s">
        <v>503</v>
      </c>
      <c r="C89" s="52">
        <f t="shared" si="0"/>
        <v>3806881</v>
      </c>
      <c r="D89" s="52">
        <f t="shared" si="0"/>
        <v>4033781</v>
      </c>
      <c r="E89" s="52">
        <f t="shared" si="0"/>
        <v>4418804</v>
      </c>
      <c r="F89" s="28"/>
    </row>
    <row r="90" spans="1:6" ht="24" customHeight="1">
      <c r="A90" s="21">
        <v>21</v>
      </c>
      <c r="B90" s="48" t="s">
        <v>509</v>
      </c>
      <c r="C90" s="51">
        <f>+C88-C89</f>
        <v>77292063</v>
      </c>
      <c r="D90" s="51">
        <f>+D88-D89</f>
        <v>79453353</v>
      </c>
      <c r="E90" s="51">
        <f>+E88-E89</f>
        <v>80982353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510</v>
      </c>
      <c r="B92" s="41" t="s">
        <v>511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512</v>
      </c>
      <c r="C94" s="192">
        <f>IF(C96=0,0,(C95/C96)*100)</f>
        <v>18.64826168180304</v>
      </c>
      <c r="D94" s="192">
        <f>IF(D96=0,0,(D95/D96)*100)</f>
        <v>18.927220302949056</v>
      </c>
      <c r="E94" s="192">
        <f>IF(E96=0,0,(E95/E96)*100)</f>
        <v>-28.936722605178705</v>
      </c>
      <c r="F94" s="28"/>
    </row>
    <row r="95" spans="1:6" ht="24" customHeight="1">
      <c r="A95" s="21">
        <v>2</v>
      </c>
      <c r="B95" s="48" t="s">
        <v>223</v>
      </c>
      <c r="C95" s="51">
        <f>+C32</f>
        <v>12692298</v>
      </c>
      <c r="D95" s="51">
        <f>+D32</f>
        <v>13271987</v>
      </c>
      <c r="E95" s="51">
        <f>+E32</f>
        <v>-20171322</v>
      </c>
      <c r="F95" s="28"/>
    </row>
    <row r="96" spans="1:6" ht="24" customHeight="1">
      <c r="A96" s="21">
        <v>3</v>
      </c>
      <c r="B96" s="48" t="s">
        <v>199</v>
      </c>
      <c r="C96" s="51">
        <v>68061561</v>
      </c>
      <c r="D96" s="51">
        <v>70121163</v>
      </c>
      <c r="E96" s="51">
        <v>69708385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513</v>
      </c>
      <c r="C98" s="192">
        <f>IF(C104=0,0,(C101/C104)*100)</f>
        <v>26.56076100478143</v>
      </c>
      <c r="D98" s="192">
        <f>IF(D104=0,0,(D101/D104)*100)</f>
        <v>20.79321657690838</v>
      </c>
      <c r="E98" s="192">
        <f>IF(E104=0,0,(E101/E104)*100)</f>
        <v>11.218239863091544</v>
      </c>
      <c r="F98" s="28"/>
    </row>
    <row r="99" spans="1:6" ht="24" customHeight="1">
      <c r="A99" s="21">
        <v>5</v>
      </c>
      <c r="B99" s="48" t="s">
        <v>514</v>
      </c>
      <c r="C99" s="51">
        <f>+C28</f>
        <v>2371539</v>
      </c>
      <c r="D99" s="51">
        <f>+D28</f>
        <v>2092451</v>
      </c>
      <c r="E99" s="51">
        <f>+E28</f>
        <v>-1185004</v>
      </c>
      <c r="F99" s="28"/>
    </row>
    <row r="100" spans="1:6" ht="24" customHeight="1">
      <c r="A100" s="21">
        <v>6</v>
      </c>
      <c r="B100" s="48" t="s">
        <v>503</v>
      </c>
      <c r="C100" s="52">
        <f>+C76</f>
        <v>3806881</v>
      </c>
      <c r="D100" s="52">
        <f>+D76</f>
        <v>4033781</v>
      </c>
      <c r="E100" s="52">
        <f>+E76</f>
        <v>4418804</v>
      </c>
      <c r="F100" s="28"/>
    </row>
    <row r="101" spans="1:6" ht="24" customHeight="1">
      <c r="A101" s="21">
        <v>7</v>
      </c>
      <c r="B101" s="48" t="s">
        <v>515</v>
      </c>
      <c r="C101" s="51">
        <f>+C99+C100</f>
        <v>6178420</v>
      </c>
      <c r="D101" s="51">
        <f>+D99+D100</f>
        <v>6126232</v>
      </c>
      <c r="E101" s="51">
        <f>+E99+E100</f>
        <v>3233800</v>
      </c>
      <c r="F101" s="28"/>
    </row>
    <row r="102" spans="1:6" ht="24" customHeight="1">
      <c r="A102" s="21">
        <v>8</v>
      </c>
      <c r="B102" s="48" t="s">
        <v>210</v>
      </c>
      <c r="C102" s="180">
        <f>+C69</f>
        <v>9372625</v>
      </c>
      <c r="D102" s="180">
        <f>+D69</f>
        <v>9440760</v>
      </c>
      <c r="E102" s="180">
        <f>+E69</f>
        <v>9128012</v>
      </c>
      <c r="F102" s="28"/>
    </row>
    <row r="103" spans="1:6" ht="24" customHeight="1">
      <c r="A103" s="21">
        <v>9</v>
      </c>
      <c r="B103" s="48" t="s">
        <v>214</v>
      </c>
      <c r="C103" s="194">
        <v>13888832</v>
      </c>
      <c r="D103" s="194">
        <v>20021887</v>
      </c>
      <c r="E103" s="194">
        <v>19698257</v>
      </c>
      <c r="F103" s="28"/>
    </row>
    <row r="104" spans="1:6" ht="24" customHeight="1">
      <c r="A104" s="21">
        <v>10</v>
      </c>
      <c r="B104" s="195" t="s">
        <v>516</v>
      </c>
      <c r="C104" s="180">
        <f>+C102+C103</f>
        <v>23261457</v>
      </c>
      <c r="D104" s="180">
        <f>+D102+D103</f>
        <v>29462647</v>
      </c>
      <c r="E104" s="180">
        <f>+E102+E103</f>
        <v>28826269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517</v>
      </c>
      <c r="C106" s="197">
        <f>IF(C109=0,0,(C107/C109)*100)</f>
        <v>52.25072071804321</v>
      </c>
      <c r="D106" s="197">
        <f>IF(D109=0,0,(D107/D109)*100)</f>
        <v>60.13684980005631</v>
      </c>
      <c r="E106" s="197">
        <f>IF(E109=0,0,(E107/E109)*100)</f>
        <v>-4163.964148689926</v>
      </c>
      <c r="F106" s="28"/>
    </row>
    <row r="107" spans="1:6" ht="24" customHeight="1">
      <c r="A107" s="17">
        <v>12</v>
      </c>
      <c r="B107" s="48" t="s">
        <v>214</v>
      </c>
      <c r="C107" s="180">
        <f>+C103</f>
        <v>13888832</v>
      </c>
      <c r="D107" s="180">
        <f>+D103</f>
        <v>20021887</v>
      </c>
      <c r="E107" s="180">
        <f>+E103</f>
        <v>19698257</v>
      </c>
      <c r="F107" s="28"/>
    </row>
    <row r="108" spans="1:6" ht="24" customHeight="1">
      <c r="A108" s="17">
        <v>13</v>
      </c>
      <c r="B108" s="48" t="s">
        <v>223</v>
      </c>
      <c r="C108" s="180">
        <f>+C32</f>
        <v>12692298</v>
      </c>
      <c r="D108" s="180">
        <f>+D32</f>
        <v>13271987</v>
      </c>
      <c r="E108" s="180">
        <f>+E32</f>
        <v>-20171322</v>
      </c>
      <c r="F108" s="28"/>
    </row>
    <row r="109" spans="1:6" ht="24" customHeight="1">
      <c r="A109" s="17">
        <v>14</v>
      </c>
      <c r="B109" s="48" t="s">
        <v>518</v>
      </c>
      <c r="C109" s="180">
        <f>+C107+C108</f>
        <v>26581130</v>
      </c>
      <c r="D109" s="180">
        <f>+D107+D108</f>
        <v>33293874</v>
      </c>
      <c r="E109" s="180">
        <f>+E107+E108</f>
        <v>-473065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519</v>
      </c>
      <c r="C111" s="197">
        <f>IF((+C113+C115)=0,0,((+C112+C113+C114)/(+C113+C115)))</f>
        <v>5.530181436904025</v>
      </c>
      <c r="D111" s="197">
        <f>IF((+D113+D115)=0,0,((+D112+D113+D114)/(+D113+D115)))</f>
        <v>6.028966769524269</v>
      </c>
      <c r="E111" s="197">
        <f>IF((+E113+E115)=0,0,((+E112+E113+E114)/(+E113+E115)))</f>
        <v>1.4906847019028766</v>
      </c>
    </row>
    <row r="112" spans="1:6" ht="24" customHeight="1">
      <c r="A112" s="17">
        <v>16</v>
      </c>
      <c r="B112" s="48" t="s">
        <v>520</v>
      </c>
      <c r="C112" s="180">
        <f>+C17</f>
        <v>2371539</v>
      </c>
      <c r="D112" s="180">
        <f>+D17</f>
        <v>2092451</v>
      </c>
      <c r="E112" s="180">
        <f>+E17</f>
        <v>-1185004</v>
      </c>
      <c r="F112" s="28"/>
    </row>
    <row r="113" spans="1:6" ht="24" customHeight="1">
      <c r="A113" s="17">
        <v>17</v>
      </c>
      <c r="B113" s="48" t="s">
        <v>342</v>
      </c>
      <c r="C113" s="180">
        <v>1363835</v>
      </c>
      <c r="D113" s="180">
        <v>1218189</v>
      </c>
      <c r="E113" s="180">
        <v>1483430</v>
      </c>
      <c r="F113" s="28"/>
    </row>
    <row r="114" spans="1:6" ht="24" customHeight="1">
      <c r="A114" s="17">
        <v>18</v>
      </c>
      <c r="B114" s="48" t="s">
        <v>521</v>
      </c>
      <c r="C114" s="180">
        <v>3806881</v>
      </c>
      <c r="D114" s="180">
        <v>4033781</v>
      </c>
      <c r="E114" s="180">
        <v>4418804</v>
      </c>
      <c r="F114" s="28"/>
    </row>
    <row r="115" spans="1:6" ht="24" customHeight="1">
      <c r="A115" s="17">
        <v>19</v>
      </c>
      <c r="B115" s="48" t="s">
        <v>258</v>
      </c>
      <c r="C115" s="180">
        <v>0</v>
      </c>
      <c r="D115" s="180">
        <v>0</v>
      </c>
      <c r="E115" s="180">
        <v>1681042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522</v>
      </c>
      <c r="B117" s="30" t="s">
        <v>523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524</v>
      </c>
      <c r="C119" s="197">
        <f>IF(+C121=0,0,(+C120)/(+C121))</f>
        <v>12.82076718447464</v>
      </c>
      <c r="D119" s="197">
        <f>IF(+D121=0,0,(+D120)/(+D121))</f>
        <v>13.082644050333917</v>
      </c>
      <c r="E119" s="197">
        <f>IF(+E121=0,0,(+E120)/(+E121))</f>
        <v>13.121617297350143</v>
      </c>
    </row>
    <row r="120" spans="1:6" ht="24" customHeight="1">
      <c r="A120" s="17">
        <v>21</v>
      </c>
      <c r="B120" s="48" t="s">
        <v>525</v>
      </c>
      <c r="C120" s="180">
        <v>48807135</v>
      </c>
      <c r="D120" s="180">
        <v>52772521</v>
      </c>
      <c r="E120" s="180">
        <v>57981855</v>
      </c>
      <c r="F120" s="28"/>
    </row>
    <row r="121" spans="1:6" ht="24" customHeight="1">
      <c r="A121" s="17">
        <v>22</v>
      </c>
      <c r="B121" s="48" t="s">
        <v>521</v>
      </c>
      <c r="C121" s="180">
        <v>3806881</v>
      </c>
      <c r="D121" s="180">
        <v>4033781</v>
      </c>
      <c r="E121" s="180">
        <v>4418804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526</v>
      </c>
      <c r="B123" s="30" t="s">
        <v>527</v>
      </c>
      <c r="C123" s="27"/>
      <c r="D123" s="27"/>
      <c r="E123" s="53"/>
    </row>
    <row r="124" spans="1:5" ht="24" customHeight="1">
      <c r="A124" s="44">
        <v>1</v>
      </c>
      <c r="B124" s="48" t="s">
        <v>528</v>
      </c>
      <c r="C124" s="198">
        <v>21595</v>
      </c>
      <c r="D124" s="198">
        <v>21050</v>
      </c>
      <c r="E124" s="198">
        <v>20696</v>
      </c>
    </row>
    <row r="125" spans="1:5" ht="24" customHeight="1">
      <c r="A125" s="44">
        <v>2</v>
      </c>
      <c r="B125" s="48" t="s">
        <v>529</v>
      </c>
      <c r="C125" s="198">
        <v>5713</v>
      </c>
      <c r="D125" s="198">
        <v>5744</v>
      </c>
      <c r="E125" s="198">
        <v>5343</v>
      </c>
    </row>
    <row r="126" spans="1:5" ht="24" customHeight="1">
      <c r="A126" s="44">
        <v>3</v>
      </c>
      <c r="B126" s="48" t="s">
        <v>530</v>
      </c>
      <c r="C126" s="199">
        <f>IF(C125=0,0,C124/C125)</f>
        <v>3.7799754944862594</v>
      </c>
      <c r="D126" s="199">
        <f>IF(D125=0,0,D124/D125)</f>
        <v>3.6646935933147633</v>
      </c>
      <c r="E126" s="199">
        <f>IF(E125=0,0,E124/E125)</f>
        <v>3.8734793187347933</v>
      </c>
    </row>
    <row r="127" spans="1:5" ht="24" customHeight="1">
      <c r="A127" s="44">
        <v>4</v>
      </c>
      <c r="B127" s="48" t="s">
        <v>531</v>
      </c>
      <c r="C127" s="198">
        <v>87</v>
      </c>
      <c r="D127" s="198">
        <v>87</v>
      </c>
      <c r="E127" s="198">
        <v>87</v>
      </c>
    </row>
    <row r="128" spans="1:8" ht="24" customHeight="1">
      <c r="A128" s="44">
        <v>5</v>
      </c>
      <c r="B128" s="48" t="s">
        <v>532</v>
      </c>
      <c r="C128" s="198">
        <v>0</v>
      </c>
      <c r="D128" s="198">
        <v>0</v>
      </c>
      <c r="E128" s="198">
        <v>144</v>
      </c>
      <c r="G128" s="6"/>
      <c r="H128" s="12"/>
    </row>
    <row r="129" spans="1:8" ht="24" customHeight="1">
      <c r="A129" s="44">
        <v>6</v>
      </c>
      <c r="B129" s="48" t="s">
        <v>533</v>
      </c>
      <c r="C129" s="198">
        <v>144</v>
      </c>
      <c r="D129" s="198">
        <v>144</v>
      </c>
      <c r="E129" s="198">
        <v>144</v>
      </c>
      <c r="G129" s="6"/>
      <c r="H129" s="12"/>
    </row>
    <row r="130" spans="1:5" ht="24" customHeight="1">
      <c r="A130" s="44">
        <v>6</v>
      </c>
      <c r="B130" s="48" t="s">
        <v>534</v>
      </c>
      <c r="C130" s="171">
        <v>0.68</v>
      </c>
      <c r="D130" s="171">
        <v>0.6628</v>
      </c>
      <c r="E130" s="171">
        <v>0.6517</v>
      </c>
    </row>
    <row r="131" spans="1:5" ht="24" customHeight="1">
      <c r="A131" s="44">
        <v>7</v>
      </c>
      <c r="B131" s="48" t="s">
        <v>535</v>
      </c>
      <c r="C131" s="171">
        <v>0.4108</v>
      </c>
      <c r="D131" s="171">
        <v>0.4004</v>
      </c>
      <c r="E131" s="171">
        <v>0.3937</v>
      </c>
    </row>
    <row r="132" spans="1:5" ht="24" customHeight="1">
      <c r="A132" s="44">
        <v>8</v>
      </c>
      <c r="B132" s="48" t="s">
        <v>536</v>
      </c>
      <c r="C132" s="199">
        <v>584</v>
      </c>
      <c r="D132" s="199">
        <v>594.8</v>
      </c>
      <c r="E132" s="199">
        <v>608</v>
      </c>
    </row>
    <row r="133" ht="24" customHeight="1">
      <c r="B133" s="55"/>
    </row>
    <row r="134" spans="1:6" ht="19.5" customHeight="1">
      <c r="A134" s="200" t="s">
        <v>168</v>
      </c>
      <c r="B134" s="30" t="s">
        <v>537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538</v>
      </c>
      <c r="C135" s="203">
        <f>IF(C149=0,0,C143/C149)</f>
        <v>0.39947401427952717</v>
      </c>
      <c r="D135" s="203">
        <f>IF(D149=0,0,D143/D149)</f>
        <v>0.3919224763355958</v>
      </c>
      <c r="E135" s="203">
        <f>IF(E149=0,0,E143/E149)</f>
        <v>0.38672325281755093</v>
      </c>
      <c r="G135" s="6"/>
    </row>
    <row r="136" spans="1:5" ht="19.5" customHeight="1">
      <c r="A136" s="202">
        <v>2</v>
      </c>
      <c r="B136" s="195" t="s">
        <v>539</v>
      </c>
      <c r="C136" s="203">
        <f>IF(C149=0,0,C144/C149)</f>
        <v>0.4041191017465434</v>
      </c>
      <c r="D136" s="203">
        <f>IF(D149=0,0,D144/D149)</f>
        <v>0.3957106211029411</v>
      </c>
      <c r="E136" s="203">
        <f>IF(E149=0,0,E144/E149)</f>
        <v>0.3995072915567347</v>
      </c>
    </row>
    <row r="137" spans="1:7" ht="19.5" customHeight="1">
      <c r="A137" s="202">
        <v>3</v>
      </c>
      <c r="B137" s="195" t="s">
        <v>540</v>
      </c>
      <c r="C137" s="203">
        <f>IF(C149=0,0,C145/C149)</f>
        <v>0.12026213882140474</v>
      </c>
      <c r="D137" s="203">
        <f>IF(D149=0,0,D145/D149)</f>
        <v>0.13406473971363864</v>
      </c>
      <c r="E137" s="203">
        <f>IF(E149=0,0,E145/E149)</f>
        <v>0.1369006876834399</v>
      </c>
      <c r="G137" s="6"/>
    </row>
    <row r="138" spans="1:7" ht="19.5" customHeight="1">
      <c r="A138" s="202">
        <v>4</v>
      </c>
      <c r="B138" s="195" t="s">
        <v>541</v>
      </c>
      <c r="C138" s="203">
        <f>IF(C149=0,0,C146/C149)</f>
        <v>0.04437906086315169</v>
      </c>
      <c r="D138" s="203">
        <f>IF(D149=0,0,D146/D149)</f>
        <v>0.04705643798692209</v>
      </c>
      <c r="E138" s="203">
        <f>IF(E149=0,0,E146/E149)</f>
        <v>0.05170156041569308</v>
      </c>
      <c r="G138" s="6"/>
    </row>
    <row r="139" spans="1:5" ht="19.5" customHeight="1">
      <c r="A139" s="202">
        <v>5</v>
      </c>
      <c r="B139" s="195" t="s">
        <v>542</v>
      </c>
      <c r="C139" s="203">
        <f>IF(C149=0,0,C147/C149)</f>
        <v>0.028720888209180832</v>
      </c>
      <c r="D139" s="203">
        <f>IF(D149=0,0,D147/D149)</f>
        <v>0.028422646948992415</v>
      </c>
      <c r="E139" s="203">
        <f>IF(E149=0,0,E147/E149)</f>
        <v>0.022070462304656084</v>
      </c>
    </row>
    <row r="140" spans="1:5" ht="19.5" customHeight="1">
      <c r="A140" s="202">
        <v>6</v>
      </c>
      <c r="B140" s="195" t="s">
        <v>543</v>
      </c>
      <c r="C140" s="203">
        <f>IF(C149=0,0,C148/C149)</f>
        <v>0.003044796080192131</v>
      </c>
      <c r="D140" s="203">
        <f>IF(D149=0,0,D148/D149)</f>
        <v>0.0028230779119099874</v>
      </c>
      <c r="E140" s="203">
        <f>IF(E149=0,0,E148/E149)</f>
        <v>0.0030967452219253103</v>
      </c>
    </row>
    <row r="141" spans="1:5" ht="19.5" customHeight="1">
      <c r="A141" s="202">
        <v>7</v>
      </c>
      <c r="B141" s="195" t="s">
        <v>544</v>
      </c>
      <c r="C141" s="203">
        <f>SUM(C135:C140)</f>
        <v>0.9999999999999999</v>
      </c>
      <c r="D141" s="203">
        <f>SUM(D135:D140)</f>
        <v>0.9999999999999999</v>
      </c>
      <c r="E141" s="203">
        <f>SUM(E135:E140)</f>
        <v>0.9999999999999999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545</v>
      </c>
      <c r="C143" s="204">
        <f>+C46-C147</f>
        <v>76298874</v>
      </c>
      <c r="D143" s="205">
        <f>+D46-D147</f>
        <v>75952563</v>
      </c>
      <c r="E143" s="205">
        <f>+E46-E147</f>
        <v>73548526</v>
      </c>
    </row>
    <row r="144" spans="1:5" ht="19.5" customHeight="1">
      <c r="A144" s="202">
        <v>9</v>
      </c>
      <c r="B144" s="201" t="s">
        <v>546</v>
      </c>
      <c r="C144" s="206">
        <f>+C51</f>
        <v>77186078</v>
      </c>
      <c r="D144" s="205">
        <f>+D51</f>
        <v>76686686</v>
      </c>
      <c r="E144" s="205">
        <f>+E51</f>
        <v>75979844</v>
      </c>
    </row>
    <row r="145" spans="1:5" ht="19.5" customHeight="1">
      <c r="A145" s="202">
        <v>10</v>
      </c>
      <c r="B145" s="201" t="s">
        <v>547</v>
      </c>
      <c r="C145" s="206">
        <f>+C55</f>
        <v>22969869</v>
      </c>
      <c r="D145" s="205">
        <f>+D55</f>
        <v>25981058</v>
      </c>
      <c r="E145" s="205">
        <f>+E55</f>
        <v>26036303</v>
      </c>
    </row>
    <row r="146" spans="1:5" ht="19.5" customHeight="1">
      <c r="A146" s="202">
        <v>11</v>
      </c>
      <c r="B146" s="201" t="s">
        <v>548</v>
      </c>
      <c r="C146" s="204">
        <v>8476327</v>
      </c>
      <c r="D146" s="205">
        <v>9119296</v>
      </c>
      <c r="E146" s="205">
        <v>9832803</v>
      </c>
    </row>
    <row r="147" spans="1:5" ht="19.5" customHeight="1">
      <c r="A147" s="202">
        <v>12</v>
      </c>
      <c r="B147" s="201" t="s">
        <v>549</v>
      </c>
      <c r="C147" s="206">
        <f>+C47</f>
        <v>5485642</v>
      </c>
      <c r="D147" s="205">
        <f>+D47</f>
        <v>5508163</v>
      </c>
      <c r="E147" s="205">
        <f>+E47</f>
        <v>4197446</v>
      </c>
    </row>
    <row r="148" spans="1:5" ht="19.5" customHeight="1">
      <c r="A148" s="202">
        <v>13</v>
      </c>
      <c r="B148" s="201" t="s">
        <v>550</v>
      </c>
      <c r="C148" s="206">
        <v>581551</v>
      </c>
      <c r="D148" s="205">
        <v>547098</v>
      </c>
      <c r="E148" s="205">
        <v>588951</v>
      </c>
    </row>
    <row r="149" spans="1:5" ht="19.5" customHeight="1">
      <c r="A149" s="202">
        <v>14</v>
      </c>
      <c r="B149" s="201" t="s">
        <v>551</v>
      </c>
      <c r="C149" s="204">
        <f>SUM(C143:C148)</f>
        <v>190998341</v>
      </c>
      <c r="D149" s="205">
        <f>SUM(D143:D148)</f>
        <v>193794864</v>
      </c>
      <c r="E149" s="205">
        <f>SUM(E143:E148)</f>
        <v>190183873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552</v>
      </c>
      <c r="B151" s="30" t="s">
        <v>553</v>
      </c>
      <c r="C151" s="201"/>
      <c r="D151" s="201"/>
      <c r="E151" s="201"/>
    </row>
    <row r="152" spans="1:5" ht="19.5" customHeight="1">
      <c r="A152" s="202">
        <v>1</v>
      </c>
      <c r="B152" s="195" t="s">
        <v>554</v>
      </c>
      <c r="C152" s="203">
        <f>IF(C166=0,0,C160/C166)</f>
        <v>0.45512284468954334</v>
      </c>
      <c r="D152" s="203">
        <f>IF(D166=0,0,D160/D166)</f>
        <v>0.42366114938119154</v>
      </c>
      <c r="E152" s="203">
        <f>IF(E166=0,0,E160/E166)</f>
        <v>0.42703383827489616</v>
      </c>
    </row>
    <row r="153" spans="1:5" ht="19.5" customHeight="1">
      <c r="A153" s="202">
        <v>2</v>
      </c>
      <c r="B153" s="195" t="s">
        <v>555</v>
      </c>
      <c r="C153" s="203">
        <f>IF(C166=0,0,C161/C166)</f>
        <v>0.40569820194669826</v>
      </c>
      <c r="D153" s="203">
        <f>IF(D166=0,0,D161/D166)</f>
        <v>0.43560701612855834</v>
      </c>
      <c r="E153" s="203">
        <f>IF(E166=0,0,E161/E166)</f>
        <v>0.4252511708999999</v>
      </c>
    </row>
    <row r="154" spans="1:5" ht="19.5" customHeight="1">
      <c r="A154" s="202">
        <v>3</v>
      </c>
      <c r="B154" s="195" t="s">
        <v>556</v>
      </c>
      <c r="C154" s="203">
        <f>IF(C166=0,0,C162/C166)</f>
        <v>0.10612033245051145</v>
      </c>
      <c r="D154" s="203">
        <f>IF(D166=0,0,D162/D166)</f>
        <v>0.11272068372394839</v>
      </c>
      <c r="E154" s="203">
        <f>IF(E166=0,0,E162/E166)</f>
        <v>0.1209351289906581</v>
      </c>
    </row>
    <row r="155" spans="1:7" ht="19.5" customHeight="1">
      <c r="A155" s="202">
        <v>4</v>
      </c>
      <c r="B155" s="195" t="s">
        <v>557</v>
      </c>
      <c r="C155" s="203">
        <f>IF(C166=0,0,C163/C166)</f>
        <v>0.024369604223284977</v>
      </c>
      <c r="D155" s="203">
        <f>IF(D166=0,0,D163/D166)</f>
        <v>0.019475134019900257</v>
      </c>
      <c r="E155" s="203">
        <f>IF(E166=0,0,E163/E166)</f>
        <v>0.020699139413921524</v>
      </c>
      <c r="G155" s="6"/>
    </row>
    <row r="156" spans="1:5" ht="19.5" customHeight="1">
      <c r="A156" s="202">
        <v>5</v>
      </c>
      <c r="B156" s="195" t="s">
        <v>558</v>
      </c>
      <c r="C156" s="203">
        <f>IF(C166=0,0,C164/C166)</f>
        <v>0.005965696893832609</v>
      </c>
      <c r="D156" s="203">
        <f>IF(D166=0,0,D164/D166)</f>
        <v>0.005656259942362628</v>
      </c>
      <c r="E156" s="203">
        <f>IF(E166=0,0,E164/E166)</f>
        <v>0.0031792199500911386</v>
      </c>
    </row>
    <row r="157" spans="1:5" ht="19.5" customHeight="1">
      <c r="A157" s="202">
        <v>6</v>
      </c>
      <c r="B157" s="195" t="s">
        <v>559</v>
      </c>
      <c r="C157" s="203">
        <f>IF(C166=0,0,C165/C166)</f>
        <v>0.0027233197961293756</v>
      </c>
      <c r="D157" s="203">
        <f>IF(D166=0,0,D165/D166)</f>
        <v>0.002879756804038813</v>
      </c>
      <c r="E157" s="203">
        <f>IF(E166=0,0,E165/E166)</f>
        <v>0.002901502470433175</v>
      </c>
    </row>
    <row r="158" spans="1:5" ht="19.5" customHeight="1">
      <c r="A158" s="202">
        <v>7</v>
      </c>
      <c r="B158" s="195" t="s">
        <v>560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561</v>
      </c>
      <c r="C160" s="207">
        <f>+C44-C164</f>
        <v>32273328</v>
      </c>
      <c r="D160" s="208">
        <f>+D44-D164</f>
        <v>32299682</v>
      </c>
      <c r="E160" s="208">
        <f>+E44-E164</f>
        <v>33722325</v>
      </c>
    </row>
    <row r="161" spans="1:5" ht="19.5" customHeight="1">
      <c r="A161" s="202">
        <v>9</v>
      </c>
      <c r="B161" s="201" t="s">
        <v>562</v>
      </c>
      <c r="C161" s="209">
        <f>+C50</f>
        <v>28768565</v>
      </c>
      <c r="D161" s="208">
        <f>+D50</f>
        <v>33210428</v>
      </c>
      <c r="E161" s="208">
        <f>+E50</f>
        <v>33581550</v>
      </c>
    </row>
    <row r="162" spans="1:5" ht="19.5" customHeight="1">
      <c r="A162" s="202">
        <v>10</v>
      </c>
      <c r="B162" s="201" t="s">
        <v>563</v>
      </c>
      <c r="C162" s="209">
        <f>+C54</f>
        <v>7525125</v>
      </c>
      <c r="D162" s="208">
        <f>+D54</f>
        <v>8593760</v>
      </c>
      <c r="E162" s="208">
        <f>+E54</f>
        <v>9550095</v>
      </c>
    </row>
    <row r="163" spans="1:5" ht="19.5" customHeight="1">
      <c r="A163" s="202">
        <v>11</v>
      </c>
      <c r="B163" s="201" t="s">
        <v>564</v>
      </c>
      <c r="C163" s="207">
        <v>1728079</v>
      </c>
      <c r="D163" s="208">
        <v>1484773</v>
      </c>
      <c r="E163" s="208">
        <v>1634585</v>
      </c>
    </row>
    <row r="164" spans="1:5" ht="19.5" customHeight="1">
      <c r="A164" s="202">
        <v>12</v>
      </c>
      <c r="B164" s="201" t="s">
        <v>565</v>
      </c>
      <c r="C164" s="209">
        <f>+C45</f>
        <v>423035</v>
      </c>
      <c r="D164" s="208">
        <f>+D45</f>
        <v>431230</v>
      </c>
      <c r="E164" s="208">
        <f>+E45</f>
        <v>251059</v>
      </c>
    </row>
    <row r="165" spans="1:5" ht="19.5" customHeight="1">
      <c r="A165" s="202">
        <v>13</v>
      </c>
      <c r="B165" s="201" t="s">
        <v>566</v>
      </c>
      <c r="C165" s="209">
        <v>193114</v>
      </c>
      <c r="D165" s="208">
        <v>219551</v>
      </c>
      <c r="E165" s="208">
        <v>229128</v>
      </c>
    </row>
    <row r="166" spans="1:5" ht="19.5" customHeight="1">
      <c r="A166" s="202">
        <v>14</v>
      </c>
      <c r="B166" s="201" t="s">
        <v>567</v>
      </c>
      <c r="C166" s="207">
        <f>SUM(C160:C165)</f>
        <v>70911246</v>
      </c>
      <c r="D166" s="208">
        <f>SUM(D160:D165)</f>
        <v>76239424</v>
      </c>
      <c r="E166" s="208">
        <f>SUM(E160:E165)</f>
        <v>78968742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568</v>
      </c>
      <c r="B168" s="30" t="s">
        <v>529</v>
      </c>
      <c r="C168" s="201"/>
      <c r="D168" s="201"/>
      <c r="E168" s="201"/>
    </row>
    <row r="169" spans="1:5" ht="19.5" customHeight="1">
      <c r="A169" s="202">
        <v>1</v>
      </c>
      <c r="B169" s="201" t="s">
        <v>569</v>
      </c>
      <c r="C169" s="198">
        <v>1750</v>
      </c>
      <c r="D169" s="198">
        <v>1707</v>
      </c>
      <c r="E169" s="198">
        <v>1601</v>
      </c>
    </row>
    <row r="170" spans="1:5" ht="19.5" customHeight="1">
      <c r="A170" s="202">
        <v>2</v>
      </c>
      <c r="B170" s="201" t="s">
        <v>570</v>
      </c>
      <c r="C170" s="198">
        <v>2656</v>
      </c>
      <c r="D170" s="198">
        <v>2628</v>
      </c>
      <c r="E170" s="198">
        <v>2534</v>
      </c>
    </row>
    <row r="171" spans="1:5" ht="19.5" customHeight="1">
      <c r="A171" s="202">
        <v>3</v>
      </c>
      <c r="B171" s="201" t="s">
        <v>571</v>
      </c>
      <c r="C171" s="198">
        <v>1289</v>
      </c>
      <c r="D171" s="198">
        <v>1397</v>
      </c>
      <c r="E171" s="198">
        <v>1195</v>
      </c>
    </row>
    <row r="172" spans="1:5" ht="19.5" customHeight="1">
      <c r="A172" s="202">
        <v>4</v>
      </c>
      <c r="B172" s="201" t="s">
        <v>572</v>
      </c>
      <c r="C172" s="198">
        <v>1006</v>
      </c>
      <c r="D172" s="198">
        <v>1144</v>
      </c>
      <c r="E172" s="198">
        <v>961</v>
      </c>
    </row>
    <row r="173" spans="1:5" ht="19.5" customHeight="1">
      <c r="A173" s="202">
        <v>5</v>
      </c>
      <c r="B173" s="201" t="s">
        <v>573</v>
      </c>
      <c r="C173" s="198">
        <v>283</v>
      </c>
      <c r="D173" s="198">
        <v>253</v>
      </c>
      <c r="E173" s="198">
        <v>234</v>
      </c>
    </row>
    <row r="174" spans="1:5" ht="19.5" customHeight="1">
      <c r="A174" s="202">
        <v>6</v>
      </c>
      <c r="B174" s="201" t="s">
        <v>574</v>
      </c>
      <c r="C174" s="198">
        <v>18</v>
      </c>
      <c r="D174" s="198">
        <v>12</v>
      </c>
      <c r="E174" s="198">
        <v>13</v>
      </c>
    </row>
    <row r="175" spans="1:5" ht="19.5" customHeight="1">
      <c r="A175" s="202">
        <v>7</v>
      </c>
      <c r="B175" s="201" t="s">
        <v>575</v>
      </c>
      <c r="C175" s="198">
        <v>124</v>
      </c>
      <c r="D175" s="198">
        <v>143</v>
      </c>
      <c r="E175" s="198">
        <v>87</v>
      </c>
    </row>
    <row r="176" spans="1:5" ht="19.5" customHeight="1">
      <c r="A176" s="202">
        <v>8</v>
      </c>
      <c r="B176" s="201" t="s">
        <v>576</v>
      </c>
      <c r="C176" s="198">
        <f>+C169+C170+C171+C174</f>
        <v>5713</v>
      </c>
      <c r="D176" s="198">
        <f>+D169+D170+D171+D174</f>
        <v>5744</v>
      </c>
      <c r="E176" s="198">
        <f>+E169+E170+E171+E174</f>
        <v>5343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577</v>
      </c>
      <c r="B178" s="30" t="s">
        <v>578</v>
      </c>
      <c r="C178" s="201"/>
      <c r="D178" s="201"/>
      <c r="E178" s="201"/>
    </row>
    <row r="179" spans="1:5" ht="19.5" customHeight="1">
      <c r="A179" s="202">
        <v>1</v>
      </c>
      <c r="B179" s="201" t="s">
        <v>569</v>
      </c>
      <c r="C179" s="210">
        <v>0.8969</v>
      </c>
      <c r="D179" s="210">
        <v>0.9449</v>
      </c>
      <c r="E179" s="210">
        <v>0.942</v>
      </c>
    </row>
    <row r="180" spans="1:5" ht="19.5" customHeight="1">
      <c r="A180" s="202">
        <v>2</v>
      </c>
      <c r="B180" s="201" t="s">
        <v>570</v>
      </c>
      <c r="C180" s="210">
        <v>1.1808</v>
      </c>
      <c r="D180" s="210">
        <v>1.169</v>
      </c>
      <c r="E180" s="210">
        <v>1.1832</v>
      </c>
    </row>
    <row r="181" spans="1:5" ht="19.5" customHeight="1">
      <c r="A181" s="202">
        <v>3</v>
      </c>
      <c r="B181" s="201" t="s">
        <v>571</v>
      </c>
      <c r="C181" s="210">
        <v>0.809854</v>
      </c>
      <c r="D181" s="210">
        <v>0.800269</v>
      </c>
      <c r="E181" s="210">
        <v>0.779513</v>
      </c>
    </row>
    <row r="182" spans="1:5" ht="19.5" customHeight="1">
      <c r="A182" s="202">
        <v>4</v>
      </c>
      <c r="B182" s="201" t="s">
        <v>572</v>
      </c>
      <c r="C182" s="210">
        <v>0.7311</v>
      </c>
      <c r="D182" s="210">
        <v>0.7563</v>
      </c>
      <c r="E182" s="210">
        <v>0.7489</v>
      </c>
    </row>
    <row r="183" spans="1:5" ht="19.5" customHeight="1">
      <c r="A183" s="202">
        <v>5</v>
      </c>
      <c r="B183" s="201" t="s">
        <v>573</v>
      </c>
      <c r="C183" s="210">
        <v>1.08981</v>
      </c>
      <c r="D183" s="210">
        <v>0.99909</v>
      </c>
      <c r="E183" s="210">
        <v>0.90524</v>
      </c>
    </row>
    <row r="184" spans="1:5" ht="19.5" customHeight="1">
      <c r="A184" s="202">
        <v>6</v>
      </c>
      <c r="B184" s="201" t="s">
        <v>574</v>
      </c>
      <c r="C184" s="210">
        <v>0.8635</v>
      </c>
      <c r="D184" s="210">
        <v>1.0473</v>
      </c>
      <c r="E184" s="210">
        <v>0.955</v>
      </c>
    </row>
    <row r="185" spans="1:5" ht="19.5" customHeight="1">
      <c r="A185" s="202">
        <v>7</v>
      </c>
      <c r="B185" s="201" t="s">
        <v>575</v>
      </c>
      <c r="C185" s="210">
        <v>0.8341</v>
      </c>
      <c r="D185" s="210">
        <v>1.051</v>
      </c>
      <c r="E185" s="210">
        <v>0.836</v>
      </c>
    </row>
    <row r="186" spans="1:5" ht="19.5" customHeight="1">
      <c r="A186" s="202">
        <v>8</v>
      </c>
      <c r="B186" s="201" t="s">
        <v>579</v>
      </c>
      <c r="C186" s="210">
        <v>1.009141</v>
      </c>
      <c r="D186" s="210">
        <v>1.012468</v>
      </c>
      <c r="E186" s="210">
        <v>1.020083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580</v>
      </c>
      <c r="B188" s="30" t="s">
        <v>581</v>
      </c>
      <c r="C188" s="201"/>
      <c r="D188" s="201"/>
      <c r="E188" s="201"/>
    </row>
    <row r="189" spans="1:5" ht="19.5" customHeight="1">
      <c r="A189" s="202">
        <v>1</v>
      </c>
      <c r="B189" s="201" t="s">
        <v>582</v>
      </c>
      <c r="C189" s="198">
        <v>3987</v>
      </c>
      <c r="D189" s="198">
        <v>3890</v>
      </c>
      <c r="E189" s="198">
        <v>3721</v>
      </c>
    </row>
    <row r="190" spans="1:5" ht="19.5" customHeight="1">
      <c r="A190" s="202">
        <v>2</v>
      </c>
      <c r="B190" s="201" t="s">
        <v>583</v>
      </c>
      <c r="C190" s="198">
        <v>22515</v>
      </c>
      <c r="D190" s="198">
        <v>24778</v>
      </c>
      <c r="E190" s="198">
        <v>26293</v>
      </c>
    </row>
    <row r="191" spans="1:5" ht="19.5" customHeight="1">
      <c r="A191" s="202">
        <v>3</v>
      </c>
      <c r="B191" s="201" t="s">
        <v>584</v>
      </c>
      <c r="C191" s="198">
        <f>+C190+C189</f>
        <v>26502</v>
      </c>
      <c r="D191" s="198">
        <f>+D190+D189</f>
        <v>28668</v>
      </c>
      <c r="E191" s="198">
        <f>+E190+E189</f>
        <v>30014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FILING&amp;RWINDHAM COMMUNITY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156</v>
      </c>
      <c r="B2" s="660"/>
      <c r="C2" s="660"/>
      <c r="D2" s="660"/>
      <c r="E2" s="660"/>
      <c r="F2" s="660"/>
    </row>
    <row r="3" spans="1:6" ht="20.25" customHeight="1">
      <c r="A3" s="660" t="s">
        <v>157</v>
      </c>
      <c r="B3" s="660"/>
      <c r="C3" s="660"/>
      <c r="D3" s="660"/>
      <c r="E3" s="660"/>
      <c r="F3" s="660"/>
    </row>
    <row r="4" spans="1:6" ht="20.25" customHeight="1">
      <c r="A4" s="660" t="s">
        <v>158</v>
      </c>
      <c r="B4" s="660"/>
      <c r="C4" s="660"/>
      <c r="D4" s="660"/>
      <c r="E4" s="660"/>
      <c r="F4" s="660"/>
    </row>
    <row r="5" spans="1:6" ht="20.25" customHeight="1">
      <c r="A5" s="660" t="s">
        <v>585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310</v>
      </c>
      <c r="B8" s="221" t="s">
        <v>165</v>
      </c>
      <c r="C8" s="222" t="s">
        <v>586</v>
      </c>
      <c r="D8" s="223" t="s">
        <v>587</v>
      </c>
      <c r="E8" s="223" t="s">
        <v>588</v>
      </c>
      <c r="F8" s="224" t="s">
        <v>264</v>
      </c>
      <c r="G8" s="212"/>
    </row>
    <row r="9" spans="1:7" ht="20.25" customHeight="1">
      <c r="A9" s="225"/>
      <c r="B9" s="226"/>
      <c r="C9" s="661"/>
      <c r="D9" s="687"/>
      <c r="E9" s="687"/>
      <c r="F9" s="688"/>
      <c r="G9" s="212"/>
    </row>
    <row r="10" spans="1:6" ht="20.25" customHeight="1">
      <c r="A10" s="689" t="s">
        <v>168</v>
      </c>
      <c r="B10" s="690" t="s">
        <v>269</v>
      </c>
      <c r="C10" s="692"/>
      <c r="D10" s="693"/>
      <c r="E10" s="693"/>
      <c r="F10" s="694"/>
    </row>
    <row r="11" spans="1:6" ht="20.25" customHeight="1">
      <c r="A11" s="677"/>
      <c r="B11" s="691"/>
      <c r="C11" s="683"/>
      <c r="D11" s="684"/>
      <c r="E11" s="684"/>
      <c r="F11" s="685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266</v>
      </c>
      <c r="B13" s="231" t="s">
        <v>589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590</v>
      </c>
      <c r="C14" s="237">
        <v>6335</v>
      </c>
      <c r="D14" s="237">
        <v>77922</v>
      </c>
      <c r="E14" s="237">
        <f aca="true" t="shared" si="0" ref="E14:E24">D14-C14</f>
        <v>71587</v>
      </c>
      <c r="F14" s="238">
        <f aca="true" t="shared" si="1" ref="F14:F24">IF(C14=0,0,E14/C14)</f>
        <v>11.30023677979479</v>
      </c>
    </row>
    <row r="15" spans="1:6" ht="20.25" customHeight="1">
      <c r="A15" s="235">
        <v>2</v>
      </c>
      <c r="B15" s="236" t="s">
        <v>591</v>
      </c>
      <c r="C15" s="237">
        <v>6143</v>
      </c>
      <c r="D15" s="237">
        <v>56022</v>
      </c>
      <c r="E15" s="237">
        <f t="shared" si="0"/>
        <v>49879</v>
      </c>
      <c r="F15" s="238">
        <f t="shared" si="1"/>
        <v>8.119648380270226</v>
      </c>
    </row>
    <row r="16" spans="1:6" ht="20.25" customHeight="1">
      <c r="A16" s="235">
        <v>3</v>
      </c>
      <c r="B16" s="236" t="s">
        <v>592</v>
      </c>
      <c r="C16" s="237">
        <v>11451</v>
      </c>
      <c r="D16" s="237">
        <v>53246</v>
      </c>
      <c r="E16" s="237">
        <f t="shared" si="0"/>
        <v>41795</v>
      </c>
      <c r="F16" s="238">
        <f t="shared" si="1"/>
        <v>3.649899572089774</v>
      </c>
    </row>
    <row r="17" spans="1:6" ht="20.25" customHeight="1">
      <c r="A17" s="235">
        <v>4</v>
      </c>
      <c r="B17" s="236" t="s">
        <v>593</v>
      </c>
      <c r="C17" s="237">
        <v>1814</v>
      </c>
      <c r="D17" s="237">
        <v>13032</v>
      </c>
      <c r="E17" s="237">
        <f t="shared" si="0"/>
        <v>11218</v>
      </c>
      <c r="F17" s="238">
        <f t="shared" si="1"/>
        <v>6.184123484013231</v>
      </c>
    </row>
    <row r="18" spans="1:6" ht="20.25" customHeight="1">
      <c r="A18" s="235">
        <v>5</v>
      </c>
      <c r="B18" s="236" t="s">
        <v>529</v>
      </c>
      <c r="C18" s="239">
        <v>1</v>
      </c>
      <c r="D18" s="239">
        <v>7</v>
      </c>
      <c r="E18" s="239">
        <f t="shared" si="0"/>
        <v>6</v>
      </c>
      <c r="F18" s="238">
        <f t="shared" si="1"/>
        <v>6</v>
      </c>
    </row>
    <row r="19" spans="1:6" ht="20.25" customHeight="1">
      <c r="A19" s="235">
        <v>6</v>
      </c>
      <c r="B19" s="236" t="s">
        <v>528</v>
      </c>
      <c r="C19" s="239">
        <v>2</v>
      </c>
      <c r="D19" s="239">
        <v>25</v>
      </c>
      <c r="E19" s="239">
        <f t="shared" si="0"/>
        <v>23</v>
      </c>
      <c r="F19" s="238">
        <f t="shared" si="1"/>
        <v>11.5</v>
      </c>
    </row>
    <row r="20" spans="1:6" ht="20.25" customHeight="1">
      <c r="A20" s="235">
        <v>7</v>
      </c>
      <c r="B20" s="236" t="s">
        <v>594</v>
      </c>
      <c r="C20" s="239">
        <v>35</v>
      </c>
      <c r="D20" s="239">
        <v>56</v>
      </c>
      <c r="E20" s="239">
        <f t="shared" si="0"/>
        <v>21</v>
      </c>
      <c r="F20" s="238">
        <f t="shared" si="1"/>
        <v>0.6</v>
      </c>
    </row>
    <row r="21" spans="1:6" ht="20.25" customHeight="1">
      <c r="A21" s="235">
        <v>8</v>
      </c>
      <c r="B21" s="236" t="s">
        <v>595</v>
      </c>
      <c r="C21" s="239">
        <v>0</v>
      </c>
      <c r="D21" s="239">
        <v>10</v>
      </c>
      <c r="E21" s="239">
        <f t="shared" si="0"/>
        <v>10</v>
      </c>
      <c r="F21" s="238">
        <f t="shared" si="1"/>
        <v>0</v>
      </c>
    </row>
    <row r="22" spans="1:6" ht="20.25" customHeight="1">
      <c r="A22" s="235">
        <v>9</v>
      </c>
      <c r="B22" s="236" t="s">
        <v>596</v>
      </c>
      <c r="C22" s="239">
        <v>1</v>
      </c>
      <c r="D22" s="239">
        <v>4</v>
      </c>
      <c r="E22" s="239">
        <f t="shared" si="0"/>
        <v>3</v>
      </c>
      <c r="F22" s="238">
        <f t="shared" si="1"/>
        <v>3</v>
      </c>
    </row>
    <row r="23" spans="1:6" s="240" customFormat="1" ht="20.25" customHeight="1">
      <c r="A23" s="241"/>
      <c r="B23" s="242" t="s">
        <v>597</v>
      </c>
      <c r="C23" s="243">
        <f>+C14+C16</f>
        <v>17786</v>
      </c>
      <c r="D23" s="243">
        <f>+D14+D16</f>
        <v>131168</v>
      </c>
      <c r="E23" s="243">
        <f t="shared" si="0"/>
        <v>113382</v>
      </c>
      <c r="F23" s="244">
        <f t="shared" si="1"/>
        <v>6.374789160013494</v>
      </c>
    </row>
    <row r="24" spans="1:6" s="240" customFormat="1" ht="20.25" customHeight="1">
      <c r="A24" s="241"/>
      <c r="B24" s="242" t="s">
        <v>598</v>
      </c>
      <c r="C24" s="243">
        <f>+C15+C17</f>
        <v>7957</v>
      </c>
      <c r="D24" s="243">
        <f>+D15+D17</f>
        <v>69054</v>
      </c>
      <c r="E24" s="243">
        <f t="shared" si="0"/>
        <v>61097</v>
      </c>
      <c r="F24" s="244">
        <f t="shared" si="1"/>
        <v>7.678396380545432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280</v>
      </c>
      <c r="B26" s="231" t="s">
        <v>599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590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591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592</v>
      </c>
      <c r="C29" s="237">
        <v>0</v>
      </c>
      <c r="D29" s="237">
        <v>666</v>
      </c>
      <c r="E29" s="237">
        <f t="shared" si="2"/>
        <v>666</v>
      </c>
      <c r="F29" s="238">
        <f t="shared" si="3"/>
        <v>0</v>
      </c>
    </row>
    <row r="30" spans="1:6" ht="20.25" customHeight="1">
      <c r="A30" s="235">
        <v>4</v>
      </c>
      <c r="B30" s="236" t="s">
        <v>593</v>
      </c>
      <c r="C30" s="237">
        <v>0</v>
      </c>
      <c r="D30" s="237">
        <v>252</v>
      </c>
      <c r="E30" s="237">
        <f t="shared" si="2"/>
        <v>252</v>
      </c>
      <c r="F30" s="238">
        <f t="shared" si="3"/>
        <v>0</v>
      </c>
    </row>
    <row r="31" spans="1:6" ht="20.25" customHeight="1">
      <c r="A31" s="235">
        <v>5</v>
      </c>
      <c r="B31" s="236" t="s">
        <v>529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528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594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595</v>
      </c>
      <c r="C34" s="239">
        <v>0</v>
      </c>
      <c r="D34" s="239">
        <v>1</v>
      </c>
      <c r="E34" s="239">
        <f t="shared" si="2"/>
        <v>1</v>
      </c>
      <c r="F34" s="238">
        <f t="shared" si="3"/>
        <v>0</v>
      </c>
    </row>
    <row r="35" spans="1:6" ht="20.25" customHeight="1">
      <c r="A35" s="235">
        <v>9</v>
      </c>
      <c r="B35" s="236" t="s">
        <v>596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597</v>
      </c>
      <c r="C36" s="243">
        <f>+C27+C29</f>
        <v>0</v>
      </c>
      <c r="D36" s="243">
        <f>+D27+D29</f>
        <v>666</v>
      </c>
      <c r="E36" s="243">
        <f t="shared" si="2"/>
        <v>666</v>
      </c>
      <c r="F36" s="244">
        <f t="shared" si="3"/>
        <v>0</v>
      </c>
    </row>
    <row r="37" spans="1:6" s="240" customFormat="1" ht="20.25" customHeight="1">
      <c r="A37" s="241"/>
      <c r="B37" s="242" t="s">
        <v>598</v>
      </c>
      <c r="C37" s="243">
        <f>+C28+C30</f>
        <v>0</v>
      </c>
      <c r="D37" s="243">
        <f>+D28+D30</f>
        <v>252</v>
      </c>
      <c r="E37" s="243">
        <f t="shared" si="2"/>
        <v>252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297</v>
      </c>
      <c r="B39" s="231" t="s">
        <v>600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590</v>
      </c>
      <c r="C40" s="237">
        <v>232209</v>
      </c>
      <c r="D40" s="237">
        <v>524897</v>
      </c>
      <c r="E40" s="237">
        <f aca="true" t="shared" si="4" ref="E40:E50">D40-C40</f>
        <v>292688</v>
      </c>
      <c r="F40" s="238">
        <f aca="true" t="shared" si="5" ref="F40:F50">IF(C40=0,0,E40/C40)</f>
        <v>1.260450714657916</v>
      </c>
    </row>
    <row r="41" spans="1:6" ht="20.25" customHeight="1">
      <c r="A41" s="235">
        <v>2</v>
      </c>
      <c r="B41" s="236" t="s">
        <v>591</v>
      </c>
      <c r="C41" s="237">
        <v>83930</v>
      </c>
      <c r="D41" s="237">
        <v>212880</v>
      </c>
      <c r="E41" s="237">
        <f t="shared" si="4"/>
        <v>128950</v>
      </c>
      <c r="F41" s="238">
        <f t="shared" si="5"/>
        <v>1.5363993804360776</v>
      </c>
    </row>
    <row r="42" spans="1:6" ht="20.25" customHeight="1">
      <c r="A42" s="235">
        <v>3</v>
      </c>
      <c r="B42" s="236" t="s">
        <v>592</v>
      </c>
      <c r="C42" s="237">
        <v>171175</v>
      </c>
      <c r="D42" s="237">
        <v>1122069</v>
      </c>
      <c r="E42" s="237">
        <f t="shared" si="4"/>
        <v>950894</v>
      </c>
      <c r="F42" s="238">
        <f t="shared" si="5"/>
        <v>5.555098583321162</v>
      </c>
    </row>
    <row r="43" spans="1:6" ht="20.25" customHeight="1">
      <c r="A43" s="235">
        <v>4</v>
      </c>
      <c r="B43" s="236" t="s">
        <v>593</v>
      </c>
      <c r="C43" s="237">
        <v>40645</v>
      </c>
      <c r="D43" s="237">
        <v>299950</v>
      </c>
      <c r="E43" s="237">
        <f t="shared" si="4"/>
        <v>259305</v>
      </c>
      <c r="F43" s="238">
        <f t="shared" si="5"/>
        <v>6.3797515069504245</v>
      </c>
    </row>
    <row r="44" spans="1:6" ht="20.25" customHeight="1">
      <c r="A44" s="235">
        <v>5</v>
      </c>
      <c r="B44" s="236" t="s">
        <v>529</v>
      </c>
      <c r="C44" s="239">
        <v>11</v>
      </c>
      <c r="D44" s="239">
        <v>33</v>
      </c>
      <c r="E44" s="239">
        <f t="shared" si="4"/>
        <v>22</v>
      </c>
      <c r="F44" s="238">
        <f t="shared" si="5"/>
        <v>2</v>
      </c>
    </row>
    <row r="45" spans="1:6" ht="20.25" customHeight="1">
      <c r="A45" s="235">
        <v>6</v>
      </c>
      <c r="B45" s="236" t="s">
        <v>528</v>
      </c>
      <c r="C45" s="239">
        <v>31</v>
      </c>
      <c r="D45" s="239">
        <v>126</v>
      </c>
      <c r="E45" s="239">
        <f t="shared" si="4"/>
        <v>95</v>
      </c>
      <c r="F45" s="238">
        <f t="shared" si="5"/>
        <v>3.064516129032258</v>
      </c>
    </row>
    <row r="46" spans="1:6" ht="20.25" customHeight="1">
      <c r="A46" s="235">
        <v>7</v>
      </c>
      <c r="B46" s="236" t="s">
        <v>594</v>
      </c>
      <c r="C46" s="239">
        <v>219</v>
      </c>
      <c r="D46" s="239">
        <v>1391</v>
      </c>
      <c r="E46" s="239">
        <f t="shared" si="4"/>
        <v>1172</v>
      </c>
      <c r="F46" s="238">
        <f t="shared" si="5"/>
        <v>5.351598173515982</v>
      </c>
    </row>
    <row r="47" spans="1:6" ht="20.25" customHeight="1">
      <c r="A47" s="235">
        <v>8</v>
      </c>
      <c r="B47" s="236" t="s">
        <v>595</v>
      </c>
      <c r="C47" s="239">
        <v>4</v>
      </c>
      <c r="D47" s="239">
        <v>70</v>
      </c>
      <c r="E47" s="239">
        <f t="shared" si="4"/>
        <v>66</v>
      </c>
      <c r="F47" s="238">
        <f t="shared" si="5"/>
        <v>16.5</v>
      </c>
    </row>
    <row r="48" spans="1:6" ht="20.25" customHeight="1">
      <c r="A48" s="235">
        <v>9</v>
      </c>
      <c r="B48" s="236" t="s">
        <v>596</v>
      </c>
      <c r="C48" s="239">
        <v>6</v>
      </c>
      <c r="D48" s="239">
        <v>23</v>
      </c>
      <c r="E48" s="239">
        <f t="shared" si="4"/>
        <v>17</v>
      </c>
      <c r="F48" s="238">
        <f t="shared" si="5"/>
        <v>2.8333333333333335</v>
      </c>
    </row>
    <row r="49" spans="1:6" s="240" customFormat="1" ht="20.25" customHeight="1">
      <c r="A49" s="241"/>
      <c r="B49" s="242" t="s">
        <v>597</v>
      </c>
      <c r="C49" s="243">
        <f>+C40+C42</f>
        <v>403384</v>
      </c>
      <c r="D49" s="243">
        <f>+D40+D42</f>
        <v>1646966</v>
      </c>
      <c r="E49" s="243">
        <f t="shared" si="4"/>
        <v>1243582</v>
      </c>
      <c r="F49" s="244">
        <f t="shared" si="5"/>
        <v>3.0828738869166847</v>
      </c>
    </row>
    <row r="50" spans="1:6" s="240" customFormat="1" ht="20.25" customHeight="1">
      <c r="A50" s="241"/>
      <c r="B50" s="242" t="s">
        <v>598</v>
      </c>
      <c r="C50" s="243">
        <f>+C41+C43</f>
        <v>124575</v>
      </c>
      <c r="D50" s="243">
        <f>+D41+D43</f>
        <v>512830</v>
      </c>
      <c r="E50" s="243">
        <f t="shared" si="4"/>
        <v>388255</v>
      </c>
      <c r="F50" s="244">
        <f t="shared" si="5"/>
        <v>3.1166365643186835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327</v>
      </c>
      <c r="B52" s="231" t="s">
        <v>601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590</v>
      </c>
      <c r="C53" s="237">
        <v>1629089</v>
      </c>
      <c r="D53" s="237">
        <v>1332767</v>
      </c>
      <c r="E53" s="237">
        <f aca="true" t="shared" si="6" ref="E53:E63">D53-C53</f>
        <v>-296322</v>
      </c>
      <c r="F53" s="238">
        <f aca="true" t="shared" si="7" ref="F53:F63">IF(C53=0,0,E53/C53)</f>
        <v>-0.18189429797880902</v>
      </c>
    </row>
    <row r="54" spans="1:6" ht="20.25" customHeight="1">
      <c r="A54" s="235">
        <v>2</v>
      </c>
      <c r="B54" s="236" t="s">
        <v>591</v>
      </c>
      <c r="C54" s="237">
        <v>762861</v>
      </c>
      <c r="D54" s="237">
        <v>743143</v>
      </c>
      <c r="E54" s="237">
        <f t="shared" si="6"/>
        <v>-19718</v>
      </c>
      <c r="F54" s="238">
        <f t="shared" si="7"/>
        <v>-0.02584743485379381</v>
      </c>
    </row>
    <row r="55" spans="1:6" ht="20.25" customHeight="1">
      <c r="A55" s="235">
        <v>3</v>
      </c>
      <c r="B55" s="236" t="s">
        <v>592</v>
      </c>
      <c r="C55" s="237">
        <v>1701465</v>
      </c>
      <c r="D55" s="237">
        <v>1515059</v>
      </c>
      <c r="E55" s="237">
        <f t="shared" si="6"/>
        <v>-186406</v>
      </c>
      <c r="F55" s="238">
        <f t="shared" si="7"/>
        <v>-0.1095561765889983</v>
      </c>
    </row>
    <row r="56" spans="1:6" ht="20.25" customHeight="1">
      <c r="A56" s="235">
        <v>4</v>
      </c>
      <c r="B56" s="236" t="s">
        <v>593</v>
      </c>
      <c r="C56" s="237">
        <v>397037</v>
      </c>
      <c r="D56" s="237">
        <v>403639</v>
      </c>
      <c r="E56" s="237">
        <f t="shared" si="6"/>
        <v>6602</v>
      </c>
      <c r="F56" s="238">
        <f t="shared" si="7"/>
        <v>0.016628173192926605</v>
      </c>
    </row>
    <row r="57" spans="1:6" ht="20.25" customHeight="1">
      <c r="A57" s="235">
        <v>5</v>
      </c>
      <c r="B57" s="236" t="s">
        <v>529</v>
      </c>
      <c r="C57" s="239">
        <v>100</v>
      </c>
      <c r="D57" s="239">
        <v>94</v>
      </c>
      <c r="E57" s="239">
        <f t="shared" si="6"/>
        <v>-6</v>
      </c>
      <c r="F57" s="238">
        <f t="shared" si="7"/>
        <v>-0.06</v>
      </c>
    </row>
    <row r="58" spans="1:6" ht="20.25" customHeight="1">
      <c r="A58" s="235">
        <v>6</v>
      </c>
      <c r="B58" s="236" t="s">
        <v>528</v>
      </c>
      <c r="C58" s="239">
        <v>467</v>
      </c>
      <c r="D58" s="239">
        <v>384</v>
      </c>
      <c r="E58" s="239">
        <f t="shared" si="6"/>
        <v>-83</v>
      </c>
      <c r="F58" s="238">
        <f t="shared" si="7"/>
        <v>-0.1777301927194861</v>
      </c>
    </row>
    <row r="59" spans="1:6" ht="20.25" customHeight="1">
      <c r="A59" s="235">
        <v>7</v>
      </c>
      <c r="B59" s="236" t="s">
        <v>594</v>
      </c>
      <c r="C59" s="239">
        <v>2049</v>
      </c>
      <c r="D59" s="239">
        <v>1786</v>
      </c>
      <c r="E59" s="239">
        <f t="shared" si="6"/>
        <v>-263</v>
      </c>
      <c r="F59" s="238">
        <f t="shared" si="7"/>
        <v>-0.1283552952659834</v>
      </c>
    </row>
    <row r="60" spans="1:6" ht="20.25" customHeight="1">
      <c r="A60" s="235">
        <v>8</v>
      </c>
      <c r="B60" s="236" t="s">
        <v>595</v>
      </c>
      <c r="C60" s="239">
        <v>120</v>
      </c>
      <c r="D60" s="239">
        <v>103</v>
      </c>
      <c r="E60" s="239">
        <f t="shared" si="6"/>
        <v>-17</v>
      </c>
      <c r="F60" s="238">
        <f t="shared" si="7"/>
        <v>-0.14166666666666666</v>
      </c>
    </row>
    <row r="61" spans="1:6" ht="20.25" customHeight="1">
      <c r="A61" s="235">
        <v>9</v>
      </c>
      <c r="B61" s="236" t="s">
        <v>596</v>
      </c>
      <c r="C61" s="239">
        <v>82</v>
      </c>
      <c r="D61" s="239">
        <v>63</v>
      </c>
      <c r="E61" s="239">
        <f t="shared" si="6"/>
        <v>-19</v>
      </c>
      <c r="F61" s="238">
        <f t="shared" si="7"/>
        <v>-0.23170731707317074</v>
      </c>
    </row>
    <row r="62" spans="1:6" s="240" customFormat="1" ht="20.25" customHeight="1">
      <c r="A62" s="241"/>
      <c r="B62" s="242" t="s">
        <v>597</v>
      </c>
      <c r="C62" s="243">
        <f>+C53+C55</f>
        <v>3330554</v>
      </c>
      <c r="D62" s="243">
        <f>+D53+D55</f>
        <v>2847826</v>
      </c>
      <c r="E62" s="243">
        <f t="shared" si="6"/>
        <v>-482728</v>
      </c>
      <c r="F62" s="244">
        <f t="shared" si="7"/>
        <v>-0.14493925034693927</v>
      </c>
    </row>
    <row r="63" spans="1:6" s="240" customFormat="1" ht="20.25" customHeight="1">
      <c r="A63" s="241"/>
      <c r="B63" s="242" t="s">
        <v>598</v>
      </c>
      <c r="C63" s="243">
        <f>+C54+C56</f>
        <v>1159898</v>
      </c>
      <c r="D63" s="243">
        <f>+D54+D56</f>
        <v>1146782</v>
      </c>
      <c r="E63" s="243">
        <f t="shared" si="6"/>
        <v>-13116</v>
      </c>
      <c r="F63" s="244">
        <f t="shared" si="7"/>
        <v>-0.011307890866265827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332</v>
      </c>
      <c r="B65" s="231" t="s">
        <v>602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590</v>
      </c>
      <c r="C66" s="237">
        <v>451787</v>
      </c>
      <c r="D66" s="237">
        <v>106305</v>
      </c>
      <c r="E66" s="237">
        <f aca="true" t="shared" si="8" ref="E66:E76">D66-C66</f>
        <v>-345482</v>
      </c>
      <c r="F66" s="238">
        <f aca="true" t="shared" si="9" ref="F66:F76">IF(C66=0,0,E66/C66)</f>
        <v>-0.764701064882345</v>
      </c>
    </row>
    <row r="67" spans="1:6" ht="20.25" customHeight="1">
      <c r="A67" s="235">
        <v>2</v>
      </c>
      <c r="B67" s="236" t="s">
        <v>591</v>
      </c>
      <c r="C67" s="237">
        <v>177295</v>
      </c>
      <c r="D67" s="237">
        <v>43536</v>
      </c>
      <c r="E67" s="237">
        <f t="shared" si="8"/>
        <v>-133759</v>
      </c>
      <c r="F67" s="238">
        <f t="shared" si="9"/>
        <v>-0.7544431597055754</v>
      </c>
    </row>
    <row r="68" spans="1:6" ht="20.25" customHeight="1">
      <c r="A68" s="235">
        <v>3</v>
      </c>
      <c r="B68" s="236" t="s">
        <v>592</v>
      </c>
      <c r="C68" s="237">
        <v>79209</v>
      </c>
      <c r="D68" s="237">
        <v>99732</v>
      </c>
      <c r="E68" s="237">
        <f t="shared" si="8"/>
        <v>20523</v>
      </c>
      <c r="F68" s="238">
        <f t="shared" si="9"/>
        <v>0.2590993447714275</v>
      </c>
    </row>
    <row r="69" spans="1:6" ht="20.25" customHeight="1">
      <c r="A69" s="235">
        <v>4</v>
      </c>
      <c r="B69" s="236" t="s">
        <v>593</v>
      </c>
      <c r="C69" s="237">
        <v>14179</v>
      </c>
      <c r="D69" s="237">
        <v>25387</v>
      </c>
      <c r="E69" s="237">
        <f t="shared" si="8"/>
        <v>11208</v>
      </c>
      <c r="F69" s="238">
        <f t="shared" si="9"/>
        <v>0.7904647718456873</v>
      </c>
    </row>
    <row r="70" spans="1:6" ht="20.25" customHeight="1">
      <c r="A70" s="235">
        <v>5</v>
      </c>
      <c r="B70" s="236" t="s">
        <v>529</v>
      </c>
      <c r="C70" s="239">
        <v>31</v>
      </c>
      <c r="D70" s="239">
        <v>5</v>
      </c>
      <c r="E70" s="239">
        <f t="shared" si="8"/>
        <v>-26</v>
      </c>
      <c r="F70" s="238">
        <f t="shared" si="9"/>
        <v>-0.8387096774193549</v>
      </c>
    </row>
    <row r="71" spans="1:6" ht="20.25" customHeight="1">
      <c r="A71" s="235">
        <v>6</v>
      </c>
      <c r="B71" s="236" t="s">
        <v>528</v>
      </c>
      <c r="C71" s="239">
        <v>132</v>
      </c>
      <c r="D71" s="239">
        <v>18</v>
      </c>
      <c r="E71" s="239">
        <f t="shared" si="8"/>
        <v>-114</v>
      </c>
      <c r="F71" s="238">
        <f t="shared" si="9"/>
        <v>-0.8636363636363636</v>
      </c>
    </row>
    <row r="72" spans="1:6" ht="20.25" customHeight="1">
      <c r="A72" s="235">
        <v>7</v>
      </c>
      <c r="B72" s="236" t="s">
        <v>594</v>
      </c>
      <c r="C72" s="239">
        <v>75</v>
      </c>
      <c r="D72" s="239">
        <v>94</v>
      </c>
      <c r="E72" s="239">
        <f t="shared" si="8"/>
        <v>19</v>
      </c>
      <c r="F72" s="238">
        <f t="shared" si="9"/>
        <v>0.25333333333333335</v>
      </c>
    </row>
    <row r="73" spans="1:6" ht="20.25" customHeight="1">
      <c r="A73" s="235">
        <v>8</v>
      </c>
      <c r="B73" s="236" t="s">
        <v>595</v>
      </c>
      <c r="C73" s="239">
        <v>16</v>
      </c>
      <c r="D73" s="239">
        <v>27</v>
      </c>
      <c r="E73" s="239">
        <f t="shared" si="8"/>
        <v>11</v>
      </c>
      <c r="F73" s="238">
        <f t="shared" si="9"/>
        <v>0.6875</v>
      </c>
    </row>
    <row r="74" spans="1:6" ht="20.25" customHeight="1">
      <c r="A74" s="235">
        <v>9</v>
      </c>
      <c r="B74" s="236" t="s">
        <v>596</v>
      </c>
      <c r="C74" s="239">
        <v>22</v>
      </c>
      <c r="D74" s="239">
        <v>3</v>
      </c>
      <c r="E74" s="239">
        <f t="shared" si="8"/>
        <v>-19</v>
      </c>
      <c r="F74" s="238">
        <f t="shared" si="9"/>
        <v>-0.8636363636363636</v>
      </c>
    </row>
    <row r="75" spans="1:6" s="240" customFormat="1" ht="20.25" customHeight="1">
      <c r="A75" s="241"/>
      <c r="B75" s="242" t="s">
        <v>597</v>
      </c>
      <c r="C75" s="243">
        <f>+C66+C68</f>
        <v>530996</v>
      </c>
      <c r="D75" s="243">
        <f>+D66+D68</f>
        <v>206037</v>
      </c>
      <c r="E75" s="243">
        <f t="shared" si="8"/>
        <v>-324959</v>
      </c>
      <c r="F75" s="244">
        <f t="shared" si="9"/>
        <v>-0.6119801279105681</v>
      </c>
    </row>
    <row r="76" spans="1:6" s="240" customFormat="1" ht="20.25" customHeight="1">
      <c r="A76" s="241"/>
      <c r="B76" s="242" t="s">
        <v>598</v>
      </c>
      <c r="C76" s="243">
        <f>+C67+C69</f>
        <v>191474</v>
      </c>
      <c r="D76" s="243">
        <f>+D67+D69</f>
        <v>68923</v>
      </c>
      <c r="E76" s="243">
        <f t="shared" si="8"/>
        <v>-122551</v>
      </c>
      <c r="F76" s="244">
        <f t="shared" si="9"/>
        <v>-0.640039900978723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338</v>
      </c>
      <c r="B78" s="231" t="s">
        <v>603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590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591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592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593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529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528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594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595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596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597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598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340</v>
      </c>
      <c r="B91" s="231" t="s">
        <v>604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590</v>
      </c>
      <c r="C92" s="237">
        <v>52303</v>
      </c>
      <c r="D92" s="237">
        <v>22195</v>
      </c>
      <c r="E92" s="237">
        <f aca="true" t="shared" si="12" ref="E92:E102">D92-C92</f>
        <v>-30108</v>
      </c>
      <c r="F92" s="238">
        <f aca="true" t="shared" si="13" ref="F92:F102">IF(C92=0,0,E92/C92)</f>
        <v>-0.5756457564575646</v>
      </c>
    </row>
    <row r="93" spans="1:6" ht="20.25" customHeight="1">
      <c r="A93" s="235">
        <v>2</v>
      </c>
      <c r="B93" s="236" t="s">
        <v>591</v>
      </c>
      <c r="C93" s="237">
        <v>21860</v>
      </c>
      <c r="D93" s="237">
        <v>18146</v>
      </c>
      <c r="E93" s="237">
        <f t="shared" si="12"/>
        <v>-3714</v>
      </c>
      <c r="F93" s="238">
        <f t="shared" si="13"/>
        <v>-0.1698993595608417</v>
      </c>
    </row>
    <row r="94" spans="1:6" ht="20.25" customHeight="1">
      <c r="A94" s="235">
        <v>3</v>
      </c>
      <c r="B94" s="236" t="s">
        <v>592</v>
      </c>
      <c r="C94" s="237">
        <v>162957</v>
      </c>
      <c r="D94" s="237">
        <v>44371</v>
      </c>
      <c r="E94" s="237">
        <f t="shared" si="12"/>
        <v>-118586</v>
      </c>
      <c r="F94" s="238">
        <f t="shared" si="13"/>
        <v>-0.7277134458783605</v>
      </c>
    </row>
    <row r="95" spans="1:6" ht="20.25" customHeight="1">
      <c r="A95" s="235">
        <v>4</v>
      </c>
      <c r="B95" s="236" t="s">
        <v>593</v>
      </c>
      <c r="C95" s="237">
        <v>32212</v>
      </c>
      <c r="D95" s="237">
        <v>7447</v>
      </c>
      <c r="E95" s="237">
        <f t="shared" si="12"/>
        <v>-24765</v>
      </c>
      <c r="F95" s="238">
        <f t="shared" si="13"/>
        <v>-0.7688128647708928</v>
      </c>
    </row>
    <row r="96" spans="1:6" ht="20.25" customHeight="1">
      <c r="A96" s="235">
        <v>5</v>
      </c>
      <c r="B96" s="236" t="s">
        <v>529</v>
      </c>
      <c r="C96" s="239">
        <v>4</v>
      </c>
      <c r="D96" s="239">
        <v>3</v>
      </c>
      <c r="E96" s="239">
        <f t="shared" si="12"/>
        <v>-1</v>
      </c>
      <c r="F96" s="238">
        <f t="shared" si="13"/>
        <v>-0.25</v>
      </c>
    </row>
    <row r="97" spans="1:6" ht="20.25" customHeight="1">
      <c r="A97" s="235">
        <v>6</v>
      </c>
      <c r="B97" s="236" t="s">
        <v>528</v>
      </c>
      <c r="C97" s="239">
        <v>10</v>
      </c>
      <c r="D97" s="239">
        <v>6</v>
      </c>
      <c r="E97" s="239">
        <f t="shared" si="12"/>
        <v>-4</v>
      </c>
      <c r="F97" s="238">
        <f t="shared" si="13"/>
        <v>-0.4</v>
      </c>
    </row>
    <row r="98" spans="1:6" ht="20.25" customHeight="1">
      <c r="A98" s="235">
        <v>7</v>
      </c>
      <c r="B98" s="236" t="s">
        <v>594</v>
      </c>
      <c r="C98" s="239">
        <v>366</v>
      </c>
      <c r="D98" s="239">
        <v>164</v>
      </c>
      <c r="E98" s="239">
        <f t="shared" si="12"/>
        <v>-202</v>
      </c>
      <c r="F98" s="238">
        <f t="shared" si="13"/>
        <v>-0.5519125683060109</v>
      </c>
    </row>
    <row r="99" spans="1:6" ht="20.25" customHeight="1">
      <c r="A99" s="235">
        <v>8</v>
      </c>
      <c r="B99" s="236" t="s">
        <v>595</v>
      </c>
      <c r="C99" s="239">
        <v>24</v>
      </c>
      <c r="D99" s="239">
        <v>3</v>
      </c>
      <c r="E99" s="239">
        <f t="shared" si="12"/>
        <v>-21</v>
      </c>
      <c r="F99" s="238">
        <f t="shared" si="13"/>
        <v>-0.875</v>
      </c>
    </row>
    <row r="100" spans="1:6" ht="20.25" customHeight="1">
      <c r="A100" s="235">
        <v>9</v>
      </c>
      <c r="B100" s="236" t="s">
        <v>596</v>
      </c>
      <c r="C100" s="239">
        <v>3</v>
      </c>
      <c r="D100" s="239">
        <v>2</v>
      </c>
      <c r="E100" s="239">
        <f t="shared" si="12"/>
        <v>-1</v>
      </c>
      <c r="F100" s="238">
        <f t="shared" si="13"/>
        <v>-0.3333333333333333</v>
      </c>
    </row>
    <row r="101" spans="1:6" s="240" customFormat="1" ht="20.25" customHeight="1">
      <c r="A101" s="241"/>
      <c r="B101" s="242" t="s">
        <v>597</v>
      </c>
      <c r="C101" s="243">
        <f>+C92+C94</f>
        <v>215260</v>
      </c>
      <c r="D101" s="243">
        <f>+D92+D94</f>
        <v>66566</v>
      </c>
      <c r="E101" s="243">
        <f t="shared" si="12"/>
        <v>-148694</v>
      </c>
      <c r="F101" s="244">
        <f t="shared" si="13"/>
        <v>-0.6907646566942303</v>
      </c>
    </row>
    <row r="102" spans="1:6" s="240" customFormat="1" ht="20.25" customHeight="1">
      <c r="A102" s="241"/>
      <c r="B102" s="242" t="s">
        <v>598</v>
      </c>
      <c r="C102" s="243">
        <f>+C93+C95</f>
        <v>54072</v>
      </c>
      <c r="D102" s="243">
        <f>+D93+D95</f>
        <v>25593</v>
      </c>
      <c r="E102" s="243">
        <f t="shared" si="12"/>
        <v>-28479</v>
      </c>
      <c r="F102" s="244">
        <f t="shared" si="13"/>
        <v>-0.5266866400355082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343</v>
      </c>
      <c r="B104" s="231" t="s">
        <v>605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590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591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592</v>
      </c>
      <c r="C107" s="237">
        <v>3706</v>
      </c>
      <c r="D107" s="237">
        <v>688</v>
      </c>
      <c r="E107" s="237">
        <f t="shared" si="14"/>
        <v>-3018</v>
      </c>
      <c r="F107" s="238">
        <f t="shared" si="15"/>
        <v>-0.8143550998381004</v>
      </c>
    </row>
    <row r="108" spans="1:6" ht="20.25" customHeight="1">
      <c r="A108" s="235">
        <v>4</v>
      </c>
      <c r="B108" s="236" t="s">
        <v>593</v>
      </c>
      <c r="C108" s="237">
        <v>357</v>
      </c>
      <c r="D108" s="237">
        <v>199</v>
      </c>
      <c r="E108" s="237">
        <f t="shared" si="14"/>
        <v>-158</v>
      </c>
      <c r="F108" s="238">
        <f t="shared" si="15"/>
        <v>-0.4425770308123249</v>
      </c>
    </row>
    <row r="109" spans="1:6" ht="20.25" customHeight="1">
      <c r="A109" s="235">
        <v>5</v>
      </c>
      <c r="B109" s="236" t="s">
        <v>529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528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594</v>
      </c>
      <c r="C111" s="239">
        <v>6</v>
      </c>
      <c r="D111" s="239">
        <v>1</v>
      </c>
      <c r="E111" s="239">
        <f t="shared" si="14"/>
        <v>-5</v>
      </c>
      <c r="F111" s="238">
        <f t="shared" si="15"/>
        <v>-0.8333333333333334</v>
      </c>
    </row>
    <row r="112" spans="1:6" ht="20.25" customHeight="1">
      <c r="A112" s="235">
        <v>8</v>
      </c>
      <c r="B112" s="236" t="s">
        <v>595</v>
      </c>
      <c r="C112" s="239">
        <v>0</v>
      </c>
      <c r="D112" s="239">
        <v>1</v>
      </c>
      <c r="E112" s="239">
        <f t="shared" si="14"/>
        <v>1</v>
      </c>
      <c r="F112" s="238">
        <f t="shared" si="15"/>
        <v>0</v>
      </c>
    </row>
    <row r="113" spans="1:6" ht="20.25" customHeight="1">
      <c r="A113" s="235">
        <v>9</v>
      </c>
      <c r="B113" s="236" t="s">
        <v>596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597</v>
      </c>
      <c r="C114" s="243">
        <f>+C105+C107</f>
        <v>3706</v>
      </c>
      <c r="D114" s="243">
        <f>+D105+D107</f>
        <v>688</v>
      </c>
      <c r="E114" s="243">
        <f t="shared" si="14"/>
        <v>-3018</v>
      </c>
      <c r="F114" s="244">
        <f t="shared" si="15"/>
        <v>-0.8143550998381004</v>
      </c>
    </row>
    <row r="115" spans="1:6" s="240" customFormat="1" ht="20.25" customHeight="1">
      <c r="A115" s="241"/>
      <c r="B115" s="242" t="s">
        <v>598</v>
      </c>
      <c r="C115" s="243">
        <f>+C106+C108</f>
        <v>357</v>
      </c>
      <c r="D115" s="243">
        <f>+D106+D108</f>
        <v>199</v>
      </c>
      <c r="E115" s="243">
        <f t="shared" si="14"/>
        <v>-158</v>
      </c>
      <c r="F115" s="244">
        <f t="shared" si="15"/>
        <v>-0.4425770308123249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346</v>
      </c>
      <c r="B117" s="231" t="s">
        <v>606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590</v>
      </c>
      <c r="C118" s="237">
        <v>0</v>
      </c>
      <c r="D118" s="237">
        <v>94717</v>
      </c>
      <c r="E118" s="237">
        <f aca="true" t="shared" si="16" ref="E118:E128">D118-C118</f>
        <v>94717</v>
      </c>
      <c r="F118" s="238">
        <f aca="true" t="shared" si="17" ref="F118:F128">IF(C118=0,0,E118/C118)</f>
        <v>0</v>
      </c>
    </row>
    <row r="119" spans="1:6" ht="20.25" customHeight="1">
      <c r="A119" s="235">
        <v>2</v>
      </c>
      <c r="B119" s="236" t="s">
        <v>591</v>
      </c>
      <c r="C119" s="237">
        <v>0</v>
      </c>
      <c r="D119" s="237">
        <v>46677</v>
      </c>
      <c r="E119" s="237">
        <f t="shared" si="16"/>
        <v>46677</v>
      </c>
      <c r="F119" s="238">
        <f t="shared" si="17"/>
        <v>0</v>
      </c>
    </row>
    <row r="120" spans="1:6" ht="20.25" customHeight="1">
      <c r="A120" s="235">
        <v>3</v>
      </c>
      <c r="B120" s="236" t="s">
        <v>592</v>
      </c>
      <c r="C120" s="237">
        <v>99902</v>
      </c>
      <c r="D120" s="237">
        <v>99676</v>
      </c>
      <c r="E120" s="237">
        <f t="shared" si="16"/>
        <v>-226</v>
      </c>
      <c r="F120" s="238">
        <f t="shared" si="17"/>
        <v>-0.0022622169726331806</v>
      </c>
    </row>
    <row r="121" spans="1:6" ht="20.25" customHeight="1">
      <c r="A121" s="235">
        <v>4</v>
      </c>
      <c r="B121" s="236" t="s">
        <v>593</v>
      </c>
      <c r="C121" s="237">
        <v>21470</v>
      </c>
      <c r="D121" s="237">
        <v>27011</v>
      </c>
      <c r="E121" s="237">
        <f t="shared" si="16"/>
        <v>5541</v>
      </c>
      <c r="F121" s="238">
        <f t="shared" si="17"/>
        <v>0.25808104331625525</v>
      </c>
    </row>
    <row r="122" spans="1:6" ht="20.25" customHeight="1">
      <c r="A122" s="235">
        <v>5</v>
      </c>
      <c r="B122" s="236" t="s">
        <v>529</v>
      </c>
      <c r="C122" s="239">
        <v>0</v>
      </c>
      <c r="D122" s="239">
        <v>6</v>
      </c>
      <c r="E122" s="239">
        <f t="shared" si="16"/>
        <v>6</v>
      </c>
      <c r="F122" s="238">
        <f t="shared" si="17"/>
        <v>0</v>
      </c>
    </row>
    <row r="123" spans="1:6" ht="20.25" customHeight="1">
      <c r="A123" s="235">
        <v>6</v>
      </c>
      <c r="B123" s="236" t="s">
        <v>528</v>
      </c>
      <c r="C123" s="239">
        <v>0</v>
      </c>
      <c r="D123" s="239">
        <v>21</v>
      </c>
      <c r="E123" s="239">
        <f t="shared" si="16"/>
        <v>21</v>
      </c>
      <c r="F123" s="238">
        <f t="shared" si="17"/>
        <v>0</v>
      </c>
    </row>
    <row r="124" spans="1:6" ht="20.25" customHeight="1">
      <c r="A124" s="235">
        <v>7</v>
      </c>
      <c r="B124" s="236" t="s">
        <v>594</v>
      </c>
      <c r="C124" s="239">
        <v>164</v>
      </c>
      <c r="D124" s="239">
        <v>164</v>
      </c>
      <c r="E124" s="239">
        <f t="shared" si="16"/>
        <v>0</v>
      </c>
      <c r="F124" s="238">
        <f t="shared" si="17"/>
        <v>0</v>
      </c>
    </row>
    <row r="125" spans="1:6" ht="20.25" customHeight="1">
      <c r="A125" s="235">
        <v>8</v>
      </c>
      <c r="B125" s="236" t="s">
        <v>595</v>
      </c>
      <c r="C125" s="239">
        <v>2</v>
      </c>
      <c r="D125" s="239">
        <v>8</v>
      </c>
      <c r="E125" s="239">
        <f t="shared" si="16"/>
        <v>6</v>
      </c>
      <c r="F125" s="238">
        <f t="shared" si="17"/>
        <v>3</v>
      </c>
    </row>
    <row r="126" spans="1:6" ht="20.25" customHeight="1">
      <c r="A126" s="235">
        <v>9</v>
      </c>
      <c r="B126" s="236" t="s">
        <v>596</v>
      </c>
      <c r="C126" s="239">
        <v>3</v>
      </c>
      <c r="D126" s="239">
        <v>5</v>
      </c>
      <c r="E126" s="239">
        <f t="shared" si="16"/>
        <v>2</v>
      </c>
      <c r="F126" s="238">
        <f t="shared" si="17"/>
        <v>0.6666666666666666</v>
      </c>
    </row>
    <row r="127" spans="1:6" s="240" customFormat="1" ht="20.25" customHeight="1">
      <c r="A127" s="241"/>
      <c r="B127" s="242" t="s">
        <v>597</v>
      </c>
      <c r="C127" s="243">
        <f>+C118+C120</f>
        <v>99902</v>
      </c>
      <c r="D127" s="243">
        <f>+D118+D120</f>
        <v>194393</v>
      </c>
      <c r="E127" s="243">
        <f t="shared" si="16"/>
        <v>94491</v>
      </c>
      <c r="F127" s="244">
        <f t="shared" si="17"/>
        <v>0.9458369201817781</v>
      </c>
    </row>
    <row r="128" spans="1:6" s="240" customFormat="1" ht="20.25" customHeight="1">
      <c r="A128" s="241"/>
      <c r="B128" s="242" t="s">
        <v>598</v>
      </c>
      <c r="C128" s="243">
        <f>+C119+C121</f>
        <v>21470</v>
      </c>
      <c r="D128" s="243">
        <f>+D119+D121</f>
        <v>73688</v>
      </c>
      <c r="E128" s="243">
        <f t="shared" si="16"/>
        <v>52218</v>
      </c>
      <c r="F128" s="244">
        <f t="shared" si="17"/>
        <v>2.432137866790871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355</v>
      </c>
      <c r="B130" s="231" t="s">
        <v>607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590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591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592</v>
      </c>
      <c r="C133" s="237">
        <v>5273</v>
      </c>
      <c r="D133" s="237">
        <v>18467</v>
      </c>
      <c r="E133" s="237">
        <f t="shared" si="18"/>
        <v>13194</v>
      </c>
      <c r="F133" s="238">
        <f t="shared" si="19"/>
        <v>2.502180921676465</v>
      </c>
    </row>
    <row r="134" spans="1:6" ht="20.25" customHeight="1">
      <c r="A134" s="235">
        <v>4</v>
      </c>
      <c r="B134" s="236" t="s">
        <v>593</v>
      </c>
      <c r="C134" s="237">
        <v>1264</v>
      </c>
      <c r="D134" s="237">
        <v>5233</v>
      </c>
      <c r="E134" s="237">
        <f t="shared" si="18"/>
        <v>3969</v>
      </c>
      <c r="F134" s="238">
        <f t="shared" si="19"/>
        <v>3.1400316455696204</v>
      </c>
    </row>
    <row r="135" spans="1:6" ht="20.25" customHeight="1">
      <c r="A135" s="235">
        <v>5</v>
      </c>
      <c r="B135" s="236" t="s">
        <v>529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528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594</v>
      </c>
      <c r="C137" s="239">
        <v>5</v>
      </c>
      <c r="D137" s="239">
        <v>13</v>
      </c>
      <c r="E137" s="239">
        <f t="shared" si="18"/>
        <v>8</v>
      </c>
      <c r="F137" s="238">
        <f t="shared" si="19"/>
        <v>1.6</v>
      </c>
    </row>
    <row r="138" spans="1:6" ht="20.25" customHeight="1">
      <c r="A138" s="235">
        <v>8</v>
      </c>
      <c r="B138" s="236" t="s">
        <v>595</v>
      </c>
      <c r="C138" s="239">
        <v>1</v>
      </c>
      <c r="D138" s="239">
        <v>3</v>
      </c>
      <c r="E138" s="239">
        <f t="shared" si="18"/>
        <v>2</v>
      </c>
      <c r="F138" s="238">
        <f t="shared" si="19"/>
        <v>2</v>
      </c>
    </row>
    <row r="139" spans="1:6" ht="20.25" customHeight="1">
      <c r="A139" s="235">
        <v>9</v>
      </c>
      <c r="B139" s="236" t="s">
        <v>596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597</v>
      </c>
      <c r="C140" s="243">
        <f>+C131+C133</f>
        <v>5273</v>
      </c>
      <c r="D140" s="243">
        <f>+D131+D133</f>
        <v>18467</v>
      </c>
      <c r="E140" s="243">
        <f t="shared" si="18"/>
        <v>13194</v>
      </c>
      <c r="F140" s="244">
        <f t="shared" si="19"/>
        <v>2.502180921676465</v>
      </c>
    </row>
    <row r="141" spans="1:6" s="240" customFormat="1" ht="20.25" customHeight="1">
      <c r="A141" s="241"/>
      <c r="B141" s="242" t="s">
        <v>598</v>
      </c>
      <c r="C141" s="243">
        <f>+C132+C134</f>
        <v>1264</v>
      </c>
      <c r="D141" s="243">
        <f>+D132+D134</f>
        <v>5233</v>
      </c>
      <c r="E141" s="243">
        <f t="shared" si="18"/>
        <v>3969</v>
      </c>
      <c r="F141" s="244">
        <f t="shared" si="19"/>
        <v>3.1400316455696204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374</v>
      </c>
      <c r="B143" s="231" t="s">
        <v>608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590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591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592</v>
      </c>
      <c r="C146" s="237">
        <v>0</v>
      </c>
      <c r="D146" s="237">
        <v>1987</v>
      </c>
      <c r="E146" s="237">
        <f t="shared" si="20"/>
        <v>1987</v>
      </c>
      <c r="F146" s="238">
        <f t="shared" si="21"/>
        <v>0</v>
      </c>
    </row>
    <row r="147" spans="1:6" ht="20.25" customHeight="1">
      <c r="A147" s="235">
        <v>4</v>
      </c>
      <c r="B147" s="236" t="s">
        <v>593</v>
      </c>
      <c r="C147" s="237">
        <v>0</v>
      </c>
      <c r="D147" s="237">
        <v>378</v>
      </c>
      <c r="E147" s="237">
        <f t="shared" si="20"/>
        <v>378</v>
      </c>
      <c r="F147" s="238">
        <f t="shared" si="21"/>
        <v>0</v>
      </c>
    </row>
    <row r="148" spans="1:6" ht="20.25" customHeight="1">
      <c r="A148" s="235">
        <v>5</v>
      </c>
      <c r="B148" s="236" t="s">
        <v>529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528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594</v>
      </c>
      <c r="C150" s="239">
        <v>0</v>
      </c>
      <c r="D150" s="239">
        <v>8</v>
      </c>
      <c r="E150" s="239">
        <f t="shared" si="20"/>
        <v>8</v>
      </c>
      <c r="F150" s="238">
        <f t="shared" si="21"/>
        <v>0</v>
      </c>
    </row>
    <row r="151" spans="1:6" ht="20.25" customHeight="1">
      <c r="A151" s="235">
        <v>8</v>
      </c>
      <c r="B151" s="236" t="s">
        <v>595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596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597</v>
      </c>
      <c r="C153" s="243">
        <f>+C144+C146</f>
        <v>0</v>
      </c>
      <c r="D153" s="243">
        <f>+D144+D146</f>
        <v>1987</v>
      </c>
      <c r="E153" s="243">
        <f t="shared" si="20"/>
        <v>1987</v>
      </c>
      <c r="F153" s="244">
        <f t="shared" si="21"/>
        <v>0</v>
      </c>
    </row>
    <row r="154" spans="1:6" s="240" customFormat="1" ht="20.25" customHeight="1">
      <c r="A154" s="241"/>
      <c r="B154" s="242" t="s">
        <v>598</v>
      </c>
      <c r="C154" s="243">
        <f>+C145+C147</f>
        <v>0</v>
      </c>
      <c r="D154" s="243">
        <f>+D145+D147</f>
        <v>378</v>
      </c>
      <c r="E154" s="243">
        <f t="shared" si="20"/>
        <v>378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609</v>
      </c>
      <c r="B156" s="231" t="s">
        <v>610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590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591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592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593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529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528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594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595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596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597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598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611</v>
      </c>
      <c r="B169" s="231" t="s">
        <v>612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590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591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592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593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529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528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594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595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596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597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598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613</v>
      </c>
      <c r="B182" s="231" t="s">
        <v>614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590</v>
      </c>
      <c r="C183" s="237">
        <v>0</v>
      </c>
      <c r="D183" s="237">
        <v>708961</v>
      </c>
      <c r="E183" s="237">
        <f aca="true" t="shared" si="26" ref="E183:E193">D183-C183</f>
        <v>708961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591</v>
      </c>
      <c r="C184" s="237">
        <v>0</v>
      </c>
      <c r="D184" s="237">
        <v>312932</v>
      </c>
      <c r="E184" s="237">
        <f t="shared" si="26"/>
        <v>312932</v>
      </c>
      <c r="F184" s="238">
        <f t="shared" si="27"/>
        <v>0</v>
      </c>
    </row>
    <row r="185" spans="1:6" ht="20.25" customHeight="1">
      <c r="A185" s="235">
        <v>3</v>
      </c>
      <c r="B185" s="236" t="s">
        <v>592</v>
      </c>
      <c r="C185" s="237">
        <v>245939</v>
      </c>
      <c r="D185" s="237">
        <v>923307</v>
      </c>
      <c r="E185" s="237">
        <f t="shared" si="26"/>
        <v>677368</v>
      </c>
      <c r="F185" s="238">
        <f t="shared" si="27"/>
        <v>2.7542114101464183</v>
      </c>
    </row>
    <row r="186" spans="1:6" ht="20.25" customHeight="1">
      <c r="A186" s="235">
        <v>4</v>
      </c>
      <c r="B186" s="236" t="s">
        <v>593</v>
      </c>
      <c r="C186" s="237">
        <v>58150</v>
      </c>
      <c r="D186" s="237">
        <v>234797</v>
      </c>
      <c r="E186" s="237">
        <f t="shared" si="26"/>
        <v>176647</v>
      </c>
      <c r="F186" s="238">
        <f t="shared" si="27"/>
        <v>3.0377815993121238</v>
      </c>
    </row>
    <row r="187" spans="1:6" ht="20.25" customHeight="1">
      <c r="A187" s="235">
        <v>5</v>
      </c>
      <c r="B187" s="236" t="s">
        <v>529</v>
      </c>
      <c r="C187" s="239">
        <v>0</v>
      </c>
      <c r="D187" s="239">
        <v>41</v>
      </c>
      <c r="E187" s="239">
        <f t="shared" si="26"/>
        <v>41</v>
      </c>
      <c r="F187" s="238">
        <f t="shared" si="27"/>
        <v>0</v>
      </c>
    </row>
    <row r="188" spans="1:6" ht="20.25" customHeight="1">
      <c r="A188" s="235">
        <v>6</v>
      </c>
      <c r="B188" s="236" t="s">
        <v>528</v>
      </c>
      <c r="C188" s="239">
        <v>0</v>
      </c>
      <c r="D188" s="239">
        <v>203</v>
      </c>
      <c r="E188" s="239">
        <f t="shared" si="26"/>
        <v>203</v>
      </c>
      <c r="F188" s="238">
        <f t="shared" si="27"/>
        <v>0</v>
      </c>
    </row>
    <row r="189" spans="1:6" ht="20.25" customHeight="1">
      <c r="A189" s="235">
        <v>7</v>
      </c>
      <c r="B189" s="236" t="s">
        <v>594</v>
      </c>
      <c r="C189" s="239">
        <v>431</v>
      </c>
      <c r="D189" s="239">
        <v>1131</v>
      </c>
      <c r="E189" s="239">
        <f t="shared" si="26"/>
        <v>700</v>
      </c>
      <c r="F189" s="238">
        <f t="shared" si="27"/>
        <v>1.6241299303944317</v>
      </c>
    </row>
    <row r="190" spans="1:6" ht="20.25" customHeight="1">
      <c r="A190" s="235">
        <v>8</v>
      </c>
      <c r="B190" s="236" t="s">
        <v>595</v>
      </c>
      <c r="C190" s="239">
        <v>17</v>
      </c>
      <c r="D190" s="239">
        <v>133</v>
      </c>
      <c r="E190" s="239">
        <f t="shared" si="26"/>
        <v>116</v>
      </c>
      <c r="F190" s="238">
        <f t="shared" si="27"/>
        <v>6.823529411764706</v>
      </c>
    </row>
    <row r="191" spans="1:6" ht="20.25" customHeight="1">
      <c r="A191" s="235">
        <v>9</v>
      </c>
      <c r="B191" s="236" t="s">
        <v>596</v>
      </c>
      <c r="C191" s="239">
        <v>0</v>
      </c>
      <c r="D191" s="239">
        <v>30</v>
      </c>
      <c r="E191" s="239">
        <f t="shared" si="26"/>
        <v>30</v>
      </c>
      <c r="F191" s="238">
        <f t="shared" si="27"/>
        <v>0</v>
      </c>
    </row>
    <row r="192" spans="1:6" s="240" customFormat="1" ht="20.25" customHeight="1">
      <c r="A192" s="241"/>
      <c r="B192" s="242" t="s">
        <v>597</v>
      </c>
      <c r="C192" s="243">
        <f>+C183+C185</f>
        <v>245939</v>
      </c>
      <c r="D192" s="243">
        <f>+D183+D185</f>
        <v>1632268</v>
      </c>
      <c r="E192" s="243">
        <f t="shared" si="26"/>
        <v>1386329</v>
      </c>
      <c r="F192" s="244">
        <f t="shared" si="27"/>
        <v>5.636881503136957</v>
      </c>
    </row>
    <row r="193" spans="1:6" s="240" customFormat="1" ht="20.25" customHeight="1">
      <c r="A193" s="241"/>
      <c r="B193" s="242" t="s">
        <v>598</v>
      </c>
      <c r="C193" s="243">
        <f>+C184+C186</f>
        <v>58150</v>
      </c>
      <c r="D193" s="243">
        <f>+D184+D186</f>
        <v>547729</v>
      </c>
      <c r="E193" s="243">
        <f t="shared" si="26"/>
        <v>489579</v>
      </c>
      <c r="F193" s="244">
        <f t="shared" si="27"/>
        <v>8.419243336199484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6" t="s">
        <v>200</v>
      </c>
      <c r="B195" s="678" t="s">
        <v>615</v>
      </c>
      <c r="C195" s="680"/>
      <c r="D195" s="681"/>
      <c r="E195" s="681"/>
      <c r="F195" s="682"/>
      <c r="G195" s="686"/>
      <c r="H195" s="686"/>
      <c r="I195" s="686"/>
    </row>
    <row r="196" spans="1:9" ht="20.25" customHeight="1">
      <c r="A196" s="677"/>
      <c r="B196" s="679"/>
      <c r="C196" s="683"/>
      <c r="D196" s="684"/>
      <c r="E196" s="684"/>
      <c r="F196" s="685"/>
      <c r="G196" s="686"/>
      <c r="H196" s="686"/>
      <c r="I196" s="686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616</v>
      </c>
      <c r="C198" s="243">
        <f aca="true" t="shared" si="28" ref="C198:D206">+C183+C170+C157+C144+C131+C118+C105+C92+C79+C66+C53+C40+C27+C14</f>
        <v>2371723</v>
      </c>
      <c r="D198" s="243">
        <f t="shared" si="28"/>
        <v>2867764</v>
      </c>
      <c r="E198" s="243">
        <f aca="true" t="shared" si="29" ref="E198:E208">D198-C198</f>
        <v>496041</v>
      </c>
      <c r="F198" s="251">
        <f aca="true" t="shared" si="30" ref="F198:F208">IF(C198=0,0,E198/C198)</f>
        <v>0.20914794855891689</v>
      </c>
    </row>
    <row r="199" spans="1:6" ht="20.25" customHeight="1">
      <c r="A199" s="249"/>
      <c r="B199" s="250" t="s">
        <v>617</v>
      </c>
      <c r="C199" s="243">
        <f t="shared" si="28"/>
        <v>1052089</v>
      </c>
      <c r="D199" s="243">
        <f t="shared" si="28"/>
        <v>1433336</v>
      </c>
      <c r="E199" s="243">
        <f t="shared" si="29"/>
        <v>381247</v>
      </c>
      <c r="F199" s="251">
        <f t="shared" si="30"/>
        <v>0.36237143435583874</v>
      </c>
    </row>
    <row r="200" spans="1:6" ht="20.25" customHeight="1">
      <c r="A200" s="249"/>
      <c r="B200" s="250" t="s">
        <v>618</v>
      </c>
      <c r="C200" s="243">
        <f t="shared" si="28"/>
        <v>2481077</v>
      </c>
      <c r="D200" s="243">
        <f t="shared" si="28"/>
        <v>3879268</v>
      </c>
      <c r="E200" s="243">
        <f t="shared" si="29"/>
        <v>1398191</v>
      </c>
      <c r="F200" s="251">
        <f t="shared" si="30"/>
        <v>0.5635419618173881</v>
      </c>
    </row>
    <row r="201" spans="1:6" ht="20.25" customHeight="1">
      <c r="A201" s="249"/>
      <c r="B201" s="250" t="s">
        <v>619</v>
      </c>
      <c r="C201" s="243">
        <f t="shared" si="28"/>
        <v>567128</v>
      </c>
      <c r="D201" s="243">
        <f t="shared" si="28"/>
        <v>1017325</v>
      </c>
      <c r="E201" s="243">
        <f t="shared" si="29"/>
        <v>450197</v>
      </c>
      <c r="F201" s="251">
        <f t="shared" si="30"/>
        <v>0.7938190320350962</v>
      </c>
    </row>
    <row r="202" spans="1:6" ht="20.25" customHeight="1">
      <c r="A202" s="249"/>
      <c r="B202" s="250" t="s">
        <v>620</v>
      </c>
      <c r="C202" s="252">
        <f t="shared" si="28"/>
        <v>147</v>
      </c>
      <c r="D202" s="252">
        <f t="shared" si="28"/>
        <v>189</v>
      </c>
      <c r="E202" s="252">
        <f t="shared" si="29"/>
        <v>42</v>
      </c>
      <c r="F202" s="251">
        <f t="shared" si="30"/>
        <v>0.2857142857142857</v>
      </c>
    </row>
    <row r="203" spans="1:6" ht="20.25" customHeight="1">
      <c r="A203" s="249"/>
      <c r="B203" s="250" t="s">
        <v>621</v>
      </c>
      <c r="C203" s="252">
        <f t="shared" si="28"/>
        <v>642</v>
      </c>
      <c r="D203" s="252">
        <f t="shared" si="28"/>
        <v>783</v>
      </c>
      <c r="E203" s="252">
        <f t="shared" si="29"/>
        <v>141</v>
      </c>
      <c r="F203" s="251">
        <f t="shared" si="30"/>
        <v>0.21962616822429906</v>
      </c>
    </row>
    <row r="204" spans="1:6" ht="39.75" customHeight="1">
      <c r="A204" s="249"/>
      <c r="B204" s="250" t="s">
        <v>622</v>
      </c>
      <c r="C204" s="252">
        <f t="shared" si="28"/>
        <v>3350</v>
      </c>
      <c r="D204" s="252">
        <f t="shared" si="28"/>
        <v>4808</v>
      </c>
      <c r="E204" s="252">
        <f t="shared" si="29"/>
        <v>1458</v>
      </c>
      <c r="F204" s="251">
        <f t="shared" si="30"/>
        <v>0.43522388059701494</v>
      </c>
    </row>
    <row r="205" spans="1:6" ht="39.75" customHeight="1">
      <c r="A205" s="249"/>
      <c r="B205" s="250" t="s">
        <v>623</v>
      </c>
      <c r="C205" s="252">
        <f t="shared" si="28"/>
        <v>184</v>
      </c>
      <c r="D205" s="252">
        <f t="shared" si="28"/>
        <v>359</v>
      </c>
      <c r="E205" s="252">
        <f t="shared" si="29"/>
        <v>175</v>
      </c>
      <c r="F205" s="251">
        <f t="shared" si="30"/>
        <v>0.9510869565217391</v>
      </c>
    </row>
    <row r="206" spans="1:6" ht="39.75" customHeight="1">
      <c r="A206" s="249"/>
      <c r="B206" s="250" t="s">
        <v>624</v>
      </c>
      <c r="C206" s="252">
        <f t="shared" si="28"/>
        <v>117</v>
      </c>
      <c r="D206" s="252">
        <f t="shared" si="28"/>
        <v>130</v>
      </c>
      <c r="E206" s="252">
        <f t="shared" si="29"/>
        <v>13</v>
      </c>
      <c r="F206" s="251">
        <f t="shared" si="30"/>
        <v>0.1111111111111111</v>
      </c>
    </row>
    <row r="207" spans="1:6" ht="20.25" customHeight="1">
      <c r="A207" s="249"/>
      <c r="B207" s="242" t="s">
        <v>625</v>
      </c>
      <c r="C207" s="243">
        <f>+C198+C200</f>
        <v>4852800</v>
      </c>
      <c r="D207" s="243">
        <f>+D198+D200</f>
        <v>6747032</v>
      </c>
      <c r="E207" s="243">
        <f t="shared" si="29"/>
        <v>1894232</v>
      </c>
      <c r="F207" s="251">
        <f t="shared" si="30"/>
        <v>0.3903379492251896</v>
      </c>
    </row>
    <row r="208" spans="1:6" ht="20.25" customHeight="1">
      <c r="A208" s="249"/>
      <c r="B208" s="242" t="s">
        <v>626</v>
      </c>
      <c r="C208" s="243">
        <f>+C199+C201</f>
        <v>1619217</v>
      </c>
      <c r="D208" s="243">
        <f>+D199+D201</f>
        <v>2450661</v>
      </c>
      <c r="E208" s="243">
        <f t="shared" si="29"/>
        <v>831444</v>
      </c>
      <c r="F208" s="251">
        <f t="shared" si="30"/>
        <v>0.5134852215607915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FILING&amp;RWINDHAM COMMUNITY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156</v>
      </c>
      <c r="B2" s="660"/>
      <c r="C2" s="660"/>
      <c r="D2" s="660"/>
      <c r="E2" s="660"/>
      <c r="F2" s="660"/>
    </row>
    <row r="3" spans="1:6" ht="20.25" customHeight="1">
      <c r="A3" s="660" t="s">
        <v>157</v>
      </c>
      <c r="B3" s="660"/>
      <c r="C3" s="660"/>
      <c r="D3" s="660"/>
      <c r="E3" s="660"/>
      <c r="F3" s="660"/>
    </row>
    <row r="4" spans="1:6" ht="20.25" customHeight="1">
      <c r="A4" s="660" t="s">
        <v>158</v>
      </c>
      <c r="B4" s="660"/>
      <c r="C4" s="660"/>
      <c r="D4" s="660"/>
      <c r="E4" s="660"/>
      <c r="F4" s="660"/>
    </row>
    <row r="5" spans="1:6" ht="20.25" customHeight="1">
      <c r="A5" s="660" t="s">
        <v>627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586</v>
      </c>
      <c r="D8" s="223" t="s">
        <v>587</v>
      </c>
      <c r="E8" s="223" t="s">
        <v>588</v>
      </c>
      <c r="F8" s="224" t="s">
        <v>264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6" t="s">
        <v>168</v>
      </c>
      <c r="B10" s="678" t="s">
        <v>271</v>
      </c>
      <c r="C10" s="680"/>
      <c r="D10" s="681"/>
      <c r="E10" s="681"/>
      <c r="F10" s="682"/>
    </row>
    <row r="11" spans="1:6" ht="20.25" customHeight="1">
      <c r="A11" s="677"/>
      <c r="B11" s="679"/>
      <c r="C11" s="683"/>
      <c r="D11" s="684"/>
      <c r="E11" s="684"/>
      <c r="F11" s="685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266</v>
      </c>
      <c r="B13" s="261" t="s">
        <v>628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590</v>
      </c>
      <c r="C14" s="237">
        <v>1776160</v>
      </c>
      <c r="D14" s="237">
        <v>640297</v>
      </c>
      <c r="E14" s="237">
        <f aca="true" t="shared" si="0" ref="E14:E24">D14-C14</f>
        <v>-1135863</v>
      </c>
      <c r="F14" s="238">
        <f aca="true" t="shared" si="1" ref="F14:F24">IF(C14=0,0,E14/C14)</f>
        <v>-0.6395048869471219</v>
      </c>
    </row>
    <row r="15" spans="1:6" ht="20.25" customHeight="1">
      <c r="A15" s="235">
        <v>2</v>
      </c>
      <c r="B15" s="236" t="s">
        <v>591</v>
      </c>
      <c r="C15" s="237">
        <v>824026</v>
      </c>
      <c r="D15" s="237">
        <v>336188</v>
      </c>
      <c r="E15" s="237">
        <f t="shared" si="0"/>
        <v>-487838</v>
      </c>
      <c r="F15" s="238">
        <f t="shared" si="1"/>
        <v>-0.5920177275959739</v>
      </c>
    </row>
    <row r="16" spans="1:6" ht="20.25" customHeight="1">
      <c r="A16" s="235">
        <v>3</v>
      </c>
      <c r="B16" s="236" t="s">
        <v>592</v>
      </c>
      <c r="C16" s="237">
        <v>6058571</v>
      </c>
      <c r="D16" s="237">
        <v>1802280</v>
      </c>
      <c r="E16" s="237">
        <f t="shared" si="0"/>
        <v>-4256291</v>
      </c>
      <c r="F16" s="238">
        <f t="shared" si="1"/>
        <v>-0.7025239119917882</v>
      </c>
    </row>
    <row r="17" spans="1:6" ht="20.25" customHeight="1">
      <c r="A17" s="235">
        <v>4</v>
      </c>
      <c r="B17" s="236" t="s">
        <v>593</v>
      </c>
      <c r="C17" s="237">
        <v>1777419</v>
      </c>
      <c r="D17" s="237">
        <v>543897</v>
      </c>
      <c r="E17" s="237">
        <f t="shared" si="0"/>
        <v>-1233522</v>
      </c>
      <c r="F17" s="238">
        <f t="shared" si="1"/>
        <v>-0.693996182104501</v>
      </c>
    </row>
    <row r="18" spans="1:6" ht="20.25" customHeight="1">
      <c r="A18" s="235">
        <v>5</v>
      </c>
      <c r="B18" s="236" t="s">
        <v>529</v>
      </c>
      <c r="C18" s="239">
        <v>292</v>
      </c>
      <c r="D18" s="239">
        <v>98</v>
      </c>
      <c r="E18" s="239">
        <f t="shared" si="0"/>
        <v>-194</v>
      </c>
      <c r="F18" s="238">
        <f t="shared" si="1"/>
        <v>-0.6643835616438356</v>
      </c>
    </row>
    <row r="19" spans="1:6" ht="20.25" customHeight="1">
      <c r="A19" s="235">
        <v>6</v>
      </c>
      <c r="B19" s="236" t="s">
        <v>528</v>
      </c>
      <c r="C19" s="239">
        <v>677</v>
      </c>
      <c r="D19" s="239">
        <v>249</v>
      </c>
      <c r="E19" s="239">
        <f t="shared" si="0"/>
        <v>-428</v>
      </c>
      <c r="F19" s="238">
        <f t="shared" si="1"/>
        <v>-0.6322008862629247</v>
      </c>
    </row>
    <row r="20" spans="1:6" ht="20.25" customHeight="1">
      <c r="A20" s="235">
        <v>7</v>
      </c>
      <c r="B20" s="236" t="s">
        <v>594</v>
      </c>
      <c r="C20" s="239">
        <v>4637</v>
      </c>
      <c r="D20" s="239">
        <v>1380</v>
      </c>
      <c r="E20" s="239">
        <f t="shared" si="0"/>
        <v>-3257</v>
      </c>
      <c r="F20" s="238">
        <f t="shared" si="1"/>
        <v>-0.7023937890877723</v>
      </c>
    </row>
    <row r="21" spans="1:6" ht="20.25" customHeight="1">
      <c r="A21" s="235">
        <v>8</v>
      </c>
      <c r="B21" s="236" t="s">
        <v>595</v>
      </c>
      <c r="C21" s="239">
        <v>2945</v>
      </c>
      <c r="D21" s="239">
        <v>856</v>
      </c>
      <c r="E21" s="239">
        <f t="shared" si="0"/>
        <v>-2089</v>
      </c>
      <c r="F21" s="238">
        <f t="shared" si="1"/>
        <v>-0.7093378607809847</v>
      </c>
    </row>
    <row r="22" spans="1:6" ht="20.25" customHeight="1">
      <c r="A22" s="235">
        <v>9</v>
      </c>
      <c r="B22" s="236" t="s">
        <v>596</v>
      </c>
      <c r="C22" s="239">
        <v>98</v>
      </c>
      <c r="D22" s="239">
        <v>56</v>
      </c>
      <c r="E22" s="239">
        <f t="shared" si="0"/>
        <v>-42</v>
      </c>
      <c r="F22" s="238">
        <f t="shared" si="1"/>
        <v>-0.42857142857142855</v>
      </c>
    </row>
    <row r="23" spans="1:6" s="240" customFormat="1" ht="39.75" customHeight="1">
      <c r="A23" s="245"/>
      <c r="B23" s="242" t="s">
        <v>597</v>
      </c>
      <c r="C23" s="243">
        <f>+C14+C16</f>
        <v>7834731</v>
      </c>
      <c r="D23" s="243">
        <f>+D14+D16</f>
        <v>2442577</v>
      </c>
      <c r="E23" s="243">
        <f t="shared" si="0"/>
        <v>-5392154</v>
      </c>
      <c r="F23" s="244">
        <f t="shared" si="1"/>
        <v>-0.6882372860025443</v>
      </c>
    </row>
    <row r="24" spans="1:6" s="240" customFormat="1" ht="39.75" customHeight="1">
      <c r="A24" s="245"/>
      <c r="B24" s="242" t="s">
        <v>626</v>
      </c>
      <c r="C24" s="243">
        <f>+C15+C17</f>
        <v>2601445</v>
      </c>
      <c r="D24" s="243">
        <f>+D15+D17</f>
        <v>880085</v>
      </c>
      <c r="E24" s="243">
        <f t="shared" si="0"/>
        <v>-1721360</v>
      </c>
      <c r="F24" s="244">
        <f t="shared" si="1"/>
        <v>-0.6616937894131916</v>
      </c>
    </row>
    <row r="25" spans="1:6" ht="42" customHeight="1">
      <c r="A25" s="227" t="s">
        <v>280</v>
      </c>
      <c r="B25" s="261" t="s">
        <v>629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590</v>
      </c>
      <c r="C26" s="237">
        <v>1135896</v>
      </c>
      <c r="D26" s="237">
        <v>1894746</v>
      </c>
      <c r="E26" s="237">
        <f aca="true" t="shared" si="2" ref="E26:E36">D26-C26</f>
        <v>758850</v>
      </c>
      <c r="F26" s="238">
        <f aca="true" t="shared" si="3" ref="F26:F36">IF(C26=0,0,E26/C26)</f>
        <v>0.6680629212533542</v>
      </c>
    </row>
    <row r="27" spans="1:6" ht="20.25" customHeight="1">
      <c r="A27" s="235">
        <v>2</v>
      </c>
      <c r="B27" s="236" t="s">
        <v>591</v>
      </c>
      <c r="C27" s="237">
        <v>593359</v>
      </c>
      <c r="D27" s="237">
        <v>961674</v>
      </c>
      <c r="E27" s="237">
        <f t="shared" si="2"/>
        <v>368315</v>
      </c>
      <c r="F27" s="238">
        <f t="shared" si="3"/>
        <v>0.6207287662275284</v>
      </c>
    </row>
    <row r="28" spans="1:6" ht="20.25" customHeight="1">
      <c r="A28" s="235">
        <v>3</v>
      </c>
      <c r="B28" s="236" t="s">
        <v>592</v>
      </c>
      <c r="C28" s="237">
        <v>2796967</v>
      </c>
      <c r="D28" s="237">
        <v>7286923</v>
      </c>
      <c r="E28" s="237">
        <f t="shared" si="2"/>
        <v>4489956</v>
      </c>
      <c r="F28" s="238">
        <f t="shared" si="3"/>
        <v>1.605294592320896</v>
      </c>
    </row>
    <row r="29" spans="1:6" ht="20.25" customHeight="1">
      <c r="A29" s="235">
        <v>4</v>
      </c>
      <c r="B29" s="236" t="s">
        <v>593</v>
      </c>
      <c r="C29" s="237">
        <v>777399</v>
      </c>
      <c r="D29" s="237">
        <v>2212226</v>
      </c>
      <c r="E29" s="237">
        <f t="shared" si="2"/>
        <v>1434827</v>
      </c>
      <c r="F29" s="238">
        <f t="shared" si="3"/>
        <v>1.845676415843087</v>
      </c>
    </row>
    <row r="30" spans="1:6" ht="20.25" customHeight="1">
      <c r="A30" s="235">
        <v>5</v>
      </c>
      <c r="B30" s="236" t="s">
        <v>529</v>
      </c>
      <c r="C30" s="239">
        <v>183</v>
      </c>
      <c r="D30" s="239">
        <v>302</v>
      </c>
      <c r="E30" s="239">
        <f t="shared" si="2"/>
        <v>119</v>
      </c>
      <c r="F30" s="238">
        <f t="shared" si="3"/>
        <v>0.6502732240437158</v>
      </c>
    </row>
    <row r="31" spans="1:6" ht="20.25" customHeight="1">
      <c r="A31" s="235">
        <v>6</v>
      </c>
      <c r="B31" s="236" t="s">
        <v>528</v>
      </c>
      <c r="C31" s="239">
        <v>468</v>
      </c>
      <c r="D31" s="239">
        <v>669</v>
      </c>
      <c r="E31" s="239">
        <f t="shared" si="2"/>
        <v>201</v>
      </c>
      <c r="F31" s="238">
        <f t="shared" si="3"/>
        <v>0.42948717948717946</v>
      </c>
    </row>
    <row r="32" spans="1:6" ht="20.25" customHeight="1">
      <c r="A32" s="235">
        <v>7</v>
      </c>
      <c r="B32" s="236" t="s">
        <v>594</v>
      </c>
      <c r="C32" s="239">
        <v>2467</v>
      </c>
      <c r="D32" s="239">
        <v>6069</v>
      </c>
      <c r="E32" s="239">
        <f t="shared" si="2"/>
        <v>3602</v>
      </c>
      <c r="F32" s="238">
        <f t="shared" si="3"/>
        <v>1.4600729631130929</v>
      </c>
    </row>
    <row r="33" spans="1:6" ht="20.25" customHeight="1">
      <c r="A33" s="235">
        <v>8</v>
      </c>
      <c r="B33" s="236" t="s">
        <v>595</v>
      </c>
      <c r="C33" s="239">
        <v>1347</v>
      </c>
      <c r="D33" s="239">
        <v>3588</v>
      </c>
      <c r="E33" s="239">
        <f t="shared" si="2"/>
        <v>2241</v>
      </c>
      <c r="F33" s="238">
        <f t="shared" si="3"/>
        <v>1.6636971046770601</v>
      </c>
    </row>
    <row r="34" spans="1:6" ht="20.25" customHeight="1">
      <c r="A34" s="235">
        <v>9</v>
      </c>
      <c r="B34" s="236" t="s">
        <v>596</v>
      </c>
      <c r="C34" s="239">
        <v>49</v>
      </c>
      <c r="D34" s="239">
        <v>220</v>
      </c>
      <c r="E34" s="239">
        <f t="shared" si="2"/>
        <v>171</v>
      </c>
      <c r="F34" s="238">
        <f t="shared" si="3"/>
        <v>3.489795918367347</v>
      </c>
    </row>
    <row r="35" spans="1:6" s="240" customFormat="1" ht="39.75" customHeight="1">
      <c r="A35" s="245"/>
      <c r="B35" s="242" t="s">
        <v>597</v>
      </c>
      <c r="C35" s="243">
        <f>+C26+C28</f>
        <v>3932863</v>
      </c>
      <c r="D35" s="243">
        <f>+D26+D28</f>
        <v>9181669</v>
      </c>
      <c r="E35" s="243">
        <f t="shared" si="2"/>
        <v>5248806</v>
      </c>
      <c r="F35" s="244">
        <f t="shared" si="3"/>
        <v>1.3346017900954088</v>
      </c>
    </row>
    <row r="36" spans="1:6" s="240" customFormat="1" ht="39.75" customHeight="1">
      <c r="A36" s="245"/>
      <c r="B36" s="242" t="s">
        <v>626</v>
      </c>
      <c r="C36" s="243">
        <f>+C27+C29</f>
        <v>1370758</v>
      </c>
      <c r="D36" s="243">
        <f>+D27+D29</f>
        <v>3173900</v>
      </c>
      <c r="E36" s="243">
        <f t="shared" si="2"/>
        <v>1803142</v>
      </c>
      <c r="F36" s="244">
        <f t="shared" si="3"/>
        <v>1.3154342341974294</v>
      </c>
    </row>
    <row r="37" spans="1:6" ht="42" customHeight="1">
      <c r="A37" s="227" t="s">
        <v>297</v>
      </c>
      <c r="B37" s="261" t="s">
        <v>630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590</v>
      </c>
      <c r="C38" s="237">
        <v>693569</v>
      </c>
      <c r="D38" s="237">
        <v>0</v>
      </c>
      <c r="E38" s="237">
        <f aca="true" t="shared" si="4" ref="E38:E48">D38-C38</f>
        <v>-693569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591</v>
      </c>
      <c r="C39" s="237">
        <v>413235</v>
      </c>
      <c r="D39" s="237">
        <v>0</v>
      </c>
      <c r="E39" s="237">
        <f t="shared" si="4"/>
        <v>-413235</v>
      </c>
      <c r="F39" s="238">
        <f t="shared" si="5"/>
        <v>-1</v>
      </c>
    </row>
    <row r="40" spans="1:6" ht="20.25" customHeight="1">
      <c r="A40" s="235">
        <v>3</v>
      </c>
      <c r="B40" s="236" t="s">
        <v>592</v>
      </c>
      <c r="C40" s="237">
        <v>1827926</v>
      </c>
      <c r="D40" s="237">
        <v>0</v>
      </c>
      <c r="E40" s="237">
        <f t="shared" si="4"/>
        <v>-1827926</v>
      </c>
      <c r="F40" s="238">
        <f t="shared" si="5"/>
        <v>-1</v>
      </c>
    </row>
    <row r="41" spans="1:6" ht="20.25" customHeight="1">
      <c r="A41" s="235">
        <v>4</v>
      </c>
      <c r="B41" s="236" t="s">
        <v>593</v>
      </c>
      <c r="C41" s="237">
        <v>520366</v>
      </c>
      <c r="D41" s="237">
        <v>0</v>
      </c>
      <c r="E41" s="237">
        <f t="shared" si="4"/>
        <v>-520366</v>
      </c>
      <c r="F41" s="238">
        <f t="shared" si="5"/>
        <v>-1</v>
      </c>
    </row>
    <row r="42" spans="1:6" ht="20.25" customHeight="1">
      <c r="A42" s="235">
        <v>5</v>
      </c>
      <c r="B42" s="236" t="s">
        <v>529</v>
      </c>
      <c r="C42" s="239">
        <v>138</v>
      </c>
      <c r="D42" s="239">
        <v>0</v>
      </c>
      <c r="E42" s="239">
        <f t="shared" si="4"/>
        <v>-138</v>
      </c>
      <c r="F42" s="238">
        <f t="shared" si="5"/>
        <v>-1</v>
      </c>
    </row>
    <row r="43" spans="1:6" ht="20.25" customHeight="1">
      <c r="A43" s="235">
        <v>6</v>
      </c>
      <c r="B43" s="236" t="s">
        <v>528</v>
      </c>
      <c r="C43" s="239">
        <v>323</v>
      </c>
      <c r="D43" s="239">
        <v>0</v>
      </c>
      <c r="E43" s="239">
        <f t="shared" si="4"/>
        <v>-323</v>
      </c>
      <c r="F43" s="238">
        <f t="shared" si="5"/>
        <v>-1</v>
      </c>
    </row>
    <row r="44" spans="1:6" ht="20.25" customHeight="1">
      <c r="A44" s="235">
        <v>7</v>
      </c>
      <c r="B44" s="236" t="s">
        <v>594</v>
      </c>
      <c r="C44" s="239">
        <v>1524</v>
      </c>
      <c r="D44" s="239">
        <v>0</v>
      </c>
      <c r="E44" s="239">
        <f t="shared" si="4"/>
        <v>-1524</v>
      </c>
      <c r="F44" s="238">
        <f t="shared" si="5"/>
        <v>-1</v>
      </c>
    </row>
    <row r="45" spans="1:6" ht="20.25" customHeight="1">
      <c r="A45" s="235">
        <v>8</v>
      </c>
      <c r="B45" s="236" t="s">
        <v>595</v>
      </c>
      <c r="C45" s="239">
        <v>806</v>
      </c>
      <c r="D45" s="239">
        <v>0</v>
      </c>
      <c r="E45" s="239">
        <f t="shared" si="4"/>
        <v>-806</v>
      </c>
      <c r="F45" s="238">
        <f t="shared" si="5"/>
        <v>-1</v>
      </c>
    </row>
    <row r="46" spans="1:6" ht="20.25" customHeight="1">
      <c r="A46" s="235">
        <v>9</v>
      </c>
      <c r="B46" s="236" t="s">
        <v>596</v>
      </c>
      <c r="C46" s="239">
        <v>26</v>
      </c>
      <c r="D46" s="239">
        <v>0</v>
      </c>
      <c r="E46" s="239">
        <f t="shared" si="4"/>
        <v>-26</v>
      </c>
      <c r="F46" s="238">
        <f t="shared" si="5"/>
        <v>-1</v>
      </c>
    </row>
    <row r="47" spans="1:6" s="240" customFormat="1" ht="39.75" customHeight="1">
      <c r="A47" s="245"/>
      <c r="B47" s="242" t="s">
        <v>597</v>
      </c>
      <c r="C47" s="243">
        <f>+C38+C40</f>
        <v>2521495</v>
      </c>
      <c r="D47" s="243">
        <f>+D38+D40</f>
        <v>0</v>
      </c>
      <c r="E47" s="243">
        <f t="shared" si="4"/>
        <v>-2521495</v>
      </c>
      <c r="F47" s="244">
        <f t="shared" si="5"/>
        <v>-1</v>
      </c>
    </row>
    <row r="48" spans="1:6" s="240" customFormat="1" ht="39.75" customHeight="1">
      <c r="A48" s="245"/>
      <c r="B48" s="242" t="s">
        <v>626</v>
      </c>
      <c r="C48" s="243">
        <f>+C39+C41</f>
        <v>933601</v>
      </c>
      <c r="D48" s="243">
        <f>+D39+D41</f>
        <v>0</v>
      </c>
      <c r="E48" s="243">
        <f t="shared" si="4"/>
        <v>-933601</v>
      </c>
      <c r="F48" s="244">
        <f t="shared" si="5"/>
        <v>-1</v>
      </c>
    </row>
    <row r="49" spans="1:6" ht="42" customHeight="1">
      <c r="A49" s="227" t="s">
        <v>327</v>
      </c>
      <c r="B49" s="261" t="s">
        <v>631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590</v>
      </c>
      <c r="C50" s="237">
        <v>126458</v>
      </c>
      <c r="D50" s="237">
        <v>0</v>
      </c>
      <c r="E50" s="237">
        <f aca="true" t="shared" si="6" ref="E50:E60">D50-C50</f>
        <v>-126458</v>
      </c>
      <c r="F50" s="238">
        <f aca="true" t="shared" si="7" ref="F50:F60">IF(C50=0,0,E50/C50)</f>
        <v>-1</v>
      </c>
    </row>
    <row r="51" spans="1:6" ht="20.25" customHeight="1">
      <c r="A51" s="235">
        <v>2</v>
      </c>
      <c r="B51" s="236" t="s">
        <v>591</v>
      </c>
      <c r="C51" s="237">
        <v>50377</v>
      </c>
      <c r="D51" s="237">
        <v>0</v>
      </c>
      <c r="E51" s="237">
        <f t="shared" si="6"/>
        <v>-50377</v>
      </c>
      <c r="F51" s="238">
        <f t="shared" si="7"/>
        <v>-1</v>
      </c>
    </row>
    <row r="52" spans="1:6" ht="20.25" customHeight="1">
      <c r="A52" s="235">
        <v>3</v>
      </c>
      <c r="B52" s="236" t="s">
        <v>592</v>
      </c>
      <c r="C52" s="237">
        <v>268661</v>
      </c>
      <c r="D52" s="237">
        <v>0</v>
      </c>
      <c r="E52" s="237">
        <f t="shared" si="6"/>
        <v>-268661</v>
      </c>
      <c r="F52" s="238">
        <f t="shared" si="7"/>
        <v>-1</v>
      </c>
    </row>
    <row r="53" spans="1:6" ht="20.25" customHeight="1">
      <c r="A53" s="235">
        <v>4</v>
      </c>
      <c r="B53" s="236" t="s">
        <v>593</v>
      </c>
      <c r="C53" s="237">
        <v>71732</v>
      </c>
      <c r="D53" s="237">
        <v>0</v>
      </c>
      <c r="E53" s="237">
        <f t="shared" si="6"/>
        <v>-71732</v>
      </c>
      <c r="F53" s="238">
        <f t="shared" si="7"/>
        <v>-1</v>
      </c>
    </row>
    <row r="54" spans="1:6" ht="20.25" customHeight="1">
      <c r="A54" s="235">
        <v>5</v>
      </c>
      <c r="B54" s="236" t="s">
        <v>529</v>
      </c>
      <c r="C54" s="239">
        <v>23</v>
      </c>
      <c r="D54" s="239">
        <v>0</v>
      </c>
      <c r="E54" s="239">
        <f t="shared" si="6"/>
        <v>-23</v>
      </c>
      <c r="F54" s="238">
        <f t="shared" si="7"/>
        <v>-1</v>
      </c>
    </row>
    <row r="55" spans="1:6" ht="20.25" customHeight="1">
      <c r="A55" s="235">
        <v>6</v>
      </c>
      <c r="B55" s="236" t="s">
        <v>528</v>
      </c>
      <c r="C55" s="239">
        <v>52</v>
      </c>
      <c r="D55" s="239">
        <v>0</v>
      </c>
      <c r="E55" s="239">
        <f t="shared" si="6"/>
        <v>-52</v>
      </c>
      <c r="F55" s="238">
        <f t="shared" si="7"/>
        <v>-1</v>
      </c>
    </row>
    <row r="56" spans="1:6" ht="20.25" customHeight="1">
      <c r="A56" s="235">
        <v>7</v>
      </c>
      <c r="B56" s="236" t="s">
        <v>594</v>
      </c>
      <c r="C56" s="239">
        <v>194</v>
      </c>
      <c r="D56" s="239">
        <v>0</v>
      </c>
      <c r="E56" s="239">
        <f t="shared" si="6"/>
        <v>-194</v>
      </c>
      <c r="F56" s="238">
        <f t="shared" si="7"/>
        <v>-1</v>
      </c>
    </row>
    <row r="57" spans="1:6" ht="20.25" customHeight="1">
      <c r="A57" s="235">
        <v>8</v>
      </c>
      <c r="B57" s="236" t="s">
        <v>595</v>
      </c>
      <c r="C57" s="239">
        <v>159</v>
      </c>
      <c r="D57" s="239">
        <v>0</v>
      </c>
      <c r="E57" s="239">
        <f t="shared" si="6"/>
        <v>-159</v>
      </c>
      <c r="F57" s="238">
        <f t="shared" si="7"/>
        <v>-1</v>
      </c>
    </row>
    <row r="58" spans="1:6" ht="20.25" customHeight="1">
      <c r="A58" s="235">
        <v>9</v>
      </c>
      <c r="B58" s="236" t="s">
        <v>596</v>
      </c>
      <c r="C58" s="239">
        <v>3</v>
      </c>
      <c r="D58" s="239">
        <v>0</v>
      </c>
      <c r="E58" s="239">
        <f t="shared" si="6"/>
        <v>-3</v>
      </c>
      <c r="F58" s="238">
        <f t="shared" si="7"/>
        <v>-1</v>
      </c>
    </row>
    <row r="59" spans="1:6" s="240" customFormat="1" ht="39.75" customHeight="1">
      <c r="A59" s="245"/>
      <c r="B59" s="242" t="s">
        <v>597</v>
      </c>
      <c r="C59" s="243">
        <f>+C50+C52</f>
        <v>395119</v>
      </c>
      <c r="D59" s="243">
        <f>+D50+D52</f>
        <v>0</v>
      </c>
      <c r="E59" s="243">
        <f t="shared" si="6"/>
        <v>-395119</v>
      </c>
      <c r="F59" s="244">
        <f t="shared" si="7"/>
        <v>-1</v>
      </c>
    </row>
    <row r="60" spans="1:6" s="240" customFormat="1" ht="39.75" customHeight="1">
      <c r="A60" s="245"/>
      <c r="B60" s="242" t="s">
        <v>626</v>
      </c>
      <c r="C60" s="243">
        <f>+C51+C53</f>
        <v>122109</v>
      </c>
      <c r="D60" s="243">
        <f>+D51+D53</f>
        <v>0</v>
      </c>
      <c r="E60" s="243">
        <f t="shared" si="6"/>
        <v>-122109</v>
      </c>
      <c r="F60" s="244">
        <f t="shared" si="7"/>
        <v>-1</v>
      </c>
    </row>
    <row r="61" spans="1:6" ht="42" customHeight="1">
      <c r="A61" s="227" t="s">
        <v>332</v>
      </c>
      <c r="B61" s="261" t="s">
        <v>605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590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591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592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593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529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528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594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595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596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597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626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338</v>
      </c>
      <c r="B73" s="261" t="s">
        <v>632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590</v>
      </c>
      <c r="C74" s="237">
        <v>0</v>
      </c>
      <c r="D74" s="237">
        <v>0</v>
      </c>
      <c r="E74" s="237">
        <f aca="true" t="shared" si="10" ref="E74:E84">D74-C74</f>
        <v>0</v>
      </c>
      <c r="F74" s="238">
        <f aca="true" t="shared" si="11" ref="F74:F84">IF(C74=0,0,E74/C74)</f>
        <v>0</v>
      </c>
    </row>
    <row r="75" spans="1:6" ht="20.25" customHeight="1">
      <c r="A75" s="235">
        <v>2</v>
      </c>
      <c r="B75" s="236" t="s">
        <v>591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>
      <c r="A76" s="235">
        <v>3</v>
      </c>
      <c r="B76" s="236" t="s">
        <v>592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>
      <c r="A77" s="235">
        <v>4</v>
      </c>
      <c r="B77" s="236" t="s">
        <v>593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>
      <c r="A78" s="235">
        <v>5</v>
      </c>
      <c r="B78" s="236" t="s">
        <v>529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>
      <c r="A79" s="235">
        <v>6</v>
      </c>
      <c r="B79" s="236" t="s">
        <v>528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>
      <c r="A80" s="235">
        <v>7</v>
      </c>
      <c r="B80" s="236" t="s">
        <v>594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>
      <c r="A81" s="235">
        <v>8</v>
      </c>
      <c r="B81" s="236" t="s">
        <v>595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>
      <c r="A82" s="235">
        <v>9</v>
      </c>
      <c r="B82" s="236" t="s">
        <v>596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597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75" customHeight="1">
      <c r="A84" s="245"/>
      <c r="B84" s="242" t="s">
        <v>626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>
      <c r="A85" s="227" t="s">
        <v>340</v>
      </c>
      <c r="B85" s="261" t="s">
        <v>633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590</v>
      </c>
      <c r="C86" s="237">
        <v>0</v>
      </c>
      <c r="D86" s="237">
        <v>314972</v>
      </c>
      <c r="E86" s="237">
        <f aca="true" t="shared" si="12" ref="E86:E96">D86-C86</f>
        <v>314972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591</v>
      </c>
      <c r="C87" s="237">
        <v>0</v>
      </c>
      <c r="D87" s="237">
        <v>177416</v>
      </c>
      <c r="E87" s="237">
        <f t="shared" si="12"/>
        <v>177416</v>
      </c>
      <c r="F87" s="238">
        <f t="shared" si="13"/>
        <v>0</v>
      </c>
    </row>
    <row r="88" spans="1:6" ht="20.25" customHeight="1">
      <c r="A88" s="235">
        <v>3</v>
      </c>
      <c r="B88" s="236" t="s">
        <v>592</v>
      </c>
      <c r="C88" s="237">
        <v>0</v>
      </c>
      <c r="D88" s="237">
        <v>942995</v>
      </c>
      <c r="E88" s="237">
        <f t="shared" si="12"/>
        <v>942995</v>
      </c>
      <c r="F88" s="238">
        <f t="shared" si="13"/>
        <v>0</v>
      </c>
    </row>
    <row r="89" spans="1:6" ht="20.25" customHeight="1">
      <c r="A89" s="235">
        <v>4</v>
      </c>
      <c r="B89" s="236" t="s">
        <v>593</v>
      </c>
      <c r="C89" s="237">
        <v>0</v>
      </c>
      <c r="D89" s="237">
        <v>276409</v>
      </c>
      <c r="E89" s="237">
        <f t="shared" si="12"/>
        <v>276409</v>
      </c>
      <c r="F89" s="238">
        <f t="shared" si="13"/>
        <v>0</v>
      </c>
    </row>
    <row r="90" spans="1:6" ht="20.25" customHeight="1">
      <c r="A90" s="235">
        <v>5</v>
      </c>
      <c r="B90" s="236" t="s">
        <v>529</v>
      </c>
      <c r="C90" s="239">
        <v>0</v>
      </c>
      <c r="D90" s="239">
        <v>51</v>
      </c>
      <c r="E90" s="239">
        <f t="shared" si="12"/>
        <v>51</v>
      </c>
      <c r="F90" s="238">
        <f t="shared" si="13"/>
        <v>0</v>
      </c>
    </row>
    <row r="91" spans="1:6" ht="20.25" customHeight="1">
      <c r="A91" s="235">
        <v>6</v>
      </c>
      <c r="B91" s="236" t="s">
        <v>528</v>
      </c>
      <c r="C91" s="239">
        <v>0</v>
      </c>
      <c r="D91" s="239">
        <v>136</v>
      </c>
      <c r="E91" s="239">
        <f t="shared" si="12"/>
        <v>136</v>
      </c>
      <c r="F91" s="238">
        <f t="shared" si="13"/>
        <v>0</v>
      </c>
    </row>
    <row r="92" spans="1:6" ht="20.25" customHeight="1">
      <c r="A92" s="235">
        <v>7</v>
      </c>
      <c r="B92" s="236" t="s">
        <v>594</v>
      </c>
      <c r="C92" s="239">
        <v>0</v>
      </c>
      <c r="D92" s="239">
        <v>769</v>
      </c>
      <c r="E92" s="239">
        <f t="shared" si="12"/>
        <v>769</v>
      </c>
      <c r="F92" s="238">
        <f t="shared" si="13"/>
        <v>0</v>
      </c>
    </row>
    <row r="93" spans="1:6" ht="20.25" customHeight="1">
      <c r="A93" s="235">
        <v>8</v>
      </c>
      <c r="B93" s="236" t="s">
        <v>595</v>
      </c>
      <c r="C93" s="239">
        <v>0</v>
      </c>
      <c r="D93" s="239">
        <v>552</v>
      </c>
      <c r="E93" s="239">
        <f t="shared" si="12"/>
        <v>552</v>
      </c>
      <c r="F93" s="238">
        <f t="shared" si="13"/>
        <v>0</v>
      </c>
    </row>
    <row r="94" spans="1:6" ht="20.25" customHeight="1">
      <c r="A94" s="235">
        <v>9</v>
      </c>
      <c r="B94" s="236" t="s">
        <v>596</v>
      </c>
      <c r="C94" s="239">
        <v>0</v>
      </c>
      <c r="D94" s="239">
        <v>30</v>
      </c>
      <c r="E94" s="239">
        <f t="shared" si="12"/>
        <v>30</v>
      </c>
      <c r="F94" s="238">
        <f t="shared" si="13"/>
        <v>0</v>
      </c>
    </row>
    <row r="95" spans="1:6" s="240" customFormat="1" ht="39.75" customHeight="1">
      <c r="A95" s="245"/>
      <c r="B95" s="242" t="s">
        <v>597</v>
      </c>
      <c r="C95" s="243">
        <f>+C86+C88</f>
        <v>0</v>
      </c>
      <c r="D95" s="243">
        <f>+D86+D88</f>
        <v>1257967</v>
      </c>
      <c r="E95" s="243">
        <f t="shared" si="12"/>
        <v>1257967</v>
      </c>
      <c r="F95" s="244">
        <f t="shared" si="13"/>
        <v>0</v>
      </c>
    </row>
    <row r="96" spans="1:6" s="240" customFormat="1" ht="39.75" customHeight="1">
      <c r="A96" s="245"/>
      <c r="B96" s="242" t="s">
        <v>626</v>
      </c>
      <c r="C96" s="243">
        <f>+C87+C89</f>
        <v>0</v>
      </c>
      <c r="D96" s="243">
        <f>+D87+D89</f>
        <v>453825</v>
      </c>
      <c r="E96" s="243">
        <f t="shared" si="12"/>
        <v>453825</v>
      </c>
      <c r="F96" s="244">
        <f t="shared" si="13"/>
        <v>0</v>
      </c>
    </row>
    <row r="97" spans="1:6" ht="42" customHeight="1">
      <c r="A97" s="227" t="s">
        <v>343</v>
      </c>
      <c r="B97" s="261" t="s">
        <v>606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590</v>
      </c>
      <c r="C98" s="237">
        <v>0</v>
      </c>
      <c r="D98" s="237">
        <v>577238</v>
      </c>
      <c r="E98" s="237">
        <f aca="true" t="shared" si="14" ref="E98:E108">D98-C98</f>
        <v>577238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591</v>
      </c>
      <c r="C99" s="237">
        <v>0</v>
      </c>
      <c r="D99" s="237">
        <v>308369</v>
      </c>
      <c r="E99" s="237">
        <f t="shared" si="14"/>
        <v>308369</v>
      </c>
      <c r="F99" s="238">
        <f t="shared" si="15"/>
        <v>0</v>
      </c>
    </row>
    <row r="100" spans="1:6" ht="20.25" customHeight="1">
      <c r="A100" s="235">
        <v>3</v>
      </c>
      <c r="B100" s="236" t="s">
        <v>592</v>
      </c>
      <c r="C100" s="237">
        <v>0</v>
      </c>
      <c r="D100" s="237">
        <v>1580681</v>
      </c>
      <c r="E100" s="237">
        <f t="shared" si="14"/>
        <v>1580681</v>
      </c>
      <c r="F100" s="238">
        <f t="shared" si="15"/>
        <v>0</v>
      </c>
    </row>
    <row r="101" spans="1:6" ht="20.25" customHeight="1">
      <c r="A101" s="235">
        <v>4</v>
      </c>
      <c r="B101" s="236" t="s">
        <v>593</v>
      </c>
      <c r="C101" s="237">
        <v>0</v>
      </c>
      <c r="D101" s="237">
        <v>538146</v>
      </c>
      <c r="E101" s="237">
        <f t="shared" si="14"/>
        <v>538146</v>
      </c>
      <c r="F101" s="238">
        <f t="shared" si="15"/>
        <v>0</v>
      </c>
    </row>
    <row r="102" spans="1:6" ht="20.25" customHeight="1">
      <c r="A102" s="235">
        <v>5</v>
      </c>
      <c r="B102" s="236" t="s">
        <v>529</v>
      </c>
      <c r="C102" s="239">
        <v>0</v>
      </c>
      <c r="D102" s="239">
        <v>90</v>
      </c>
      <c r="E102" s="239">
        <f t="shared" si="14"/>
        <v>90</v>
      </c>
      <c r="F102" s="238">
        <f t="shared" si="15"/>
        <v>0</v>
      </c>
    </row>
    <row r="103" spans="1:6" ht="20.25" customHeight="1">
      <c r="A103" s="235">
        <v>6</v>
      </c>
      <c r="B103" s="236" t="s">
        <v>528</v>
      </c>
      <c r="C103" s="239">
        <v>0</v>
      </c>
      <c r="D103" s="239">
        <v>228</v>
      </c>
      <c r="E103" s="239">
        <f t="shared" si="14"/>
        <v>228</v>
      </c>
      <c r="F103" s="238">
        <f t="shared" si="15"/>
        <v>0</v>
      </c>
    </row>
    <row r="104" spans="1:6" ht="20.25" customHeight="1">
      <c r="A104" s="235">
        <v>7</v>
      </c>
      <c r="B104" s="236" t="s">
        <v>594</v>
      </c>
      <c r="C104" s="239">
        <v>0</v>
      </c>
      <c r="D104" s="239">
        <v>1059</v>
      </c>
      <c r="E104" s="239">
        <f t="shared" si="14"/>
        <v>1059</v>
      </c>
      <c r="F104" s="238">
        <f t="shared" si="15"/>
        <v>0</v>
      </c>
    </row>
    <row r="105" spans="1:6" ht="20.25" customHeight="1">
      <c r="A105" s="235">
        <v>8</v>
      </c>
      <c r="B105" s="236" t="s">
        <v>595</v>
      </c>
      <c r="C105" s="239">
        <v>0</v>
      </c>
      <c r="D105" s="239">
        <v>815</v>
      </c>
      <c r="E105" s="239">
        <f t="shared" si="14"/>
        <v>815</v>
      </c>
      <c r="F105" s="238">
        <f t="shared" si="15"/>
        <v>0</v>
      </c>
    </row>
    <row r="106" spans="1:6" ht="20.25" customHeight="1">
      <c r="A106" s="235">
        <v>9</v>
      </c>
      <c r="B106" s="236" t="s">
        <v>596</v>
      </c>
      <c r="C106" s="239">
        <v>0</v>
      </c>
      <c r="D106" s="239">
        <v>57</v>
      </c>
      <c r="E106" s="239">
        <f t="shared" si="14"/>
        <v>57</v>
      </c>
      <c r="F106" s="238">
        <f t="shared" si="15"/>
        <v>0</v>
      </c>
    </row>
    <row r="107" spans="1:6" s="240" customFormat="1" ht="39.75" customHeight="1">
      <c r="A107" s="245"/>
      <c r="B107" s="242" t="s">
        <v>597</v>
      </c>
      <c r="C107" s="243">
        <f>+C98+C100</f>
        <v>0</v>
      </c>
      <c r="D107" s="243">
        <f>+D98+D100</f>
        <v>2157919</v>
      </c>
      <c r="E107" s="243">
        <f t="shared" si="14"/>
        <v>2157919</v>
      </c>
      <c r="F107" s="244">
        <f t="shared" si="15"/>
        <v>0</v>
      </c>
    </row>
    <row r="108" spans="1:6" s="240" customFormat="1" ht="39.75" customHeight="1">
      <c r="A108" s="245"/>
      <c r="B108" s="242" t="s">
        <v>626</v>
      </c>
      <c r="C108" s="243">
        <f>+C99+C101</f>
        <v>0</v>
      </c>
      <c r="D108" s="243">
        <f>+D99+D101</f>
        <v>846515</v>
      </c>
      <c r="E108" s="243">
        <f t="shared" si="14"/>
        <v>846515</v>
      </c>
      <c r="F108" s="244">
        <f t="shared" si="15"/>
        <v>0</v>
      </c>
    </row>
    <row r="109" spans="1:7" s="240" customFormat="1" ht="20.25" customHeight="1">
      <c r="A109" s="676" t="s">
        <v>200</v>
      </c>
      <c r="B109" s="678" t="s">
        <v>634</v>
      </c>
      <c r="C109" s="680"/>
      <c r="D109" s="681"/>
      <c r="E109" s="681"/>
      <c r="F109" s="682"/>
      <c r="G109" s="212"/>
    </row>
    <row r="110" spans="1:6" ht="20.25" customHeight="1">
      <c r="A110" s="677"/>
      <c r="B110" s="679"/>
      <c r="C110" s="683"/>
      <c r="D110" s="684"/>
      <c r="E110" s="684"/>
      <c r="F110" s="685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616</v>
      </c>
      <c r="C112" s="243">
        <f aca="true" t="shared" si="16" ref="C112:D120">+C98+C86+C74+C62+C50+C38+C26+C14</f>
        <v>3732083</v>
      </c>
      <c r="D112" s="243">
        <f t="shared" si="16"/>
        <v>3427253</v>
      </c>
      <c r="E112" s="243">
        <f aca="true" t="shared" si="17" ref="E112:E122">D112-C112</f>
        <v>-304830</v>
      </c>
      <c r="F112" s="244">
        <f aca="true" t="shared" si="18" ref="F112:F122">IF(C112=0,0,E112/C112)</f>
        <v>-0.0816782477774476</v>
      </c>
    </row>
    <row r="113" spans="1:6" ht="20.25" customHeight="1">
      <c r="A113" s="249"/>
      <c r="B113" s="250" t="s">
        <v>617</v>
      </c>
      <c r="C113" s="243">
        <f t="shared" si="16"/>
        <v>1880997</v>
      </c>
      <c r="D113" s="243">
        <f t="shared" si="16"/>
        <v>1783647</v>
      </c>
      <c r="E113" s="243">
        <f t="shared" si="17"/>
        <v>-97350</v>
      </c>
      <c r="F113" s="244">
        <f t="shared" si="18"/>
        <v>-0.051754468507924256</v>
      </c>
    </row>
    <row r="114" spans="1:6" ht="20.25" customHeight="1">
      <c r="A114" s="249"/>
      <c r="B114" s="250" t="s">
        <v>618</v>
      </c>
      <c r="C114" s="243">
        <f t="shared" si="16"/>
        <v>10952125</v>
      </c>
      <c r="D114" s="243">
        <f t="shared" si="16"/>
        <v>11612879</v>
      </c>
      <c r="E114" s="243">
        <f t="shared" si="17"/>
        <v>660754</v>
      </c>
      <c r="F114" s="244">
        <f t="shared" si="18"/>
        <v>0.06033112295559081</v>
      </c>
    </row>
    <row r="115" spans="1:6" ht="20.25" customHeight="1">
      <c r="A115" s="249"/>
      <c r="B115" s="250" t="s">
        <v>619</v>
      </c>
      <c r="C115" s="243">
        <f t="shared" si="16"/>
        <v>3146916</v>
      </c>
      <c r="D115" s="243">
        <f t="shared" si="16"/>
        <v>3570678</v>
      </c>
      <c r="E115" s="243">
        <f t="shared" si="17"/>
        <v>423762</v>
      </c>
      <c r="F115" s="244">
        <f t="shared" si="18"/>
        <v>0.13465945706844415</v>
      </c>
    </row>
    <row r="116" spans="1:6" ht="20.25" customHeight="1">
      <c r="A116" s="249"/>
      <c r="B116" s="250" t="s">
        <v>620</v>
      </c>
      <c r="C116" s="252">
        <f t="shared" si="16"/>
        <v>636</v>
      </c>
      <c r="D116" s="252">
        <f t="shared" si="16"/>
        <v>541</v>
      </c>
      <c r="E116" s="252">
        <f t="shared" si="17"/>
        <v>-95</v>
      </c>
      <c r="F116" s="244">
        <f t="shared" si="18"/>
        <v>-0.14937106918238993</v>
      </c>
    </row>
    <row r="117" spans="1:6" ht="20.25" customHeight="1">
      <c r="A117" s="249"/>
      <c r="B117" s="250" t="s">
        <v>621</v>
      </c>
      <c r="C117" s="252">
        <f t="shared" si="16"/>
        <v>1520</v>
      </c>
      <c r="D117" s="252">
        <f t="shared" si="16"/>
        <v>1282</v>
      </c>
      <c r="E117" s="252">
        <f t="shared" si="17"/>
        <v>-238</v>
      </c>
      <c r="F117" s="244">
        <f t="shared" si="18"/>
        <v>-0.15657894736842104</v>
      </c>
    </row>
    <row r="118" spans="1:6" ht="39.75" customHeight="1">
      <c r="A118" s="249"/>
      <c r="B118" s="250" t="s">
        <v>622</v>
      </c>
      <c r="C118" s="252">
        <f t="shared" si="16"/>
        <v>8822</v>
      </c>
      <c r="D118" s="252">
        <f t="shared" si="16"/>
        <v>9277</v>
      </c>
      <c r="E118" s="252">
        <f t="shared" si="17"/>
        <v>455</v>
      </c>
      <c r="F118" s="244">
        <f t="shared" si="18"/>
        <v>0.05157560643844933</v>
      </c>
    </row>
    <row r="119" spans="1:6" ht="39.75" customHeight="1">
      <c r="A119" s="249"/>
      <c r="B119" s="250" t="s">
        <v>623</v>
      </c>
      <c r="C119" s="252">
        <f t="shared" si="16"/>
        <v>5257</v>
      </c>
      <c r="D119" s="252">
        <f t="shared" si="16"/>
        <v>5811</v>
      </c>
      <c r="E119" s="252">
        <f t="shared" si="17"/>
        <v>554</v>
      </c>
      <c r="F119" s="244">
        <f t="shared" si="18"/>
        <v>0.10538329845919726</v>
      </c>
    </row>
    <row r="120" spans="1:6" ht="39.75" customHeight="1">
      <c r="A120" s="249"/>
      <c r="B120" s="250" t="s">
        <v>624</v>
      </c>
      <c r="C120" s="252">
        <f t="shared" si="16"/>
        <v>176</v>
      </c>
      <c r="D120" s="252">
        <f t="shared" si="16"/>
        <v>363</v>
      </c>
      <c r="E120" s="252">
        <f t="shared" si="17"/>
        <v>187</v>
      </c>
      <c r="F120" s="244">
        <f t="shared" si="18"/>
        <v>1.0625</v>
      </c>
    </row>
    <row r="121" spans="1:6" ht="39.75" customHeight="1">
      <c r="A121" s="249"/>
      <c r="B121" s="242" t="s">
        <v>597</v>
      </c>
      <c r="C121" s="243">
        <f>+C112+C114</f>
        <v>14684208</v>
      </c>
      <c r="D121" s="243">
        <f>+D112+D114</f>
        <v>15040132</v>
      </c>
      <c r="E121" s="243">
        <f t="shared" si="17"/>
        <v>355924</v>
      </c>
      <c r="F121" s="244">
        <f t="shared" si="18"/>
        <v>0.02423855614140034</v>
      </c>
    </row>
    <row r="122" spans="1:6" ht="39.75" customHeight="1">
      <c r="A122" s="249"/>
      <c r="B122" s="242" t="s">
        <v>626</v>
      </c>
      <c r="C122" s="243">
        <f>+C113+C115</f>
        <v>5027913</v>
      </c>
      <c r="D122" s="243">
        <f>+D113+D115</f>
        <v>5354325</v>
      </c>
      <c r="E122" s="243">
        <f t="shared" si="17"/>
        <v>326412</v>
      </c>
      <c r="F122" s="244">
        <f t="shared" si="18"/>
        <v>0.0649199777323116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FILING&amp;RWINDHAM COMMUNITY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156</v>
      </c>
      <c r="C1" s="3"/>
      <c r="D1" s="3"/>
      <c r="E1" s="4"/>
      <c r="F1" s="5"/>
    </row>
    <row r="2" spans="1:6" ht="24" customHeight="1">
      <c r="A2" s="3"/>
      <c r="B2" s="3" t="s">
        <v>157</v>
      </c>
      <c r="C2" s="3"/>
      <c r="D2" s="3"/>
      <c r="E2" s="4"/>
      <c r="F2" s="5"/>
    </row>
    <row r="3" spans="1:6" ht="24" customHeight="1">
      <c r="A3" s="3"/>
      <c r="B3" s="3" t="s">
        <v>158</v>
      </c>
      <c r="C3" s="3"/>
      <c r="D3" s="3"/>
      <c r="E3" s="4"/>
      <c r="F3" s="5"/>
    </row>
    <row r="4" spans="1:6" ht="24" customHeight="1">
      <c r="A4" s="3"/>
      <c r="B4" s="3" t="s">
        <v>635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160</v>
      </c>
      <c r="D7" s="10" t="s">
        <v>161</v>
      </c>
      <c r="E7" s="11" t="s">
        <v>162</v>
      </c>
      <c r="F7" s="11" t="s">
        <v>163</v>
      </c>
      <c r="H7" s="12"/>
    </row>
    <row r="8" spans="1:6" s="6" customFormat="1" ht="15.75" customHeight="1">
      <c r="A8" s="13" t="s">
        <v>164</v>
      </c>
      <c r="B8" s="13" t="s">
        <v>165</v>
      </c>
      <c r="C8" s="14" t="s">
        <v>166</v>
      </c>
      <c r="D8" s="14" t="s">
        <v>166</v>
      </c>
      <c r="E8" s="15" t="s">
        <v>167</v>
      </c>
      <c r="F8" s="15" t="s">
        <v>167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168</v>
      </c>
      <c r="B10" s="16" t="s">
        <v>169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170</v>
      </c>
      <c r="B12" s="16" t="s">
        <v>171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172</v>
      </c>
      <c r="C13" s="23">
        <v>2778004</v>
      </c>
      <c r="D13" s="23">
        <v>3357508</v>
      </c>
      <c r="E13" s="23">
        <f aca="true" t="shared" si="0" ref="E13:E22">D13-C13</f>
        <v>579504</v>
      </c>
      <c r="F13" s="24">
        <f aca="true" t="shared" si="1" ref="F13:F22">IF(C13=0,0,E13/C13)</f>
        <v>0.20860445125348992</v>
      </c>
    </row>
    <row r="14" spans="1:6" ht="24" customHeight="1">
      <c r="A14" s="21">
        <v>2</v>
      </c>
      <c r="B14" s="22" t="s">
        <v>173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174</v>
      </c>
      <c r="C15" s="23">
        <v>11996552</v>
      </c>
      <c r="D15" s="23">
        <v>13116037</v>
      </c>
      <c r="E15" s="23">
        <f t="shared" si="0"/>
        <v>1119485</v>
      </c>
      <c r="F15" s="24">
        <f t="shared" si="1"/>
        <v>0.09331722981736752</v>
      </c>
    </row>
    <row r="16" spans="1:6" ht="34.5" customHeight="1">
      <c r="A16" s="21">
        <v>4</v>
      </c>
      <c r="B16" s="22" t="s">
        <v>175</v>
      </c>
      <c r="C16" s="23">
        <v>633588</v>
      </c>
      <c r="D16" s="23">
        <v>798482</v>
      </c>
      <c r="E16" s="23">
        <f t="shared" si="0"/>
        <v>164894</v>
      </c>
      <c r="F16" s="24">
        <f t="shared" si="1"/>
        <v>0.2602542977455381</v>
      </c>
    </row>
    <row r="17" spans="1:6" ht="24" customHeight="1">
      <c r="A17" s="21">
        <v>5</v>
      </c>
      <c r="B17" s="22" t="s">
        <v>176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177</v>
      </c>
      <c r="C18" s="23">
        <v>2166694</v>
      </c>
      <c r="D18" s="23">
        <v>1258523</v>
      </c>
      <c r="E18" s="23">
        <f t="shared" si="0"/>
        <v>-908171</v>
      </c>
      <c r="F18" s="24">
        <f t="shared" si="1"/>
        <v>-0.4191505584083401</v>
      </c>
    </row>
    <row r="19" spans="1:6" ht="24" customHeight="1">
      <c r="A19" s="21">
        <v>7</v>
      </c>
      <c r="B19" s="22" t="s">
        <v>178</v>
      </c>
      <c r="C19" s="23">
        <v>1190125</v>
      </c>
      <c r="D19" s="23">
        <v>1175255</v>
      </c>
      <c r="E19" s="23">
        <f t="shared" si="0"/>
        <v>-14870</v>
      </c>
      <c r="F19" s="24">
        <f t="shared" si="1"/>
        <v>-0.012494485873332633</v>
      </c>
    </row>
    <row r="20" spans="1:6" ht="24" customHeight="1">
      <c r="A20" s="21">
        <v>8</v>
      </c>
      <c r="B20" s="22" t="s">
        <v>179</v>
      </c>
      <c r="C20" s="23">
        <v>1175688</v>
      </c>
      <c r="D20" s="23">
        <v>671383</v>
      </c>
      <c r="E20" s="23">
        <f t="shared" si="0"/>
        <v>-504305</v>
      </c>
      <c r="F20" s="24">
        <f t="shared" si="1"/>
        <v>-0.42894458393723506</v>
      </c>
    </row>
    <row r="21" spans="1:6" ht="24" customHeight="1">
      <c r="A21" s="21">
        <v>9</v>
      </c>
      <c r="B21" s="22" t="s">
        <v>180</v>
      </c>
      <c r="C21" s="23">
        <v>4330978</v>
      </c>
      <c r="D21" s="23">
        <v>3626731</v>
      </c>
      <c r="E21" s="23">
        <f t="shared" si="0"/>
        <v>-704247</v>
      </c>
      <c r="F21" s="24">
        <f t="shared" si="1"/>
        <v>-0.1626069215775282</v>
      </c>
    </row>
    <row r="22" spans="1:6" ht="24" customHeight="1">
      <c r="A22" s="25"/>
      <c r="B22" s="26" t="s">
        <v>181</v>
      </c>
      <c r="C22" s="27">
        <f>SUM(C13:C21)</f>
        <v>24271629</v>
      </c>
      <c r="D22" s="27">
        <f>SUM(D13:D21)</f>
        <v>24003919</v>
      </c>
      <c r="E22" s="27">
        <f t="shared" si="0"/>
        <v>-267710</v>
      </c>
      <c r="F22" s="28">
        <f t="shared" si="1"/>
        <v>-0.011029750001534713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182</v>
      </c>
      <c r="B24" s="30" t="s">
        <v>183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184</v>
      </c>
      <c r="C25" s="23">
        <v>518845</v>
      </c>
      <c r="D25" s="23">
        <v>1752149</v>
      </c>
      <c r="E25" s="23">
        <f>D25-C25</f>
        <v>1233304</v>
      </c>
      <c r="F25" s="24">
        <f>IF(C25=0,0,E25/C25)</f>
        <v>2.3770181846216114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185</v>
      </c>
      <c r="C26" s="23">
        <v>1717049</v>
      </c>
      <c r="D26" s="23">
        <v>0</v>
      </c>
      <c r="E26" s="23">
        <f>D26-C26</f>
        <v>-1717049</v>
      </c>
      <c r="F26" s="24">
        <f>IF(C26=0,0,E26/C26)</f>
        <v>-1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186</v>
      </c>
      <c r="C27" s="23">
        <v>0</v>
      </c>
      <c r="D27" s="23">
        <v>1674179</v>
      </c>
      <c r="E27" s="23">
        <f>D27-C27</f>
        <v>1674179</v>
      </c>
      <c r="F27" s="24">
        <f>IF(C27=0,0,E27/C27)</f>
        <v>0</v>
      </c>
    </row>
    <row r="28" spans="1:6" ht="34.5" customHeight="1">
      <c r="A28" s="21">
        <v>4</v>
      </c>
      <c r="B28" s="22" t="s">
        <v>187</v>
      </c>
      <c r="C28" s="23">
        <v>0</v>
      </c>
      <c r="D28" s="23">
        <v>2749514</v>
      </c>
      <c r="E28" s="23">
        <f>D28-C28</f>
        <v>2749514</v>
      </c>
      <c r="F28" s="24">
        <f>IF(C28=0,0,E28/C28)</f>
        <v>0</v>
      </c>
    </row>
    <row r="29" spans="1:6" ht="34.5" customHeight="1">
      <c r="A29" s="25"/>
      <c r="B29" s="26" t="s">
        <v>188</v>
      </c>
      <c r="C29" s="27">
        <f>SUM(C25:C28)</f>
        <v>2235894</v>
      </c>
      <c r="D29" s="27">
        <f>SUM(D25:D28)</f>
        <v>6175842</v>
      </c>
      <c r="E29" s="27">
        <f>D29-C29</f>
        <v>3939948</v>
      </c>
      <c r="F29" s="28">
        <f>IF(C29=0,0,E29/C29)</f>
        <v>1.7621354142906596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189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190</v>
      </c>
      <c r="C32" s="23">
        <v>3174512</v>
      </c>
      <c r="D32" s="23">
        <v>1268569</v>
      </c>
      <c r="E32" s="23">
        <f>D32-C32</f>
        <v>-1905943</v>
      </c>
      <c r="F32" s="24">
        <f>IF(C32=0,0,E32/C32)</f>
        <v>-0.6003892881803565</v>
      </c>
    </row>
    <row r="33" spans="1:6" ht="24" customHeight="1">
      <c r="A33" s="21">
        <v>7</v>
      </c>
      <c r="B33" s="22" t="s">
        <v>191</v>
      </c>
      <c r="C33" s="23">
        <v>3320012</v>
      </c>
      <c r="D33" s="23">
        <v>1351116</v>
      </c>
      <c r="E33" s="23">
        <f>D33-C33</f>
        <v>-1968896</v>
      </c>
      <c r="F33" s="24">
        <f>IF(C33=0,0,E33/C33)</f>
        <v>-0.5930388203416133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192</v>
      </c>
      <c r="B35" s="30" t="s">
        <v>193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194</v>
      </c>
      <c r="C36" s="23">
        <v>89891637</v>
      </c>
      <c r="D36" s="23">
        <v>94462346</v>
      </c>
      <c r="E36" s="23">
        <f>D36-C36</f>
        <v>4570709</v>
      </c>
      <c r="F36" s="24">
        <f>IF(C36=0,0,E36/C36)</f>
        <v>0.05084687689022729</v>
      </c>
    </row>
    <row r="37" spans="1:6" ht="24" customHeight="1">
      <c r="A37" s="21">
        <v>2</v>
      </c>
      <c r="B37" s="22" t="s">
        <v>195</v>
      </c>
      <c r="C37" s="23">
        <v>52772521</v>
      </c>
      <c r="D37" s="23">
        <v>57981855</v>
      </c>
      <c r="E37" s="23">
        <f>D37-C37</f>
        <v>5209334</v>
      </c>
      <c r="F37" s="23">
        <f>IF(C37=0,0,E37/C37)</f>
        <v>0.09871300254918654</v>
      </c>
    </row>
    <row r="38" spans="1:6" ht="24" customHeight="1">
      <c r="A38" s="25"/>
      <c r="B38" s="26" t="s">
        <v>196</v>
      </c>
      <c r="C38" s="27">
        <f>C36-C37</f>
        <v>37119116</v>
      </c>
      <c r="D38" s="27">
        <f>D36-D37</f>
        <v>36480491</v>
      </c>
      <c r="E38" s="27">
        <f>D38-C38</f>
        <v>-638625</v>
      </c>
      <c r="F38" s="28">
        <f>IF(C38=0,0,E38/C38)</f>
        <v>-0.017204747009600122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197</v>
      </c>
      <c r="C40" s="23">
        <v>0</v>
      </c>
      <c r="D40" s="23">
        <v>428448</v>
      </c>
      <c r="E40" s="23">
        <f>D40-C40</f>
        <v>428448</v>
      </c>
      <c r="F40" s="24">
        <f>IF(C40=0,0,E40/C40)</f>
        <v>0</v>
      </c>
    </row>
    <row r="41" spans="1:6" ht="24" customHeight="1">
      <c r="A41" s="25"/>
      <c r="B41" s="26" t="s">
        <v>198</v>
      </c>
      <c r="C41" s="27">
        <f>+C38+C40</f>
        <v>37119116</v>
      </c>
      <c r="D41" s="27">
        <f>+D38+D40</f>
        <v>36908939</v>
      </c>
      <c r="E41" s="27">
        <f>D41-C41</f>
        <v>-210177</v>
      </c>
      <c r="F41" s="28">
        <f>IF(C41=0,0,E41/C41)</f>
        <v>-0.0056622307492452135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199</v>
      </c>
      <c r="C43" s="27">
        <f>C22+C29+C31+C32+C33+C41</f>
        <v>70121163</v>
      </c>
      <c r="D43" s="27">
        <f>D22+D29+D31+D32+D33+D41</f>
        <v>69708385</v>
      </c>
      <c r="E43" s="27">
        <f>D43-C43</f>
        <v>-412778</v>
      </c>
      <c r="F43" s="28">
        <f>IF(C43=0,0,E43/C43)</f>
        <v>-0.005886639387313071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200</v>
      </c>
      <c r="B46" s="16" t="s">
        <v>201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170</v>
      </c>
      <c r="B48" s="41" t="s">
        <v>202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203</v>
      </c>
      <c r="C49" s="23">
        <v>3283294</v>
      </c>
      <c r="D49" s="23">
        <v>3370047</v>
      </c>
      <c r="E49" s="23">
        <f aca="true" t="shared" si="2" ref="E49:E56">D49-C49</f>
        <v>86753</v>
      </c>
      <c r="F49" s="24">
        <f aca="true" t="shared" si="3" ref="F49:F56">IF(C49=0,0,E49/C49)</f>
        <v>0.026422550036640034</v>
      </c>
    </row>
    <row r="50" spans="1:6" ht="24" customHeight="1">
      <c r="A50" s="21">
        <f aca="true" t="shared" si="4" ref="A50:A55">1+A49</f>
        <v>2</v>
      </c>
      <c r="B50" s="22" t="s">
        <v>204</v>
      </c>
      <c r="C50" s="23">
        <v>1074903</v>
      </c>
      <c r="D50" s="23">
        <v>1276413</v>
      </c>
      <c r="E50" s="23">
        <f t="shared" si="2"/>
        <v>201510</v>
      </c>
      <c r="F50" s="24">
        <f t="shared" si="3"/>
        <v>0.1874680785149916</v>
      </c>
    </row>
    <row r="51" spans="1:6" ht="24" customHeight="1">
      <c r="A51" s="21">
        <f t="shared" si="4"/>
        <v>3</v>
      </c>
      <c r="B51" s="22" t="s">
        <v>205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206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207</v>
      </c>
      <c r="C53" s="23">
        <v>309541</v>
      </c>
      <c r="D53" s="23">
        <v>325901</v>
      </c>
      <c r="E53" s="23">
        <f t="shared" si="2"/>
        <v>16360</v>
      </c>
      <c r="F53" s="24">
        <f t="shared" si="3"/>
        <v>0.05285244927166353</v>
      </c>
    </row>
    <row r="54" spans="1:6" ht="24" customHeight="1">
      <c r="A54" s="21">
        <f t="shared" si="4"/>
        <v>6</v>
      </c>
      <c r="B54" s="22" t="s">
        <v>208</v>
      </c>
      <c r="C54" s="23">
        <v>464111</v>
      </c>
      <c r="D54" s="23">
        <v>530009</v>
      </c>
      <c r="E54" s="23">
        <f t="shared" si="2"/>
        <v>65898</v>
      </c>
      <c r="F54" s="24">
        <f t="shared" si="3"/>
        <v>0.14198758486655133</v>
      </c>
    </row>
    <row r="55" spans="1:6" ht="24" customHeight="1">
      <c r="A55" s="21">
        <f t="shared" si="4"/>
        <v>7</v>
      </c>
      <c r="B55" s="22" t="s">
        <v>209</v>
      </c>
      <c r="C55" s="23">
        <v>4308911</v>
      </c>
      <c r="D55" s="23">
        <v>3625642</v>
      </c>
      <c r="E55" s="23">
        <f t="shared" si="2"/>
        <v>-683269</v>
      </c>
      <c r="F55" s="24">
        <f t="shared" si="3"/>
        <v>-0.15857115637802685</v>
      </c>
    </row>
    <row r="56" spans="1:6" ht="24" customHeight="1">
      <c r="A56" s="25"/>
      <c r="B56" s="26" t="s">
        <v>210</v>
      </c>
      <c r="C56" s="27">
        <f>SUM(C49:C55)</f>
        <v>9440760</v>
      </c>
      <c r="D56" s="27">
        <f>SUM(D49:D55)</f>
        <v>9128012</v>
      </c>
      <c r="E56" s="27">
        <f t="shared" si="2"/>
        <v>-312748</v>
      </c>
      <c r="F56" s="28">
        <f t="shared" si="3"/>
        <v>-0.0331274177078964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182</v>
      </c>
      <c r="B58" s="41" t="s">
        <v>211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212</v>
      </c>
      <c r="C59" s="23">
        <v>20021887</v>
      </c>
      <c r="D59" s="23">
        <v>19698257</v>
      </c>
      <c r="E59" s="23">
        <f>D59-C59</f>
        <v>-323630</v>
      </c>
      <c r="F59" s="24">
        <f>IF(C59=0,0,E59/C59)</f>
        <v>-0.01616381113328629</v>
      </c>
    </row>
    <row r="60" spans="1:6" ht="24" customHeight="1">
      <c r="A60" s="21">
        <v>2</v>
      </c>
      <c r="B60" s="22" t="s">
        <v>213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214</v>
      </c>
      <c r="C61" s="27">
        <f>SUM(C59:C60)</f>
        <v>20021887</v>
      </c>
      <c r="D61" s="27">
        <f>SUM(D59:D60)</f>
        <v>19698257</v>
      </c>
      <c r="E61" s="27">
        <f>D61-C61</f>
        <v>-323630</v>
      </c>
      <c r="F61" s="28">
        <f>IF(C61=0,0,E61/C61)</f>
        <v>-0.01616381113328629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215</v>
      </c>
      <c r="C63" s="23">
        <v>24984787</v>
      </c>
      <c r="D63" s="23">
        <v>57389912</v>
      </c>
      <c r="E63" s="23">
        <f>D63-C63</f>
        <v>32405125</v>
      </c>
      <c r="F63" s="24">
        <f>IF(C63=0,0,E63/C63)</f>
        <v>1.2969942469391473</v>
      </c>
    </row>
    <row r="64" spans="1:6" ht="24" customHeight="1">
      <c r="A64" s="21">
        <v>4</v>
      </c>
      <c r="B64" s="22" t="s">
        <v>216</v>
      </c>
      <c r="C64" s="23">
        <v>2401742</v>
      </c>
      <c r="D64" s="23">
        <v>3663526</v>
      </c>
      <c r="E64" s="23">
        <f>D64-C64</f>
        <v>1261784</v>
      </c>
      <c r="F64" s="24">
        <f>IF(C64=0,0,E64/C64)</f>
        <v>0.525362008075805</v>
      </c>
    </row>
    <row r="65" spans="1:6" ht="24" customHeight="1">
      <c r="A65" s="25"/>
      <c r="B65" s="26" t="s">
        <v>217</v>
      </c>
      <c r="C65" s="27">
        <f>SUM(C61:C64)</f>
        <v>47408416</v>
      </c>
      <c r="D65" s="27">
        <f>SUM(D61:D64)</f>
        <v>80751695</v>
      </c>
      <c r="E65" s="27">
        <f>D65-C65</f>
        <v>33343279</v>
      </c>
      <c r="F65" s="28">
        <f>IF(C65=0,0,E65/C65)</f>
        <v>0.7033198282769034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218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192</v>
      </c>
      <c r="B69" s="41" t="s">
        <v>219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220</v>
      </c>
      <c r="C70" s="23">
        <v>10143299</v>
      </c>
      <c r="D70" s="23">
        <v>-25502905</v>
      </c>
      <c r="E70" s="23">
        <f>D70-C70</f>
        <v>-35646204</v>
      </c>
      <c r="F70" s="24">
        <f>IF(C70=0,0,E70/C70)</f>
        <v>-3.514261385768082</v>
      </c>
    </row>
    <row r="71" spans="1:6" ht="24" customHeight="1">
      <c r="A71" s="21">
        <v>2</v>
      </c>
      <c r="B71" s="22" t="s">
        <v>221</v>
      </c>
      <c r="C71" s="23">
        <v>1866961</v>
      </c>
      <c r="D71" s="23">
        <v>2104204</v>
      </c>
      <c r="E71" s="23">
        <f>D71-C71</f>
        <v>237243</v>
      </c>
      <c r="F71" s="24">
        <f>IF(C71=0,0,E71/C71)</f>
        <v>0.12707442737154123</v>
      </c>
    </row>
    <row r="72" spans="1:6" ht="24" customHeight="1">
      <c r="A72" s="21">
        <v>3</v>
      </c>
      <c r="B72" s="22" t="s">
        <v>222</v>
      </c>
      <c r="C72" s="23">
        <v>1261727</v>
      </c>
      <c r="D72" s="23">
        <v>3227379</v>
      </c>
      <c r="E72" s="23">
        <f>D72-C72</f>
        <v>1965652</v>
      </c>
      <c r="F72" s="24">
        <f>IF(C72=0,0,E72/C72)</f>
        <v>1.5579059495437602</v>
      </c>
    </row>
    <row r="73" spans="1:6" ht="24" customHeight="1">
      <c r="A73" s="21"/>
      <c r="B73" s="26" t="s">
        <v>223</v>
      </c>
      <c r="C73" s="27">
        <f>SUM(C70:C72)</f>
        <v>13271987</v>
      </c>
      <c r="D73" s="27">
        <f>SUM(D70:D72)</f>
        <v>-20171322</v>
      </c>
      <c r="E73" s="27">
        <f>D73-C73</f>
        <v>-33443309</v>
      </c>
      <c r="F73" s="28">
        <f>IF(C73=0,0,E73/C73)</f>
        <v>-2.5198419046070493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224</v>
      </c>
      <c r="C75" s="27">
        <f>C56+C65+C67+C73</f>
        <v>70121163</v>
      </c>
      <c r="D75" s="27">
        <f>D56+D65+D67+D73</f>
        <v>69708385</v>
      </c>
      <c r="E75" s="27">
        <f>D75-C75</f>
        <v>-412778</v>
      </c>
      <c r="F75" s="28">
        <f>IF(C75=0,0,E75/C75)</f>
        <v>-0.005886639387313071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FILING&amp;RWINDHAM COMMUNITY MEMORIAL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156</v>
      </c>
      <c r="B1" s="696"/>
      <c r="C1" s="696"/>
      <c r="D1" s="696"/>
      <c r="E1" s="696"/>
      <c r="F1" s="697"/>
    </row>
    <row r="2" spans="1:6" ht="22.5" customHeight="1">
      <c r="A2" s="695" t="s">
        <v>157</v>
      </c>
      <c r="B2" s="696"/>
      <c r="C2" s="696"/>
      <c r="D2" s="696"/>
      <c r="E2" s="696"/>
      <c r="F2" s="697"/>
    </row>
    <row r="3" spans="1:6" ht="22.5" customHeight="1">
      <c r="A3" s="695" t="s">
        <v>158</v>
      </c>
      <c r="B3" s="696"/>
      <c r="C3" s="696"/>
      <c r="D3" s="696"/>
      <c r="E3" s="696"/>
      <c r="F3" s="697"/>
    </row>
    <row r="4" spans="1:6" ht="22.5" customHeight="1">
      <c r="A4" s="695" t="s">
        <v>636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160</v>
      </c>
      <c r="D6" s="10" t="s">
        <v>161</v>
      </c>
      <c r="E6" s="59" t="s">
        <v>162</v>
      </c>
      <c r="F6" s="59" t="s">
        <v>163</v>
      </c>
    </row>
    <row r="7" spans="1:8" ht="15.75" customHeight="1">
      <c r="A7" s="61" t="s">
        <v>164</v>
      </c>
      <c r="B7" s="62" t="s">
        <v>165</v>
      </c>
      <c r="C7" s="14" t="s">
        <v>166</v>
      </c>
      <c r="D7" s="14" t="s">
        <v>166</v>
      </c>
      <c r="E7" s="63" t="s">
        <v>167</v>
      </c>
      <c r="F7" s="63" t="s">
        <v>167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170</v>
      </c>
      <c r="B11" s="30" t="s">
        <v>226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227</v>
      </c>
      <c r="C12" s="51">
        <v>193794864</v>
      </c>
      <c r="D12" s="51">
        <v>190183873</v>
      </c>
      <c r="E12" s="51">
        <f aca="true" t="shared" si="0" ref="E12:E19">D12-C12</f>
        <v>-3610991</v>
      </c>
      <c r="F12" s="70">
        <f aca="true" t="shared" si="1" ref="F12:F19">IF(C12=0,0,E12/C12)</f>
        <v>-0.018633058304372813</v>
      </c>
    </row>
    <row r="13" spans="1:6" ht="22.5" customHeight="1">
      <c r="A13" s="25">
        <v>2</v>
      </c>
      <c r="B13" s="48" t="s">
        <v>228</v>
      </c>
      <c r="C13" s="51">
        <v>110124702</v>
      </c>
      <c r="D13" s="51">
        <v>104418812</v>
      </c>
      <c r="E13" s="51">
        <f t="shared" si="0"/>
        <v>-5705890</v>
      </c>
      <c r="F13" s="70">
        <f t="shared" si="1"/>
        <v>-0.05181298924195954</v>
      </c>
    </row>
    <row r="14" spans="1:6" ht="22.5" customHeight="1">
      <c r="A14" s="25">
        <v>3</v>
      </c>
      <c r="B14" s="48" t="s">
        <v>229</v>
      </c>
      <c r="C14" s="51">
        <v>2658651</v>
      </c>
      <c r="D14" s="51">
        <v>2159913</v>
      </c>
      <c r="E14" s="51">
        <f t="shared" si="0"/>
        <v>-498738</v>
      </c>
      <c r="F14" s="70">
        <f t="shared" si="1"/>
        <v>-0.18759062396681625</v>
      </c>
    </row>
    <row r="15" spans="1:7" ht="22.5" customHeight="1">
      <c r="A15" s="25">
        <v>4</v>
      </c>
      <c r="B15" s="48" t="s">
        <v>230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231</v>
      </c>
      <c r="C16" s="27">
        <f>C12-C13-C14-C15</f>
        <v>81011511</v>
      </c>
      <c r="D16" s="27">
        <f>D12-D13-D14-D15</f>
        <v>83605148</v>
      </c>
      <c r="E16" s="27">
        <f t="shared" si="0"/>
        <v>2593637</v>
      </c>
      <c r="F16" s="28">
        <f t="shared" si="1"/>
        <v>0.032015660095514084</v>
      </c>
    </row>
    <row r="17" spans="1:7" ht="22.5" customHeight="1">
      <c r="A17" s="25">
        <v>5</v>
      </c>
      <c r="B17" s="48" t="s">
        <v>232</v>
      </c>
      <c r="C17" s="51">
        <v>4257607</v>
      </c>
      <c r="D17" s="51">
        <v>2401877</v>
      </c>
      <c r="E17" s="51">
        <f t="shared" si="0"/>
        <v>-1855730</v>
      </c>
      <c r="F17" s="70">
        <f t="shared" si="1"/>
        <v>-0.4358622108616413</v>
      </c>
      <c r="G17" s="64"/>
    </row>
    <row r="18" spans="1:7" ht="33" customHeight="1">
      <c r="A18" s="25">
        <v>6</v>
      </c>
      <c r="B18" s="45" t="s">
        <v>233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234</v>
      </c>
      <c r="C19" s="27">
        <f>SUM(C16:C18)</f>
        <v>85269118</v>
      </c>
      <c r="D19" s="27">
        <f>SUM(D16:D18)</f>
        <v>86007025</v>
      </c>
      <c r="E19" s="27">
        <f t="shared" si="0"/>
        <v>737907</v>
      </c>
      <c r="F19" s="28">
        <f t="shared" si="1"/>
        <v>0.008653859888641044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182</v>
      </c>
      <c r="B21" s="30" t="s">
        <v>235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236</v>
      </c>
      <c r="C22" s="51">
        <v>36808260</v>
      </c>
      <c r="D22" s="51">
        <v>37098685</v>
      </c>
      <c r="E22" s="51">
        <f aca="true" t="shared" si="2" ref="E22:E31">D22-C22</f>
        <v>290425</v>
      </c>
      <c r="F22" s="70">
        <f aca="true" t="shared" si="3" ref="F22:F31">IF(C22=0,0,E22/C22)</f>
        <v>0.007890212685956901</v>
      </c>
    </row>
    <row r="23" spans="1:6" ht="22.5" customHeight="1">
      <c r="A23" s="25">
        <v>2</v>
      </c>
      <c r="B23" s="48" t="s">
        <v>237</v>
      </c>
      <c r="C23" s="51">
        <v>12641493</v>
      </c>
      <c r="D23" s="51">
        <v>12646534</v>
      </c>
      <c r="E23" s="51">
        <f t="shared" si="2"/>
        <v>5041</v>
      </c>
      <c r="F23" s="70">
        <f t="shared" si="3"/>
        <v>0.0003987661900378381</v>
      </c>
    </row>
    <row r="24" spans="1:7" ht="22.5" customHeight="1">
      <c r="A24" s="25">
        <v>3</v>
      </c>
      <c r="B24" s="48" t="s">
        <v>238</v>
      </c>
      <c r="C24" s="51">
        <v>1049122</v>
      </c>
      <c r="D24" s="51">
        <v>910707</v>
      </c>
      <c r="E24" s="51">
        <f t="shared" si="2"/>
        <v>-138415</v>
      </c>
      <c r="F24" s="70">
        <f t="shared" si="3"/>
        <v>-0.13193413158812797</v>
      </c>
      <c r="G24" s="64"/>
    </row>
    <row r="25" spans="1:6" ht="22.5" customHeight="1">
      <c r="A25" s="25">
        <v>4</v>
      </c>
      <c r="B25" s="48" t="s">
        <v>239</v>
      </c>
      <c r="C25" s="51">
        <v>9334239</v>
      </c>
      <c r="D25" s="51">
        <v>9495592</v>
      </c>
      <c r="E25" s="51">
        <f t="shared" si="2"/>
        <v>161353</v>
      </c>
      <c r="F25" s="70">
        <f t="shared" si="3"/>
        <v>0.017286144055235785</v>
      </c>
    </row>
    <row r="26" spans="1:6" ht="22.5" customHeight="1">
      <c r="A26" s="25">
        <v>5</v>
      </c>
      <c r="B26" s="48" t="s">
        <v>240</v>
      </c>
      <c r="C26" s="51">
        <v>4033780</v>
      </c>
      <c r="D26" s="51">
        <v>4418804</v>
      </c>
      <c r="E26" s="51">
        <f t="shared" si="2"/>
        <v>385024</v>
      </c>
      <c r="F26" s="70">
        <f t="shared" si="3"/>
        <v>0.09544992538016452</v>
      </c>
    </row>
    <row r="27" spans="1:6" ht="22.5" customHeight="1">
      <c r="A27" s="25">
        <v>6</v>
      </c>
      <c r="B27" s="48" t="s">
        <v>241</v>
      </c>
      <c r="C27" s="51">
        <v>4723613</v>
      </c>
      <c r="D27" s="51">
        <v>4595065</v>
      </c>
      <c r="E27" s="51">
        <f t="shared" si="2"/>
        <v>-128548</v>
      </c>
      <c r="F27" s="70">
        <f t="shared" si="3"/>
        <v>-0.027213914433718428</v>
      </c>
    </row>
    <row r="28" spans="1:6" ht="22.5" customHeight="1">
      <c r="A28" s="25">
        <v>7</v>
      </c>
      <c r="B28" s="48" t="s">
        <v>242</v>
      </c>
      <c r="C28" s="51">
        <v>1218189</v>
      </c>
      <c r="D28" s="51">
        <v>1483430</v>
      </c>
      <c r="E28" s="51">
        <f t="shared" si="2"/>
        <v>265241</v>
      </c>
      <c r="F28" s="70">
        <f t="shared" si="3"/>
        <v>0.21773386559885208</v>
      </c>
    </row>
    <row r="29" spans="1:6" ht="22.5" customHeight="1">
      <c r="A29" s="25">
        <v>8</v>
      </c>
      <c r="B29" s="48" t="s">
        <v>243</v>
      </c>
      <c r="C29" s="51">
        <v>1225040</v>
      </c>
      <c r="D29" s="51">
        <v>980763</v>
      </c>
      <c r="E29" s="51">
        <f t="shared" si="2"/>
        <v>-244277</v>
      </c>
      <c r="F29" s="70">
        <f t="shared" si="3"/>
        <v>-0.1994032847907007</v>
      </c>
    </row>
    <row r="30" spans="1:6" ht="22.5" customHeight="1">
      <c r="A30" s="25">
        <v>9</v>
      </c>
      <c r="B30" s="48" t="s">
        <v>244</v>
      </c>
      <c r="C30" s="51">
        <v>12453398</v>
      </c>
      <c r="D30" s="51">
        <v>13771577</v>
      </c>
      <c r="E30" s="51">
        <f t="shared" si="2"/>
        <v>1318179</v>
      </c>
      <c r="F30" s="70">
        <f t="shared" si="3"/>
        <v>0.10584894179082689</v>
      </c>
    </row>
    <row r="31" spans="1:6" ht="22.5" customHeight="1">
      <c r="A31" s="29"/>
      <c r="B31" s="71" t="s">
        <v>245</v>
      </c>
      <c r="C31" s="27">
        <f>SUM(C22:C30)</f>
        <v>83487134</v>
      </c>
      <c r="D31" s="27">
        <f>SUM(D22:D30)</f>
        <v>85401157</v>
      </c>
      <c r="E31" s="27">
        <f t="shared" si="2"/>
        <v>1914023</v>
      </c>
      <c r="F31" s="28">
        <f t="shared" si="3"/>
        <v>0.022925963658064968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246</v>
      </c>
      <c r="C33" s="27">
        <f>+C19-C31</f>
        <v>1781984</v>
      </c>
      <c r="D33" s="27">
        <f>+D19-D31</f>
        <v>605868</v>
      </c>
      <c r="E33" s="27">
        <f>D33-C33</f>
        <v>-1176116</v>
      </c>
      <c r="F33" s="28">
        <f>IF(C33=0,0,E33/C33)</f>
        <v>-0.6600036812900677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192</v>
      </c>
      <c r="B35" s="30" t="s">
        <v>247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248</v>
      </c>
      <c r="C36" s="51">
        <v>170517</v>
      </c>
      <c r="D36" s="51">
        <v>152507</v>
      </c>
      <c r="E36" s="51">
        <f>D36-C36</f>
        <v>-18010</v>
      </c>
      <c r="F36" s="70">
        <f>IF(C36=0,0,E36/C36)</f>
        <v>-0.10561996751057079</v>
      </c>
    </row>
    <row r="37" spans="1:6" ht="22.5" customHeight="1">
      <c r="A37" s="44">
        <v>2</v>
      </c>
      <c r="B37" s="48" t="s">
        <v>249</v>
      </c>
      <c r="C37" s="51">
        <v>248855</v>
      </c>
      <c r="D37" s="51">
        <v>205897</v>
      </c>
      <c r="E37" s="51">
        <f>D37-C37</f>
        <v>-42958</v>
      </c>
      <c r="F37" s="70">
        <f>IF(C37=0,0,E37/C37)</f>
        <v>-0.17262261156094916</v>
      </c>
    </row>
    <row r="38" spans="1:6" ht="22.5" customHeight="1">
      <c r="A38" s="44">
        <v>3</v>
      </c>
      <c r="B38" s="48" t="s">
        <v>250</v>
      </c>
      <c r="C38" s="51">
        <v>-108905</v>
      </c>
      <c r="D38" s="51">
        <v>-2149276</v>
      </c>
      <c r="E38" s="51">
        <f>D38-C38</f>
        <v>-2040371</v>
      </c>
      <c r="F38" s="70">
        <f>IF(C38=0,0,E38/C38)</f>
        <v>18.735328956429917</v>
      </c>
    </row>
    <row r="39" spans="1:6" ht="22.5" customHeight="1">
      <c r="A39" s="20"/>
      <c r="B39" s="71" t="s">
        <v>251</v>
      </c>
      <c r="C39" s="27">
        <f>SUM(C36:C38)</f>
        <v>310467</v>
      </c>
      <c r="D39" s="27">
        <f>SUM(D36:D38)</f>
        <v>-1790872</v>
      </c>
      <c r="E39" s="27">
        <f>D39-C39</f>
        <v>-2101339</v>
      </c>
      <c r="F39" s="28">
        <f>IF(C39=0,0,E39/C39)</f>
        <v>-6.768316761523769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252</v>
      </c>
      <c r="C41" s="27">
        <f>C33+C39</f>
        <v>2092451</v>
      </c>
      <c r="D41" s="27">
        <f>D33+D39</f>
        <v>-1185004</v>
      </c>
      <c r="E41" s="27">
        <f>D41-C41</f>
        <v>-3277455</v>
      </c>
      <c r="F41" s="28">
        <f>IF(C41=0,0,E41/C41)</f>
        <v>-1.5663234168924385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253</v>
      </c>
      <c r="C43" s="27"/>
      <c r="D43" s="27"/>
      <c r="E43" s="27"/>
      <c r="F43" s="28"/>
    </row>
    <row r="44" spans="1:6" ht="22.5" customHeight="1">
      <c r="A44" s="44"/>
      <c r="B44" s="48" t="s">
        <v>254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255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256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257</v>
      </c>
      <c r="C48" s="27">
        <f>C41+C46</f>
        <v>2092451</v>
      </c>
      <c r="D48" s="27">
        <f>D41+D46</f>
        <v>-1185004</v>
      </c>
      <c r="E48" s="27">
        <f>D48-C48</f>
        <v>-3277455</v>
      </c>
      <c r="F48" s="28">
        <f>IF(C48=0,0,E48/C48)</f>
        <v>-1.5663234168924385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FILING&amp;R&amp;8WINDHAM COMMUNITY MEMORIAL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2010-08-17T20:36:31Z</cp:lastPrinted>
  <dcterms:created xsi:type="dcterms:W3CDTF">2006-08-03T13:49:12Z</dcterms:created>
  <dcterms:modified xsi:type="dcterms:W3CDTF">2010-08-17T20:36:35Z</dcterms:modified>
  <cp:category/>
  <cp:version/>
  <cp:contentType/>
  <cp:contentStatus/>
</cp:coreProperties>
</file>