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<sst xmlns="http://schemas.openxmlformats.org/spreadsheetml/2006/main" count="2300" uniqueCount="978">
  <si>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</si>
  <si>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</si>
  <si>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</si>
  <si>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</si>
  <si>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</si>
  <si>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</si>
  <si>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</si>
  <si>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</si>
  <si>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</si>
  <si>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</si>
  <si>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</si>
  <si>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</si>
  <si>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</si>
  <si>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</si>
  <si>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</si>
  <si>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</si>
  <si>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</si>
  <si>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</si>
  <si>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</si>
  <si>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</si>
  <si>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</si>
  <si>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</si>
  <si>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</si>
  <si>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</si>
  <si>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</si>
  <si>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</si>
  <si>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</si>
  <si>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</si>
  <si>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</si>
  <si>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</si>
  <si>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</si>
  <si>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</si>
  <si>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</si>
  <si>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</si>
  <si>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</si>
  <si>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</si>
  <si>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</si>
  <si>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</si>
  <si>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</si>
  <si>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</si>
  <si>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</si>
  <si>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</si>
  <si>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</si>
  <si>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</si>
  <si>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</si>
  <si>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</si>
  <si>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</si>
  <si>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</si>
  <si>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</si>
  <si>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</si>
  <si>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</si>
  <si>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</si>
  <si>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</si>
  <si>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</si>
  <si>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</si>
  <si>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</si>
  <si>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</si>
  <si>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</si>
  <si>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</si>
  <si>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</si>
  <si>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</si>
  <si>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</si>
  <si>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</si>
  <si>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</si>
  <si>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</si>
  <si>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</si>
  <si>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</si>
  <si>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</si>
  <si>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</si>
  <si>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</si>
  <si>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</si>
  <si>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</si>
  <si>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</si>
  <si>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</si>
  <si>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</si>
  <si>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</si>
  <si>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</si>
  <si>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</si>
  <si>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</si>
  <si>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</si>
  <si>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</si>
  <si>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</si>
  <si>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</si>
  <si>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</si>
  <si>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</si>
  <si>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</si>
  <si>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</si>
  <si>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</si>
  <si>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</si>
  <si>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</si>
  <si>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</si>
  <si>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</si>
  <si>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</si>
  <si>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</si>
  <si>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</si>
  <si>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</si>
  <si>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</si>
  <si>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</si>
  <si>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</si>
  <si>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</si>
  <si>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</si>
  <si>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</si>
  <si>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</si>
  <si>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</si>
  <si>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</si>
  <si>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</si>
  <si>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</si>
  <si>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</si>
  <si>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</si>
  <si>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</si>
  <si>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</si>
  <si>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</si>
  <si>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</si>
  <si>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</si>
  <si>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</si>
  <si>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</si>
  <si>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</si>
  <si>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</si>
  <si>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</si>
  <si>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</si>
  <si>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</si>
  <si>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</si>
  <si>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</si>
  <si>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</si>
  <si>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</si>
  <si>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</si>
  <si>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</si>
  <si>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</si>
  <si>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</si>
  <si>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</si>
  <si>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</si>
  <si>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</si>
  <si>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</si>
  <si>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</si>
  <si>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</si>
  <si>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</si>
  <si>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</si>
  <si>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</si>
  <si>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</si>
  <si>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</si>
  <si>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</si>
  <si>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</si>
  <si>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</si>
  <si>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</si>
  <si>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</si>
  <si>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</si>
  <si>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</si>
  <si>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</si>
  <si>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</si>
  <si>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</si>
  <si>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</si>
  <si>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</si>
  <si>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</si>
  <si>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</si>
  <si>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</si>
  <si>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</si>
  <si>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</si>
  <si>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WATERBURY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</si>
  <si>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</si>
  <si>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</si>
  <si>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</si>
  <si>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</si>
  <si>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</si>
  <si>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</si>
  <si>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</si>
  <si>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</si>
  <si>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</si>
  <si>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</si>
  <si>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</si>
  <si>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</si>
  <si>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</si>
  <si>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</si>
  <si>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</si>
  <si>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</si>
  <si>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</si>
  <si>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</si>
  <si>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</si>
  <si>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</si>
  <si>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</si>
  <si>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</si>
  <si>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</si>
  <si>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</si>
  <si>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</si>
  <si>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</si>
  <si>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</si>
  <si>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</si>
  <si>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</si>
  <si>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</si>
  <si>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</si>
  <si>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</si>
  <si>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</si>
  <si>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</si>
  <si>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</si>
  <si>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</si>
  <si>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</si>
  <si>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</si>
  <si>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</si>
  <si>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</si>
  <si>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</si>
  <si>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</si>
  <si>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</si>
  <si>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</si>
  <si>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</si>
  <si>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</si>
  <si>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</si>
  <si>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</si>
  <si>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</si>
  <si>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</si>
  <si>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</si>
  <si>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</si>
  <si>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</si>
  <si>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</si>
  <si>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</si>
  <si>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</si>
  <si>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</si>
  <si>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</si>
  <si>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</si>
  <si>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</si>
  <si>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</si>
  <si>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</si>
  <si>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</si>
  <si>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</si>
  <si>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</si>
  <si>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</si>
  <si>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</si>
  <si>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</si>
  <si>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</si>
  <si>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</si>
  <si>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</si>
  <si>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</si>
  <si>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</si>
  <si>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</si>
  <si>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</si>
  <si>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</si>
  <si>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</si>
  <si>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</si>
  <si>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</si>
  <si>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</si>
  <si>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</si>
  <si>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</si>
  <si>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</si>
  <si>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</si>
  <si>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</si>
  <si>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</si>
  <si>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</si>
  <si>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</si>
  <si>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</si>
  <si>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</si>
  <si>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</si>
  <si>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</si>
  <si>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</si>
  <si>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</si>
  <si>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</si>
  <si>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</si>
  <si>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</si>
  <si>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</si>
  <si>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</si>
  <si>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</si>
  <si>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</si>
  <si>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</si>
  <si>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</si>
  <si>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</si>
  <si>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</si>
  <si>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</si>
  <si>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</si>
  <si>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</si>
  <si>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</si>
  <si>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</si>
  <si>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</si>
  <si>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</si>
  <si>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</si>
  <si>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</si>
  <si>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</si>
  <si>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</si>
  <si>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</si>
  <si>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</si>
  <si>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</si>
  <si>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</si>
  <si>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</si>
  <si>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</si>
  <si>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</si>
  <si>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</si>
  <si>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</si>
  <si>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</si>
  <si>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</si>
  <si>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</si>
  <si>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</si>
  <si>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</si>
  <si>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</si>
  <si>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</si>
  <si>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</si>
  <si>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</si>
  <si>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</si>
  <si>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</si>
  <si>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</si>
  <si>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</si>
  <si>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</si>
  <si>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</si>
  <si>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</si>
  <si>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</si>
  <si>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</si>
  <si>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</si>
  <si>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</si>
  <si>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</si>
  <si>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</si>
  <si>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</si>
  <si>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</si>
  <si>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</si>
  <si>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</si>
  <si>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</si>
  <si>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</si>
  <si>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</si>
  <si>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</si>
  <si>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</si>
  <si>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</si>
  <si>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</si>
  <si>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</si>
  <si>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</si>
  <si>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</si>
  <si>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</si>
  <si>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</si>
  <si>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</si>
  <si>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</si>
  <si>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</si>
  <si>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</si>
  <si>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</si>
  <si>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</si>
  <si>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</si>
  <si>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</si>
  <si>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</si>
  <si>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</si>
  <si>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</si>
  <si>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</si>
  <si>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</si>
  <si>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</si>
  <si>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</si>
  <si>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</si>
  <si>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</si>
  <si>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</si>
  <si>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</si>
  <si>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</si>
  <si>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</si>
  <si>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</si>
  <si>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</si>
  <si>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</si>
  <si>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</si>
  <si>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</si>
  <si>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</si>
  <si>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</si>
  <si>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</si>
  <si>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</si>
  <si>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</si>
  <si>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</si>
  <si>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</si>
  <si>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</si>
  <si>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</si>
  <si>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</si>
  <si>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</si>
  <si>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</si>
  <si>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</si>
  <si>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</si>
  <si>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</si>
  <si>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</si>
  <si>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</si>
  <si>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</si>
  <si>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</si>
  <si>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</si>
  <si>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</si>
  <si>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</si>
  <si>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</si>
  <si>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</si>
  <si>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</si>
  <si>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</si>
  <si>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</si>
  <si>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</si>
  <si>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</si>
  <si>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</si>
  <si>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</si>
  <si>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</si>
  <si>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</si>
  <si>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</si>
  <si>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</si>
  <si>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</si>
  <si>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</si>
  <si>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</si>
  <si>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</si>
  <si>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</si>
  <si>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</si>
  <si>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</si>
  <si>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</si>
  <si>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</si>
  <si>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</si>
  <si>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</si>
  <si>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</si>
  <si>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</si>
  <si>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</si>
  <si>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</si>
  <si>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</si>
  <si>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</si>
  <si>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</si>
  <si>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</si>
  <si>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</si>
  <si>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</si>
  <si>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</si>
  <si>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</si>
  <si>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</si>
  <si>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</si>
  <si>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</si>
  <si>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</si>
  <si>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</si>
  <si>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</si>
  <si>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</si>
  <si>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</si>
  <si>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</si>
  <si>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</si>
  <si>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</si>
  <si>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</si>
  <si>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</si>
  <si>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</si>
  <si>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</si>
  <si>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</si>
  <si>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</si>
  <si>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</si>
  <si>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</si>
  <si>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</si>
  <si>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</si>
  <si>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</si>
  <si>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</si>
  <si>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</si>
  <si>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</si>
  <si>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</si>
  <si>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</si>
  <si>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</si>
  <si>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</si>
  <si>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</si>
  <si>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</si>
  <si>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</si>
  <si>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</si>
  <si>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</si>
  <si>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</si>
  <si>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</si>
  <si>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</si>
  <si>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</si>
  <si>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</si>
  <si>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</si>
  <si>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</si>
  <si>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</si>
  <si>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</si>
  <si>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</si>
  <si>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</si>
  <si>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</si>
  <si>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</si>
  <si>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</si>
  <si>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</si>
  <si>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</si>
  <si>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</si>
  <si>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</si>
  <si>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</si>
  <si>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</si>
  <si>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</si>
  <si>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</si>
  <si>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</si>
  <si>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</si>
  <si>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</si>
  <si>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</si>
  <si>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</si>
  <si>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</si>
  <si>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</si>
  <si>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</si>
  <si>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</si>
  <si>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</si>
  <si>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</si>
  <si>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</si>
  <si>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</si>
  <si>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</si>
  <si>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</si>
  <si>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</si>
  <si>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</si>
  <si>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</si>
  <si>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</si>
  <si>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</si>
  <si>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</si>
  <si>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</si>
  <si>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</si>
  <si>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</si>
  <si>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</si>
  <si>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</si>
  <si>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</si>
  <si>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</si>
  <si>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</si>
  <si>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</si>
  <si>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</si>
  <si>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</si>
  <si>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</si>
  <si>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</si>
  <si>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</si>
  <si>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</si>
  <si>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</si>
  <si>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</si>
  <si>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</si>
  <si>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</si>
  <si>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</si>
  <si>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</si>
  <si>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</si>
  <si>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</si>
  <si>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</si>
  <si>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</si>
  <si>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</si>
  <si>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</si>
  <si>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</si>
  <si>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</si>
  <si>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</si>
  <si>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</si>
  <si>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</si>
  <si>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</si>
  <si>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</si>
  <si>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</si>
  <si>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</si>
  <si>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</si>
  <si>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</si>
  <si>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</si>
  <si>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</si>
  <si>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</si>
  <si>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</si>
  <si>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</si>
  <si>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</si>
  <si>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</si>
  <si>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</si>
  <si>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</si>
  <si>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</si>
  <si>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</si>
  <si>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</si>
  <si>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</si>
  <si>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</si>
  <si>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</si>
  <si>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</si>
  <si>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</si>
  <si>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</si>
  <si>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</si>
  <si>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</si>
  <si>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</si>
  <si>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</si>
  <si>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</si>
  <si>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</si>
  <si>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</si>
  <si>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</si>
  <si>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</si>
  <si>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</si>
  <si>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</si>
  <si>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</si>
  <si>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</si>
  <si>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</si>
  <si>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</si>
  <si>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</si>
  <si>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</si>
  <si>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</si>
  <si>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</si>
  <si>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</si>
  <si>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</si>
  <si>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</si>
  <si>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</si>
  <si>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</si>
  <si>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</si>
  <si>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</si>
  <si>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</si>
  <si>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</si>
  <si>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</si>
  <si>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</si>
  <si>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</si>
  <si>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</si>
  <si>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</si>
  <si>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</si>
  <si>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</si>
  <si>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</si>
  <si>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</si>
  <si>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</si>
  <si>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</si>
  <si>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</si>
  <si>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</si>
  <si>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</si>
  <si>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</si>
  <si>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</si>
  <si>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</si>
  <si>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</si>
  <si>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</si>
  <si>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</si>
  <si>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</si>
  <si>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</si>
  <si>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</si>
  <si>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</si>
  <si>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</si>
  <si>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</si>
  <si>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</si>
  <si>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</si>
  <si>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</si>
  <si>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</si>
  <si>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</si>
  <si>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</si>
  <si>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</si>
  <si>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</si>
  <si>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</si>
  <si>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</si>
  <si>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</si>
  <si>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</si>
  <si>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</si>
  <si>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</si>
  <si>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</si>
  <si>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</si>
  <si>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</si>
  <si>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</si>
  <si>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</si>
  <si>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</si>
  <si>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</si>
  <si>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</si>
  <si>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</si>
  <si>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</si>
  <si>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</si>
  <si>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</si>
  <si>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</si>
  <si>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</si>
  <si>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</si>
  <si>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</si>
  <si>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</si>
  <si>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</si>
  <si>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</si>
  <si>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</si>
  <si>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</si>
  <si>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</si>
  <si>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</si>
  <si>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</si>
  <si>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</si>
  <si>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</si>
  <si>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</si>
  <si>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</si>
  <si>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</si>
  <si>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</si>
  <si>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GREATER WATERBURY HEALTH NETWORK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</si>
  <si>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</si>
  <si>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</si>
  <si>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</si>
  <si>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</si>
  <si>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</si>
  <si>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</si>
  <si>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</si>
  <si>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</si>
  <si>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</si>
  <si>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</si>
  <si>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</si>
  <si>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</si>
  <si>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</si>
  <si>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</si>
  <si>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</si>
  <si>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</si>
  <si>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</si>
  <si>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</si>
  <si>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</si>
  <si>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</si>
  <si>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</si>
  <si>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</si>
  <si>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</si>
  <si>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</si>
  <si>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</si>
  <si>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</si>
  <si>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</si>
  <si>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</si>
  <si>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</si>
  <si>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</si>
  <si>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</si>
  <si>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</si>
  <si>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</si>
  <si>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</si>
  <si>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</si>
  <si>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</si>
  <si>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</si>
  <si>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</si>
  <si>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</si>
  <si>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</si>
  <si>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</si>
  <si>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</si>
  <si>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</si>
  <si>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</si>
  <si>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</si>
  <si>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</si>
  <si>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</si>
  <si>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</si>
  <si>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</si>
  <si>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</si>
  <si>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</si>
  <si>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</si>
  <si>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</si>
  <si>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</si>
  <si>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</si>
  <si>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</si>
  <si>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</si>
  <si>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</si>
  <si>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</si>
  <si>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</si>
  <si>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</si>
  <si>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</si>
  <si>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</si>
  <si>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</si>
  <si>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</si>
  <si>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</si>
  <si>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</si>
  <si>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</si>
  <si>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</si>
  <si>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</si>
  <si>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</si>
  <si>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</si>
  <si>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</si>
  <si>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</si>
  <si>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</si>
  <si>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</si>
  <si>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</si>
  <si>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</si>
  <si>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</si>
  <si>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</si>
  <si>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</si>
  <si>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</si>
  <si>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</si>
  <si>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</si>
  <si>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</si>
  <si>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</si>
  <si>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</si>
  <si>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</si>
  <si>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</si>
  <si>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</si>
  <si>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</si>
  <si>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</si>
  <si>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</si>
  <si>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</si>
  <si>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</si>
  <si>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</si>
  <si>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</si>
  <si>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</si>
  <si>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</si>
  <si>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</si>
  <si>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</si>
  <si>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</si>
  <si>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</si>
  <si>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Waterbury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</si>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</sst>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168" fontId="23" fillId="20" borderId="35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157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160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10440801</v>
      </c>
      <c r="D13" s="23">
        <v>14657330</v>
      </c>
      <c r="E13" s="23">
        <f aca="true" t="shared" si="0" ref="E13:E22">D13-C13</f>
        <v>4216529</v>
      </c>
      <c r="F13" s="24">
        <f aca="true" t="shared" si="1" ref="F13:F22">IF(C13=0,0,E13/C13)</f>
        <v>0.4038511029948756</v>
      </c>
    </row>
    <row r="14" spans="1:6" ht="24" customHeight="1">
      <c r="A14" s="21">
        <v>2</v>
      </c>
      <c r="B14" s="22" t="s">
        <v>174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3" customHeight="1">
      <c r="A15" s="21">
        <v>3</v>
      </c>
      <c r="B15" s="22" t="s">
        <v>175</v>
      </c>
      <c r="C15" s="23">
        <v>33654146</v>
      </c>
      <c r="D15" s="23">
        <v>30390471</v>
      </c>
      <c r="E15" s="23">
        <f t="shared" si="0"/>
        <v>-3263675</v>
      </c>
      <c r="F15" s="24">
        <f t="shared" si="1"/>
        <v>-0.09697690739203425</v>
      </c>
    </row>
    <row r="16" spans="1:6" ht="24" customHeight="1">
      <c r="A16" s="21">
        <v>4</v>
      </c>
      <c r="B16" s="22" t="s">
        <v>176</v>
      </c>
      <c r="C16" s="23">
        <v>2737177</v>
      </c>
      <c r="D16" s="23">
        <v>573887</v>
      </c>
      <c r="E16" s="23">
        <f t="shared" si="0"/>
        <v>-2163290</v>
      </c>
      <c r="F16" s="24">
        <f t="shared" si="1"/>
        <v>-0.7903361748253767</v>
      </c>
    </row>
    <row r="17" spans="1:6" ht="24" customHeight="1">
      <c r="A17" s="21">
        <v>5</v>
      </c>
      <c r="B17" s="22" t="s">
        <v>177</v>
      </c>
      <c r="C17" s="23">
        <v>0</v>
      </c>
      <c r="D17" s="23">
        <v>902115</v>
      </c>
      <c r="E17" s="23">
        <f t="shared" si="0"/>
        <v>902115</v>
      </c>
      <c r="F17" s="24">
        <f t="shared" si="1"/>
        <v>0</v>
      </c>
    </row>
    <row r="18" spans="1:6" ht="24" customHeight="1">
      <c r="A18" s="21">
        <v>6</v>
      </c>
      <c r="B18" s="22" t="s">
        <v>178</v>
      </c>
      <c r="C18" s="23">
        <v>810405</v>
      </c>
      <c r="D18" s="23">
        <v>0</v>
      </c>
      <c r="E18" s="23">
        <f t="shared" si="0"/>
        <v>-810405</v>
      </c>
      <c r="F18" s="24">
        <f t="shared" si="1"/>
        <v>-1</v>
      </c>
    </row>
    <row r="19" spans="1:6" ht="24" customHeight="1">
      <c r="A19" s="21">
        <v>7</v>
      </c>
      <c r="B19" s="22" t="s">
        <v>179</v>
      </c>
      <c r="C19" s="23">
        <v>608211</v>
      </c>
      <c r="D19" s="23">
        <v>584339</v>
      </c>
      <c r="E19" s="23">
        <f t="shared" si="0"/>
        <v>-23872</v>
      </c>
      <c r="F19" s="24">
        <f t="shared" si="1"/>
        <v>-0.03924953675615864</v>
      </c>
    </row>
    <row r="20" spans="1:6" ht="24" customHeight="1">
      <c r="A20" s="21">
        <v>8</v>
      </c>
      <c r="B20" s="22" t="s">
        <v>180</v>
      </c>
      <c r="C20" s="23">
        <v>1697859</v>
      </c>
      <c r="D20" s="23">
        <v>1248474</v>
      </c>
      <c r="E20" s="23">
        <f t="shared" si="0"/>
        <v>-449385</v>
      </c>
      <c r="F20" s="24">
        <f t="shared" si="1"/>
        <v>-0.2646774555484289</v>
      </c>
    </row>
    <row r="21" spans="1:6" ht="24" customHeight="1">
      <c r="A21" s="21">
        <v>9</v>
      </c>
      <c r="B21" s="22" t="s">
        <v>181</v>
      </c>
      <c r="C21" s="23">
        <v>1047194</v>
      </c>
      <c r="D21" s="23">
        <v>1208850</v>
      </c>
      <c r="E21" s="23">
        <f t="shared" si="0"/>
        <v>161656</v>
      </c>
      <c r="F21" s="24">
        <f t="shared" si="1"/>
        <v>0.15437063237566295</v>
      </c>
    </row>
    <row r="22" spans="1:6" ht="24" customHeight="1">
      <c r="A22" s="25"/>
      <c r="B22" s="26" t="s">
        <v>182</v>
      </c>
      <c r="C22" s="27">
        <f>SUM(C13:C21)</f>
        <v>50995793</v>
      </c>
      <c r="D22" s="27">
        <f>SUM(D13:D21)</f>
        <v>49565466</v>
      </c>
      <c r="E22" s="27">
        <f t="shared" si="0"/>
        <v>-1430327</v>
      </c>
      <c r="F22" s="28">
        <f t="shared" si="1"/>
        <v>-0.028047941131143898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38548695</v>
      </c>
      <c r="D25" s="23">
        <v>37864978</v>
      </c>
      <c r="E25" s="23">
        <f>D25-C25</f>
        <v>-683717</v>
      </c>
      <c r="F25" s="24">
        <f>IF(C25=0,0,E25/C25)</f>
        <v>-0.017736449962832725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0</v>
      </c>
      <c r="D26" s="23">
        <v>2673155</v>
      </c>
      <c r="E26" s="23">
        <f>D26-C26</f>
        <v>2673155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2559694</v>
      </c>
      <c r="D27" s="23">
        <v>2003239</v>
      </c>
      <c r="E27" s="23">
        <f>D27-C27</f>
        <v>-556455</v>
      </c>
      <c r="F27" s="24">
        <f>IF(C27=0,0,E27/C27)</f>
        <v>-0.2173912194191962</v>
      </c>
    </row>
    <row r="28" spans="1:6" ht="24" customHeight="1">
      <c r="A28" s="21">
        <v>4</v>
      </c>
      <c r="B28" s="22" t="s">
        <v>188</v>
      </c>
      <c r="C28" s="23">
        <v>2072522</v>
      </c>
      <c r="D28" s="23">
        <v>16843</v>
      </c>
      <c r="E28" s="23">
        <f>D28-C28</f>
        <v>-2055679</v>
      </c>
      <c r="F28" s="24">
        <f>IF(C28=0,0,E28/C28)</f>
        <v>-0.9918731863883713</v>
      </c>
    </row>
    <row r="29" spans="1:6" ht="24" customHeight="1">
      <c r="A29" s="25"/>
      <c r="B29" s="26" t="s">
        <v>189</v>
      </c>
      <c r="C29" s="27">
        <f>SUM(C25:C28)</f>
        <v>43180911</v>
      </c>
      <c r="D29" s="27">
        <f>SUM(D25:D28)</f>
        <v>42558215</v>
      </c>
      <c r="E29" s="27">
        <f>D29-C29</f>
        <v>-622696</v>
      </c>
      <c r="F29" s="28">
        <f>IF(C29=0,0,E29/C29)</f>
        <v>-0.014420631375748418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12658774</v>
      </c>
      <c r="D32" s="23">
        <v>9558064</v>
      </c>
      <c r="E32" s="23">
        <f>D32-C32</f>
        <v>-3100710</v>
      </c>
      <c r="F32" s="24">
        <f>IF(C32=0,0,E32/C32)</f>
        <v>-0.24494552158052588</v>
      </c>
    </row>
    <row r="33" spans="1:6" ht="24" customHeight="1">
      <c r="A33" s="21">
        <v>7</v>
      </c>
      <c r="B33" s="22" t="s">
        <v>192</v>
      </c>
      <c r="C33" s="23">
        <v>1513134</v>
      </c>
      <c r="D33" s="23">
        <v>6278831</v>
      </c>
      <c r="E33" s="23">
        <f>D33-C33</f>
        <v>4765697</v>
      </c>
      <c r="F33" s="24">
        <f>IF(C33=0,0,E33/C33)</f>
        <v>3.149553839911072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193</v>
      </c>
      <c r="B35" s="30" t="s">
        <v>194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195</v>
      </c>
      <c r="C36" s="23">
        <v>238997802</v>
      </c>
      <c r="D36" s="23">
        <v>240623424</v>
      </c>
      <c r="E36" s="23">
        <f>D36-C36</f>
        <v>1625622</v>
      </c>
      <c r="F36" s="24">
        <f>IF(C36=0,0,E36/C36)</f>
        <v>0.006801828244428792</v>
      </c>
    </row>
    <row r="37" spans="1:6" ht="24" customHeight="1">
      <c r="A37" s="21">
        <v>2</v>
      </c>
      <c r="B37" s="22" t="s">
        <v>196</v>
      </c>
      <c r="C37" s="23">
        <v>188689241</v>
      </c>
      <c r="D37" s="23">
        <v>197380797</v>
      </c>
      <c r="E37" s="23">
        <f>D37-C37</f>
        <v>8691556</v>
      </c>
      <c r="F37" s="24">
        <f>IF(C37=0,0,E37/C37)</f>
        <v>0.046062806516880314</v>
      </c>
    </row>
    <row r="38" spans="1:6" ht="24" customHeight="1">
      <c r="A38" s="25"/>
      <c r="B38" s="26" t="s">
        <v>197</v>
      </c>
      <c r="C38" s="27">
        <f>C36-C37</f>
        <v>50308561</v>
      </c>
      <c r="D38" s="27">
        <f>D36-D37</f>
        <v>43242627</v>
      </c>
      <c r="E38" s="27">
        <f>D38-C38</f>
        <v>-7065934</v>
      </c>
      <c r="F38" s="28">
        <f>IF(C38=0,0,E38/C38)</f>
        <v>-0.14045192030040374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198</v>
      </c>
      <c r="C40" s="23">
        <v>193299</v>
      </c>
      <c r="D40" s="23">
        <v>93916</v>
      </c>
      <c r="E40" s="23">
        <f>D40-C40</f>
        <v>-99383</v>
      </c>
      <c r="F40" s="24">
        <f>IF(C40=0,0,E40/C40)</f>
        <v>-0.5141413044040579</v>
      </c>
    </row>
    <row r="41" spans="1:6" ht="24" customHeight="1">
      <c r="A41" s="25"/>
      <c r="B41" s="26" t="s">
        <v>199</v>
      </c>
      <c r="C41" s="27">
        <f>+C38+C40</f>
        <v>50501860</v>
      </c>
      <c r="D41" s="27">
        <f>+D38+D40</f>
        <v>43336543</v>
      </c>
      <c r="E41" s="27">
        <f>D41-C41</f>
        <v>-7165317</v>
      </c>
      <c r="F41" s="28">
        <f>IF(C41=0,0,E41/C41)</f>
        <v>-0.14188223958483906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200</v>
      </c>
      <c r="C43" s="27">
        <f>C22+C29+C31+C32+C33+C41</f>
        <v>158850472</v>
      </c>
      <c r="D43" s="27">
        <f>D22+D29+D31+D32+D33+D41</f>
        <v>151297119</v>
      </c>
      <c r="E43" s="27">
        <f>D43-C43</f>
        <v>-7553353</v>
      </c>
      <c r="F43" s="28">
        <f>IF(C43=0,0,E43/C43)</f>
        <v>-0.04755008219301986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204</v>
      </c>
      <c r="C49" s="23">
        <v>19749922</v>
      </c>
      <c r="D49" s="23">
        <v>14976895</v>
      </c>
      <c r="E49" s="23">
        <f aca="true" t="shared" si="2" ref="E49:E56">D49-C49</f>
        <v>-4773027</v>
      </c>
      <c r="F49" s="24">
        <f aca="true" t="shared" si="3" ref="F49:F56">IF(C49=0,0,E49/C49)</f>
        <v>-0.24167320762076933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8988896</v>
      </c>
      <c r="D50" s="23">
        <v>7919991</v>
      </c>
      <c r="E50" s="23">
        <f t="shared" si="2"/>
        <v>-1068905</v>
      </c>
      <c r="F50" s="24">
        <f t="shared" si="3"/>
        <v>-0.11891393559342549</v>
      </c>
    </row>
    <row r="51" spans="1:6" ht="24" customHeight="1">
      <c r="A51" s="21">
        <f t="shared" si="4"/>
        <v>3</v>
      </c>
      <c r="B51" s="22" t="s">
        <v>206</v>
      </c>
      <c r="C51" s="23">
        <v>0</v>
      </c>
      <c r="D51" s="23">
        <v>1023178</v>
      </c>
      <c r="E51" s="23">
        <f t="shared" si="2"/>
        <v>1023178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207</v>
      </c>
      <c r="C52" s="23">
        <v>705541</v>
      </c>
      <c r="D52" s="23">
        <v>0</v>
      </c>
      <c r="E52" s="23">
        <f t="shared" si="2"/>
        <v>-705541</v>
      </c>
      <c r="F52" s="24">
        <f t="shared" si="3"/>
        <v>-1</v>
      </c>
    </row>
    <row r="53" spans="1:6" ht="24" customHeight="1">
      <c r="A53" s="21">
        <f t="shared" si="4"/>
        <v>5</v>
      </c>
      <c r="B53" s="22" t="s">
        <v>208</v>
      </c>
      <c r="C53" s="23">
        <v>790000</v>
      </c>
      <c r="D53" s="23">
        <v>820000</v>
      </c>
      <c r="E53" s="23">
        <f t="shared" si="2"/>
        <v>30000</v>
      </c>
      <c r="F53" s="24">
        <f t="shared" si="3"/>
        <v>0.0379746835443038</v>
      </c>
    </row>
    <row r="54" spans="1:6" ht="24" customHeight="1">
      <c r="A54" s="21">
        <f t="shared" si="4"/>
        <v>6</v>
      </c>
      <c r="B54" s="22" t="s">
        <v>209</v>
      </c>
      <c r="C54" s="23">
        <v>1011316</v>
      </c>
      <c r="D54" s="23">
        <v>83754</v>
      </c>
      <c r="E54" s="23">
        <f t="shared" si="2"/>
        <v>-927562</v>
      </c>
      <c r="F54" s="24">
        <f t="shared" si="3"/>
        <v>-0.9171831554133426</v>
      </c>
    </row>
    <row r="55" spans="1:6" ht="24" customHeight="1">
      <c r="A55" s="21">
        <f t="shared" si="4"/>
        <v>7</v>
      </c>
      <c r="B55" s="22" t="s">
        <v>210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211</v>
      </c>
      <c r="C56" s="27">
        <f>SUM(C49:C55)</f>
        <v>31245675</v>
      </c>
      <c r="D56" s="27">
        <f>SUM(D49:D55)</f>
        <v>24823818</v>
      </c>
      <c r="E56" s="27">
        <f t="shared" si="2"/>
        <v>-6421857</v>
      </c>
      <c r="F56" s="28">
        <f t="shared" si="3"/>
        <v>-0.2055278690570775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213</v>
      </c>
      <c r="C59" s="23">
        <v>19782139</v>
      </c>
      <c r="D59" s="23">
        <v>18984928</v>
      </c>
      <c r="E59" s="23">
        <f>D59-C59</f>
        <v>-797211</v>
      </c>
      <c r="F59" s="24">
        <f>IF(C59=0,0,E59/C59)</f>
        <v>-0.04029953484807684</v>
      </c>
    </row>
    <row r="60" spans="1:6" ht="24" customHeight="1">
      <c r="A60" s="21">
        <v>2</v>
      </c>
      <c r="B60" s="22" t="s">
        <v>214</v>
      </c>
      <c r="C60" s="23">
        <v>0</v>
      </c>
      <c r="D60" s="23">
        <v>64625</v>
      </c>
      <c r="E60" s="23">
        <f>D60-C60</f>
        <v>64625</v>
      </c>
      <c r="F60" s="24">
        <f>IF(C60=0,0,E60/C60)</f>
        <v>0</v>
      </c>
    </row>
    <row r="61" spans="1:6" ht="24" customHeight="1">
      <c r="A61" s="25"/>
      <c r="B61" s="26" t="s">
        <v>215</v>
      </c>
      <c r="C61" s="27">
        <f>SUM(C59:C60)</f>
        <v>19782139</v>
      </c>
      <c r="D61" s="27">
        <f>SUM(D59:D60)</f>
        <v>19049553</v>
      </c>
      <c r="E61" s="27">
        <f>D61-C61</f>
        <v>-732586</v>
      </c>
      <c r="F61" s="28">
        <f>IF(C61=0,0,E61/C61)</f>
        <v>-0.037032699042302754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216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>
      <c r="A64" s="21">
        <v>4</v>
      </c>
      <c r="B64" s="22" t="s">
        <v>217</v>
      </c>
      <c r="C64" s="23">
        <v>7826358</v>
      </c>
      <c r="D64" s="23">
        <v>14365164</v>
      </c>
      <c r="E64" s="23">
        <f>D64-C64</f>
        <v>6538806</v>
      </c>
      <c r="F64" s="24">
        <f>IF(C64=0,0,E64/C64)</f>
        <v>0.8354851643638075</v>
      </c>
    </row>
    <row r="65" spans="1:6" ht="24" customHeight="1">
      <c r="A65" s="25"/>
      <c r="B65" s="26" t="s">
        <v>218</v>
      </c>
      <c r="C65" s="27">
        <f>SUM(C61:C64)</f>
        <v>27608497</v>
      </c>
      <c r="D65" s="27">
        <f>SUM(D61:D64)</f>
        <v>33414717</v>
      </c>
      <c r="E65" s="27">
        <f>D65-C65</f>
        <v>5806220</v>
      </c>
      <c r="F65" s="28">
        <f>IF(C65=0,0,E65/C65)</f>
        <v>0.21030554470241536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219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193</v>
      </c>
      <c r="B69" s="41" t="s">
        <v>220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221</v>
      </c>
      <c r="C70" s="23">
        <v>47953352</v>
      </c>
      <c r="D70" s="23">
        <v>44636663</v>
      </c>
      <c r="E70" s="23">
        <f>D70-C70</f>
        <v>-3316689</v>
      </c>
      <c r="F70" s="24">
        <f>IF(C70=0,0,E70/C70)</f>
        <v>-0.06916490425945615</v>
      </c>
    </row>
    <row r="71" spans="1:6" ht="24" customHeight="1">
      <c r="A71" s="21">
        <v>2</v>
      </c>
      <c r="B71" s="22" t="s">
        <v>222</v>
      </c>
      <c r="C71" s="23">
        <v>10702822</v>
      </c>
      <c r="D71" s="23">
        <v>7764952</v>
      </c>
      <c r="E71" s="23">
        <f>D71-C71</f>
        <v>-2937870</v>
      </c>
      <c r="F71" s="24">
        <f>IF(C71=0,0,E71/C71)</f>
        <v>-0.2744948948978129</v>
      </c>
    </row>
    <row r="72" spans="1:6" ht="24" customHeight="1">
      <c r="A72" s="21">
        <v>3</v>
      </c>
      <c r="B72" s="22" t="s">
        <v>223</v>
      </c>
      <c r="C72" s="23">
        <v>41340126</v>
      </c>
      <c r="D72" s="23">
        <v>40656969</v>
      </c>
      <c r="E72" s="23">
        <f>D72-C72</f>
        <v>-683157</v>
      </c>
      <c r="F72" s="24">
        <f>IF(C72=0,0,E72/C72)</f>
        <v>-0.016525276192917264</v>
      </c>
    </row>
    <row r="73" spans="1:6" ht="24" customHeight="1">
      <c r="A73" s="21"/>
      <c r="B73" s="26" t="s">
        <v>224</v>
      </c>
      <c r="C73" s="27">
        <f>SUM(C70:C72)</f>
        <v>99996300</v>
      </c>
      <c r="D73" s="27">
        <f>SUM(D70:D72)</f>
        <v>93058584</v>
      </c>
      <c r="E73" s="27">
        <f>D73-C73</f>
        <v>-6937716</v>
      </c>
      <c r="F73" s="28">
        <f>IF(C73=0,0,E73/C73)</f>
        <v>-0.06937972704990085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225</v>
      </c>
      <c r="C75" s="27">
        <f>C56+C65+C67+C73</f>
        <v>158850472</v>
      </c>
      <c r="D75" s="27">
        <f>D56+D65+D67+D73</f>
        <v>151297119</v>
      </c>
      <c r="E75" s="27">
        <f>D75-C75</f>
        <v>-7553353</v>
      </c>
      <c r="F75" s="28">
        <f>IF(C75=0,0,E75/C75)</f>
        <v>-0.04755008219301986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636</v>
      </c>
      <c r="B1" s="696"/>
      <c r="C1" s="696"/>
      <c r="D1" s="696"/>
      <c r="E1" s="697"/>
    </row>
    <row r="2" spans="1:5" ht="24" customHeight="1">
      <c r="A2" s="695" t="s">
        <v>158</v>
      </c>
      <c r="B2" s="696"/>
      <c r="C2" s="696"/>
      <c r="D2" s="696"/>
      <c r="E2" s="697"/>
    </row>
    <row r="3" spans="1:5" ht="24" customHeight="1">
      <c r="A3" s="695" t="s">
        <v>159</v>
      </c>
      <c r="B3" s="696"/>
      <c r="C3" s="696"/>
      <c r="D3" s="696"/>
      <c r="E3" s="697"/>
    </row>
    <row r="4" spans="1:5" ht="24" customHeight="1">
      <c r="A4" s="695" t="s">
        <v>639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167</v>
      </c>
      <c r="D7" s="59" t="s">
        <v>167</v>
      </c>
      <c r="E7" s="59" t="s">
        <v>167</v>
      </c>
      <c r="F7" s="59"/>
    </row>
    <row r="8" spans="1:6" ht="24" customHeight="1">
      <c r="A8" s="61" t="s">
        <v>165</v>
      </c>
      <c r="B8" s="62" t="s">
        <v>166</v>
      </c>
      <c r="C8" s="264" t="s">
        <v>464</v>
      </c>
      <c r="D8" s="264" t="s">
        <v>161</v>
      </c>
      <c r="E8" s="264" t="s">
        <v>162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171</v>
      </c>
      <c r="B10" s="187" t="s">
        <v>640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641</v>
      </c>
      <c r="C11" s="51">
        <v>239196513</v>
      </c>
      <c r="D11" s="51">
        <v>238471436</v>
      </c>
      <c r="E11" s="51">
        <v>258121071</v>
      </c>
      <c r="F11" s="28"/>
    </row>
    <row r="12" spans="1:6" ht="24" customHeight="1">
      <c r="A12" s="44">
        <v>2</v>
      </c>
      <c r="B12" s="48" t="s">
        <v>233</v>
      </c>
      <c r="C12" s="49">
        <v>12628320</v>
      </c>
      <c r="D12" s="49">
        <v>20646611</v>
      </c>
      <c r="E12" s="49">
        <v>18263331</v>
      </c>
      <c r="F12" s="28"/>
    </row>
    <row r="13" spans="1:6" s="56" customFormat="1" ht="24" customHeight="1">
      <c r="A13" s="44">
        <v>3</v>
      </c>
      <c r="B13" s="48" t="s">
        <v>235</v>
      </c>
      <c r="C13" s="51">
        <f>+C11+C12</f>
        <v>251824833</v>
      </c>
      <c r="D13" s="51">
        <f>+D11+D12</f>
        <v>259118047</v>
      </c>
      <c r="E13" s="51">
        <f>+E11+E12</f>
        <v>276384402</v>
      </c>
      <c r="F13" s="70"/>
    </row>
    <row r="14" spans="1:6" s="56" customFormat="1" ht="24" customHeight="1">
      <c r="A14" s="44">
        <v>4</v>
      </c>
      <c r="B14" s="48" t="s">
        <v>246</v>
      </c>
      <c r="C14" s="49">
        <v>261744737</v>
      </c>
      <c r="D14" s="49">
        <v>273973251</v>
      </c>
      <c r="E14" s="49">
        <v>281577387</v>
      </c>
      <c r="F14" s="70"/>
    </row>
    <row r="15" spans="1:6" s="56" customFormat="1" ht="24" customHeight="1">
      <c r="A15" s="44">
        <v>5</v>
      </c>
      <c r="B15" s="48" t="s">
        <v>247</v>
      </c>
      <c r="C15" s="51">
        <f>+C13-C14</f>
        <v>-9919904</v>
      </c>
      <c r="D15" s="51">
        <f>+D13-D14</f>
        <v>-14855204</v>
      </c>
      <c r="E15" s="51">
        <f>+E13-E14</f>
        <v>-5192985</v>
      </c>
      <c r="F15" s="70"/>
    </row>
    <row r="16" spans="1:6" s="56" customFormat="1" ht="24" customHeight="1">
      <c r="A16" s="44">
        <v>6</v>
      </c>
      <c r="B16" s="48" t="s">
        <v>252</v>
      </c>
      <c r="C16" s="49">
        <v>4767863</v>
      </c>
      <c r="D16" s="49">
        <v>-2972183</v>
      </c>
      <c r="E16" s="49">
        <v>1888849</v>
      </c>
      <c r="F16" s="70"/>
    </row>
    <row r="17" spans="1:6" s="56" customFormat="1" ht="24" customHeight="1">
      <c r="A17" s="44">
        <v>7</v>
      </c>
      <c r="B17" s="45" t="s">
        <v>467</v>
      </c>
      <c r="C17" s="51">
        <f>C15+C16</f>
        <v>-5152041</v>
      </c>
      <c r="D17" s="51">
        <f>D15+D16</f>
        <v>-17827387</v>
      </c>
      <c r="E17" s="51">
        <f>E15+E16</f>
        <v>-3304136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183</v>
      </c>
      <c r="B19" s="30" t="s">
        <v>642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643</v>
      </c>
      <c r="C20" s="169">
        <f>IF(+C27=0,0,+C24/+C27)</f>
        <v>-0.0386601183690747</v>
      </c>
      <c r="D20" s="169">
        <f>IF(+D27=0,0,+D24/+D27)</f>
        <v>-0.057995096106646486</v>
      </c>
      <c r="E20" s="169">
        <f>IF(+E27=0,0,+E24/+E27)</f>
        <v>-0.018661459487530837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644</v>
      </c>
      <c r="C21" s="169">
        <f>IF(+C27=0,0,+C26/+C27)</f>
        <v>0.0185814447344986</v>
      </c>
      <c r="D21" s="169">
        <f>IF(+D27=0,0,+D26/+D27)</f>
        <v>-0.011603478399323285</v>
      </c>
      <c r="E21" s="169">
        <f>IF(+E27=0,0,+E26/+E27)</f>
        <v>0.00678774906755231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645</v>
      </c>
      <c r="C22" s="169">
        <f>IF(+C27=0,0,+C28/+C27)</f>
        <v>-0.0200786736345761</v>
      </c>
      <c r="D22" s="169">
        <f>IF(+D27=0,0,+D28/+D27)</f>
        <v>-0.06959857450596978</v>
      </c>
      <c r="E22" s="169">
        <f>IF(+E27=0,0,+E28/+E27)</f>
        <v>-0.011873710419978527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247</v>
      </c>
      <c r="C24" s="51">
        <f>+C15</f>
        <v>-9919904</v>
      </c>
      <c r="D24" s="51">
        <f>+D15</f>
        <v>-14855204</v>
      </c>
      <c r="E24" s="51">
        <f>+E15</f>
        <v>-5192985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235</v>
      </c>
      <c r="C25" s="51">
        <f>+C13</f>
        <v>251824833</v>
      </c>
      <c r="D25" s="51">
        <f>+D13</f>
        <v>259118047</v>
      </c>
      <c r="E25" s="51">
        <f>+E13</f>
        <v>276384402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252</v>
      </c>
      <c r="C26" s="51">
        <f>+C16</f>
        <v>4767863</v>
      </c>
      <c r="D26" s="51">
        <f>+D16</f>
        <v>-2972183</v>
      </c>
      <c r="E26" s="51">
        <f>+E16</f>
        <v>1888849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472</v>
      </c>
      <c r="C27" s="51">
        <f>SUM(C25:C26)</f>
        <v>256592696</v>
      </c>
      <c r="D27" s="51">
        <f>SUM(D25:D26)</f>
        <v>256145864</v>
      </c>
      <c r="E27" s="51">
        <f>SUM(E25:E26)</f>
        <v>278273251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467</v>
      </c>
      <c r="C28" s="51">
        <f>+C17</f>
        <v>-5152041</v>
      </c>
      <c r="D28" s="51">
        <f>+D17</f>
        <v>-17827387</v>
      </c>
      <c r="E28" s="51">
        <f>+E17</f>
        <v>-3304136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193</v>
      </c>
      <c r="B30" s="41" t="s">
        <v>646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647</v>
      </c>
      <c r="C31" s="51">
        <v>96779895</v>
      </c>
      <c r="D31" s="51">
        <v>76183050</v>
      </c>
      <c r="E31" s="52">
        <v>69255238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648</v>
      </c>
      <c r="C32" s="51">
        <v>160331670</v>
      </c>
      <c r="D32" s="51">
        <v>128225998</v>
      </c>
      <c r="E32" s="51">
        <v>117677159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649</v>
      </c>
      <c r="C33" s="51">
        <v>160331670</v>
      </c>
      <c r="D33" s="51">
        <f>+D32-C32</f>
        <v>-32105672</v>
      </c>
      <c r="E33" s="51">
        <f>+E32-D32</f>
        <v>-10548839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650</v>
      </c>
      <c r="C34" s="171">
        <v>0</v>
      </c>
      <c r="D34" s="171">
        <f>IF(C32=0,0,+D33/C32)</f>
        <v>-0.20024535389670675</v>
      </c>
      <c r="E34" s="171">
        <f>IF(D32=0,0,+E33/D32)</f>
        <v>-0.08226755232585517</v>
      </c>
      <c r="F34" s="28"/>
    </row>
    <row r="35" spans="5:6" ht="24" customHeight="1">
      <c r="E35" s="55"/>
      <c r="F35" s="28"/>
    </row>
    <row r="36" spans="1:6" ht="15.75" customHeight="1">
      <c r="A36" s="20" t="s">
        <v>478</v>
      </c>
      <c r="B36" s="16" t="s">
        <v>500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501</v>
      </c>
      <c r="C38" s="269">
        <f>IF(+C40=0,0,+C39/+C40)</f>
        <v>1.7391489839408227</v>
      </c>
      <c r="D38" s="269">
        <f>IF(+D40=0,0,+D39/+D40)</f>
        <v>1.6606653825363942</v>
      </c>
      <c r="E38" s="269">
        <f>IF(+E40=0,0,+E39/+E40)</f>
        <v>2.1243374671552933</v>
      </c>
      <c r="F38" s="28"/>
    </row>
    <row r="39" spans="1:6" ht="24" customHeight="1">
      <c r="A39" s="17">
        <v>2</v>
      </c>
      <c r="B39" s="45" t="s">
        <v>182</v>
      </c>
      <c r="C39" s="270">
        <v>53385512</v>
      </c>
      <c r="D39" s="270">
        <v>61632369</v>
      </c>
      <c r="E39" s="270">
        <v>58536223</v>
      </c>
      <c r="F39" s="28"/>
    </row>
    <row r="40" spans="1:5" ht="24" customHeight="1">
      <c r="A40" s="17">
        <v>3</v>
      </c>
      <c r="B40" s="45" t="s">
        <v>211</v>
      </c>
      <c r="C40" s="270">
        <v>30696342</v>
      </c>
      <c r="D40" s="270">
        <v>37113057</v>
      </c>
      <c r="E40" s="270">
        <v>27555049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502</v>
      </c>
      <c r="C42" s="271">
        <f>IF((C48/365)=0,0,+C45/(C48/365))</f>
        <v>13.877385400875845</v>
      </c>
      <c r="D42" s="271">
        <f>IF((D48/365)=0,0,+D45/(D48/365))</f>
        <v>21.31233286551097</v>
      </c>
      <c r="E42" s="271">
        <f>IF((E48/365)=0,0,+E45/(E48/365))</f>
        <v>27.091659965094895</v>
      </c>
    </row>
    <row r="43" spans="1:5" ht="24" customHeight="1">
      <c r="A43" s="17">
        <v>5</v>
      </c>
      <c r="B43" s="188" t="s">
        <v>173</v>
      </c>
      <c r="C43" s="272">
        <v>8969393</v>
      </c>
      <c r="D43" s="272">
        <v>14837426</v>
      </c>
      <c r="E43" s="272">
        <v>19343506</v>
      </c>
    </row>
    <row r="44" spans="1:5" ht="24" customHeight="1">
      <c r="A44" s="17">
        <v>6</v>
      </c>
      <c r="B44" s="273" t="s">
        <v>174</v>
      </c>
      <c r="C44" s="274">
        <v>564013</v>
      </c>
      <c r="D44" s="274">
        <v>548261</v>
      </c>
      <c r="E44" s="274">
        <v>819938</v>
      </c>
    </row>
    <row r="45" spans="1:5" ht="24" customHeight="1">
      <c r="A45" s="17">
        <v>7</v>
      </c>
      <c r="B45" s="45" t="s">
        <v>503</v>
      </c>
      <c r="C45" s="270">
        <f>+C43+C44</f>
        <v>9533406</v>
      </c>
      <c r="D45" s="270">
        <f>+D43+D44</f>
        <v>15385687</v>
      </c>
      <c r="E45" s="270">
        <f>+E43+E44</f>
        <v>20163444</v>
      </c>
    </row>
    <row r="46" spans="1:5" ht="24" customHeight="1">
      <c r="A46" s="17">
        <v>8</v>
      </c>
      <c r="B46" s="45" t="s">
        <v>481</v>
      </c>
      <c r="C46" s="270">
        <f>+C14</f>
        <v>261744737</v>
      </c>
      <c r="D46" s="270">
        <f>+D14</f>
        <v>273973251</v>
      </c>
      <c r="E46" s="270">
        <f>+E14</f>
        <v>281577387</v>
      </c>
    </row>
    <row r="47" spans="1:5" ht="24" customHeight="1">
      <c r="A47" s="17">
        <v>9</v>
      </c>
      <c r="B47" s="45" t="s">
        <v>504</v>
      </c>
      <c r="C47" s="270">
        <v>10999147</v>
      </c>
      <c r="D47" s="270">
        <v>10474375</v>
      </c>
      <c r="E47" s="270">
        <v>9919723</v>
      </c>
    </row>
    <row r="48" spans="1:5" ht="24" customHeight="1">
      <c r="A48" s="17">
        <v>10</v>
      </c>
      <c r="B48" s="45" t="s">
        <v>505</v>
      </c>
      <c r="C48" s="270">
        <f>+C46-C47</f>
        <v>250745590</v>
      </c>
      <c r="D48" s="270">
        <f>+D46-D47</f>
        <v>263498876</v>
      </c>
      <c r="E48" s="270">
        <f>+E46-E47</f>
        <v>271657664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506</v>
      </c>
      <c r="C50" s="278">
        <f>IF((C55/365)=0,0,+C54/(C55/365))</f>
        <v>53.281764646794834</v>
      </c>
      <c r="D50" s="278">
        <f>IF((D55/365)=0,0,+D54/(D55/365))</f>
        <v>58.58032125071784</v>
      </c>
      <c r="E50" s="278">
        <f>IF((E55/365)=0,0,+E54/(E55/365))</f>
        <v>46.57570018760693</v>
      </c>
    </row>
    <row r="51" spans="1:5" ht="24" customHeight="1">
      <c r="A51" s="17">
        <v>12</v>
      </c>
      <c r="B51" s="188" t="s">
        <v>507</v>
      </c>
      <c r="C51" s="279">
        <v>37410931</v>
      </c>
      <c r="D51" s="279">
        <v>37698199</v>
      </c>
      <c r="E51" s="279">
        <v>34132488</v>
      </c>
    </row>
    <row r="52" spans="1:5" ht="24" customHeight="1">
      <c r="A52" s="17">
        <v>13</v>
      </c>
      <c r="B52" s="188" t="s">
        <v>178</v>
      </c>
      <c r="C52" s="270">
        <v>0</v>
      </c>
      <c r="D52" s="270">
        <v>575043</v>
      </c>
      <c r="E52" s="270">
        <v>0</v>
      </c>
    </row>
    <row r="53" spans="1:5" ht="24" customHeight="1">
      <c r="A53" s="17">
        <v>14</v>
      </c>
      <c r="B53" s="188" t="s">
        <v>206</v>
      </c>
      <c r="C53" s="270">
        <v>2493637</v>
      </c>
      <c r="D53" s="270">
        <v>0</v>
      </c>
      <c r="E53" s="270">
        <v>1195037</v>
      </c>
    </row>
    <row r="54" spans="1:5" ht="32.25" customHeight="1">
      <c r="A54" s="17">
        <v>15</v>
      </c>
      <c r="B54" s="45" t="s">
        <v>508</v>
      </c>
      <c r="C54" s="280">
        <f>+C51+C52-C53</f>
        <v>34917294</v>
      </c>
      <c r="D54" s="280">
        <f>+D51+D52-D53</f>
        <v>38273242</v>
      </c>
      <c r="E54" s="280">
        <f>+E51+E52-E53</f>
        <v>32937451</v>
      </c>
    </row>
    <row r="55" spans="1:5" ht="24" customHeight="1">
      <c r="A55" s="17">
        <v>16</v>
      </c>
      <c r="B55" s="45" t="s">
        <v>232</v>
      </c>
      <c r="C55" s="270">
        <f>+C11</f>
        <v>239196513</v>
      </c>
      <c r="D55" s="270">
        <f>+D11</f>
        <v>238471436</v>
      </c>
      <c r="E55" s="270">
        <f>+E11</f>
        <v>258121071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509</v>
      </c>
      <c r="C57" s="283">
        <f>IF((C61/365)=0,0,+C58/(C61/365))</f>
        <v>44.683397343099834</v>
      </c>
      <c r="D57" s="283">
        <f>IF((D61/365)=0,0,+D58/(D61/365))</f>
        <v>51.40919768097986</v>
      </c>
      <c r="E57" s="283">
        <f>IF((E61/365)=0,0,+E58/(E61/365))</f>
        <v>37.02304119422893</v>
      </c>
    </row>
    <row r="58" spans="1:5" ht="24" customHeight="1">
      <c r="A58" s="17">
        <v>18</v>
      </c>
      <c r="B58" s="45" t="s">
        <v>211</v>
      </c>
      <c r="C58" s="281">
        <f>+C40</f>
        <v>30696342</v>
      </c>
      <c r="D58" s="281">
        <f>+D40</f>
        <v>37113057</v>
      </c>
      <c r="E58" s="281">
        <f>+E40</f>
        <v>27555049</v>
      </c>
    </row>
    <row r="59" spans="1:5" ht="24" customHeight="1">
      <c r="A59" s="17">
        <v>19</v>
      </c>
      <c r="B59" s="45" t="s">
        <v>481</v>
      </c>
      <c r="C59" s="281">
        <f aca="true" t="shared" si="0" ref="C59:E60">+C46</f>
        <v>261744737</v>
      </c>
      <c r="D59" s="281">
        <f t="shared" si="0"/>
        <v>273973251</v>
      </c>
      <c r="E59" s="281">
        <f t="shared" si="0"/>
        <v>281577387</v>
      </c>
    </row>
    <row r="60" spans="1:5" ht="24" customHeight="1">
      <c r="A60" s="17">
        <v>20</v>
      </c>
      <c r="B60" s="45" t="s">
        <v>504</v>
      </c>
      <c r="C60" s="176">
        <f t="shared" si="0"/>
        <v>10999147</v>
      </c>
      <c r="D60" s="176">
        <f t="shared" si="0"/>
        <v>10474375</v>
      </c>
      <c r="E60" s="176">
        <f t="shared" si="0"/>
        <v>9919723</v>
      </c>
    </row>
    <row r="61" spans="1:5" ht="24" customHeight="1">
      <c r="A61" s="17">
        <v>21</v>
      </c>
      <c r="B61" s="45" t="s">
        <v>510</v>
      </c>
      <c r="C61" s="281">
        <f>+C59-C60</f>
        <v>250745590</v>
      </c>
      <c r="D61" s="281">
        <f>+D59-D60</f>
        <v>263498876</v>
      </c>
      <c r="E61" s="281">
        <f>+E59-E60</f>
        <v>271657664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499</v>
      </c>
      <c r="B63" s="16" t="s">
        <v>512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513</v>
      </c>
      <c r="C65" s="284">
        <f>IF(C67=0,0,(C66/C67)*100)</f>
        <v>70.79626163070824</v>
      </c>
      <c r="D65" s="284">
        <f>IF(D67=0,0,(D66/D67)*100)</f>
        <v>64.91287426138229</v>
      </c>
      <c r="E65" s="284">
        <f>IF(E67=0,0,(E66/E67)*100)</f>
        <v>64.1958632742829</v>
      </c>
    </row>
    <row r="66" spans="1:5" ht="24" customHeight="1">
      <c r="A66" s="17">
        <v>2</v>
      </c>
      <c r="B66" s="45" t="s">
        <v>224</v>
      </c>
      <c r="C66" s="281">
        <f>+C32</f>
        <v>160331670</v>
      </c>
      <c r="D66" s="281">
        <f>+D32</f>
        <v>128225998</v>
      </c>
      <c r="E66" s="281">
        <f>+E32</f>
        <v>117677159</v>
      </c>
    </row>
    <row r="67" spans="1:5" ht="24" customHeight="1">
      <c r="A67" s="17">
        <v>3</v>
      </c>
      <c r="B67" s="45" t="s">
        <v>200</v>
      </c>
      <c r="C67" s="281">
        <v>226469119</v>
      </c>
      <c r="D67" s="281">
        <v>197535542</v>
      </c>
      <c r="E67" s="281">
        <v>183309567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514</v>
      </c>
      <c r="C69" s="284">
        <f>IF(C75=0,0,(C72/C75)*100)</f>
        <v>10.696431342247731</v>
      </c>
      <c r="D69" s="284">
        <f>IF(D75=0,0,(D72/D75)*100)</f>
        <v>-12.448787240719891</v>
      </c>
      <c r="E69" s="284">
        <f>IF(E75=0,0,(E72/E75)*100)</f>
        <v>13.574082749909877</v>
      </c>
    </row>
    <row r="70" spans="1:5" ht="24" customHeight="1">
      <c r="A70" s="17">
        <v>5</v>
      </c>
      <c r="B70" s="45" t="s">
        <v>515</v>
      </c>
      <c r="C70" s="281">
        <f>+C28</f>
        <v>-5152041</v>
      </c>
      <c r="D70" s="281">
        <f>+D28</f>
        <v>-17827387</v>
      </c>
      <c r="E70" s="281">
        <f>+E28</f>
        <v>-3304136</v>
      </c>
    </row>
    <row r="71" spans="1:5" ht="24" customHeight="1">
      <c r="A71" s="17">
        <v>6</v>
      </c>
      <c r="B71" s="45" t="s">
        <v>504</v>
      </c>
      <c r="C71" s="176">
        <f>+C47</f>
        <v>10999147</v>
      </c>
      <c r="D71" s="176">
        <f>+D47</f>
        <v>10474375</v>
      </c>
      <c r="E71" s="176">
        <f>+E47</f>
        <v>9919723</v>
      </c>
    </row>
    <row r="72" spans="1:5" ht="24" customHeight="1">
      <c r="A72" s="17">
        <v>7</v>
      </c>
      <c r="B72" s="45" t="s">
        <v>516</v>
      </c>
      <c r="C72" s="281">
        <f>+C70+C71</f>
        <v>5847106</v>
      </c>
      <c r="D72" s="281">
        <f>+D70+D71</f>
        <v>-7353012</v>
      </c>
      <c r="E72" s="281">
        <f>+E70+E71</f>
        <v>6615587</v>
      </c>
    </row>
    <row r="73" spans="1:5" ht="24" customHeight="1">
      <c r="A73" s="17">
        <v>8</v>
      </c>
      <c r="B73" s="45" t="s">
        <v>211</v>
      </c>
      <c r="C73" s="270">
        <f>+C40</f>
        <v>30696342</v>
      </c>
      <c r="D73" s="270">
        <f>+D40</f>
        <v>37113057</v>
      </c>
      <c r="E73" s="270">
        <f>+E40</f>
        <v>27555049</v>
      </c>
    </row>
    <row r="74" spans="1:5" ht="24" customHeight="1">
      <c r="A74" s="17">
        <v>9</v>
      </c>
      <c r="B74" s="45" t="s">
        <v>215</v>
      </c>
      <c r="C74" s="281">
        <v>23967740</v>
      </c>
      <c r="D74" s="281">
        <v>21953034</v>
      </c>
      <c r="E74" s="281">
        <v>21181850</v>
      </c>
    </row>
    <row r="75" spans="1:5" ht="24" customHeight="1">
      <c r="A75" s="17">
        <v>10</v>
      </c>
      <c r="B75" s="285" t="s">
        <v>517</v>
      </c>
      <c r="C75" s="270">
        <f>+C73+C74</f>
        <v>54664082</v>
      </c>
      <c r="D75" s="270">
        <f>+D73+D74</f>
        <v>59066091</v>
      </c>
      <c r="E75" s="270">
        <f>+E73+E74</f>
        <v>48736899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518</v>
      </c>
      <c r="C77" s="286">
        <f>IF(C80=0,0,(C78/C80)*100)</f>
        <v>13.004783900284869</v>
      </c>
      <c r="D77" s="286">
        <f>IF(D80=0,0,(D78/D80)*100)</f>
        <v>14.617908843626054</v>
      </c>
      <c r="E77" s="286">
        <f>IF(E80=0,0,(E78/E80)*100)</f>
        <v>15.254213718319134</v>
      </c>
    </row>
    <row r="78" spans="1:5" ht="24" customHeight="1">
      <c r="A78" s="17">
        <v>12</v>
      </c>
      <c r="B78" s="45" t="s">
        <v>215</v>
      </c>
      <c r="C78" s="270">
        <f>+C74</f>
        <v>23967740</v>
      </c>
      <c r="D78" s="270">
        <f>+D74</f>
        <v>21953034</v>
      </c>
      <c r="E78" s="270">
        <f>+E74</f>
        <v>21181850</v>
      </c>
    </row>
    <row r="79" spans="1:5" ht="24" customHeight="1">
      <c r="A79" s="17">
        <v>13</v>
      </c>
      <c r="B79" s="45" t="s">
        <v>224</v>
      </c>
      <c r="C79" s="270">
        <f>+C32</f>
        <v>160331670</v>
      </c>
      <c r="D79" s="270">
        <f>+D32</f>
        <v>128225998</v>
      </c>
      <c r="E79" s="270">
        <f>+E32</f>
        <v>117677159</v>
      </c>
    </row>
    <row r="80" spans="1:5" ht="24" customHeight="1">
      <c r="A80" s="17">
        <v>14</v>
      </c>
      <c r="B80" s="45" t="s">
        <v>519</v>
      </c>
      <c r="C80" s="270">
        <f>+C78+C79</f>
        <v>184299410</v>
      </c>
      <c r="D80" s="270">
        <f>+D78+D79</f>
        <v>150179032</v>
      </c>
      <c r="E80" s="270">
        <f>+E78+E79</f>
        <v>138859009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FILING&amp;R&amp;8GREATER WATERBURY HEALTH NETWORK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157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158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159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651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652</v>
      </c>
      <c r="G7" s="126" t="s">
        <v>652</v>
      </c>
      <c r="H7" s="125"/>
      <c r="I7" s="289"/>
    </row>
    <row r="8" spans="1:9" ht="15.75" customHeight="1">
      <c r="A8" s="287"/>
      <c r="B8" s="126"/>
      <c r="C8" s="126" t="s">
        <v>653</v>
      </c>
      <c r="D8" s="126" t="s">
        <v>654</v>
      </c>
      <c r="E8" s="126" t="s">
        <v>655</v>
      </c>
      <c r="F8" s="126" t="s">
        <v>656</v>
      </c>
      <c r="G8" s="126" t="s">
        <v>657</v>
      </c>
      <c r="H8" s="125"/>
      <c r="I8" s="289"/>
    </row>
    <row r="9" spans="1:9" ht="15.75" customHeight="1">
      <c r="A9" s="290" t="s">
        <v>165</v>
      </c>
      <c r="B9" s="291" t="s">
        <v>166</v>
      </c>
      <c r="C9" s="292" t="s">
        <v>658</v>
      </c>
      <c r="D9" s="292" t="s">
        <v>659</v>
      </c>
      <c r="E9" s="292" t="s">
        <v>660</v>
      </c>
      <c r="F9" s="292" t="s">
        <v>659</v>
      </c>
      <c r="G9" s="292" t="s">
        <v>660</v>
      </c>
      <c r="H9" s="125"/>
      <c r="I9" s="56"/>
    </row>
    <row r="10" spans="1:9" ht="15.75" customHeight="1">
      <c r="A10" s="293" t="s">
        <v>661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662</v>
      </c>
      <c r="C11" s="296">
        <v>45941</v>
      </c>
      <c r="D11" s="297">
        <v>133</v>
      </c>
      <c r="E11" s="297">
        <v>171</v>
      </c>
      <c r="F11" s="298">
        <f>IF(D11=0,0,$C11/(D11*365))</f>
        <v>0.9463590483056957</v>
      </c>
      <c r="G11" s="298">
        <f>IF(E11=0,0,$C11/(E11*365))</f>
        <v>0.7360570375710966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663</v>
      </c>
      <c r="C13" s="296">
        <v>5791</v>
      </c>
      <c r="D13" s="297">
        <v>20</v>
      </c>
      <c r="E13" s="297">
        <v>20</v>
      </c>
      <c r="F13" s="298">
        <f>IF(D13=0,0,$C13/(D13*365))</f>
        <v>0.7932876712328767</v>
      </c>
      <c r="G13" s="298">
        <f>IF(E13=0,0,$C13/(E13*365))</f>
        <v>0.7932876712328767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664</v>
      </c>
      <c r="C15" s="296">
        <v>1191</v>
      </c>
      <c r="D15" s="297">
        <v>5</v>
      </c>
      <c r="E15" s="297">
        <v>5</v>
      </c>
      <c r="F15" s="298">
        <f aca="true" t="shared" si="0" ref="F15:G17">IF(D15=0,0,$C15/(D15*365))</f>
        <v>0.6526027397260274</v>
      </c>
      <c r="G15" s="298">
        <f t="shared" si="0"/>
        <v>0.6526027397260274</v>
      </c>
      <c r="H15" s="125"/>
      <c r="I15" s="299"/>
    </row>
    <row r="16" spans="1:9" ht="15" customHeight="1">
      <c r="A16" s="294">
        <v>4</v>
      </c>
      <c r="B16" s="295" t="s">
        <v>665</v>
      </c>
      <c r="C16" s="296">
        <v>5813</v>
      </c>
      <c r="D16" s="297">
        <v>18</v>
      </c>
      <c r="E16" s="297">
        <v>25</v>
      </c>
      <c r="F16" s="298">
        <f t="shared" si="0"/>
        <v>0.884779299847793</v>
      </c>
      <c r="G16" s="298">
        <f t="shared" si="0"/>
        <v>0.6370410958904109</v>
      </c>
      <c r="H16" s="125"/>
      <c r="I16" s="299"/>
    </row>
    <row r="17" spans="1:9" ht="15.75" customHeight="1">
      <c r="A17" s="293"/>
      <c r="B17" s="135" t="s">
        <v>666</v>
      </c>
      <c r="C17" s="300">
        <f>SUM(C15:C16)</f>
        <v>7004</v>
      </c>
      <c r="D17" s="300">
        <f>SUM(D15:D16)</f>
        <v>23</v>
      </c>
      <c r="E17" s="300">
        <f>SUM(E15:E16)</f>
        <v>30</v>
      </c>
      <c r="F17" s="301">
        <f t="shared" si="0"/>
        <v>0.8343061346039309</v>
      </c>
      <c r="G17" s="301">
        <f t="shared" si="0"/>
        <v>0.6396347031963471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667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668</v>
      </c>
      <c r="C21" s="296">
        <v>3292</v>
      </c>
      <c r="D21" s="297">
        <v>19</v>
      </c>
      <c r="E21" s="297">
        <v>27</v>
      </c>
      <c r="F21" s="298">
        <f>IF(D21=0,0,$C21/(D21*365))</f>
        <v>0.4746935832732516</v>
      </c>
      <c r="G21" s="298">
        <f>IF(E21=0,0,$C21/(E21*365))</f>
        <v>0.3340436326737697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669</v>
      </c>
      <c r="C23" s="296">
        <v>2352</v>
      </c>
      <c r="D23" s="297">
        <v>11</v>
      </c>
      <c r="E23" s="297">
        <v>36</v>
      </c>
      <c r="F23" s="298">
        <f>IF(D23=0,0,$C23/(D23*365))</f>
        <v>0.5858032378580323</v>
      </c>
      <c r="G23" s="298">
        <f>IF(E23=0,0,$C23/(E23*365))</f>
        <v>0.17899543378995433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452</v>
      </c>
      <c r="C25" s="296">
        <v>1480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670</v>
      </c>
      <c r="C27" s="296">
        <v>209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671</v>
      </c>
      <c r="C29" s="296">
        <v>1613</v>
      </c>
      <c r="D29" s="297">
        <v>8</v>
      </c>
      <c r="E29" s="297">
        <v>8</v>
      </c>
      <c r="F29" s="298">
        <f>IF(D29=0,0,$C29/(D29*365))</f>
        <v>0.5523972602739726</v>
      </c>
      <c r="G29" s="298">
        <f>IF(E29=0,0,$C29/(E29*365))</f>
        <v>0.5523972602739726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672</v>
      </c>
      <c r="C31" s="300">
        <f>SUM(C10:C29)-C17-C23</f>
        <v>65330</v>
      </c>
      <c r="D31" s="300">
        <f>SUM(D10:D29)-D17-D23</f>
        <v>203</v>
      </c>
      <c r="E31" s="300">
        <f>SUM(E10:E29)-E17-E23</f>
        <v>256</v>
      </c>
      <c r="F31" s="301">
        <f>IF(D31=0,0,$C31/(D31*365))</f>
        <v>0.8817059180781429</v>
      </c>
      <c r="G31" s="301">
        <f>IF(E31=0,0,$C31/(E31*365))</f>
        <v>0.6991652397260274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673</v>
      </c>
      <c r="C33" s="300">
        <f>SUM(C10:C29)-C17</f>
        <v>67682</v>
      </c>
      <c r="D33" s="300">
        <f>SUM(D10:D29)-D17</f>
        <v>214</v>
      </c>
      <c r="E33" s="300">
        <f>SUM(E10:E29)-E17</f>
        <v>292</v>
      </c>
      <c r="F33" s="301">
        <f>IF(D33=0,0,$C33/(D33*365))</f>
        <v>0.8664959672257073</v>
      </c>
      <c r="G33" s="301">
        <f>IF(E33=0,0,$C33/(E33*365))</f>
        <v>0.6350347157065115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674</v>
      </c>
      <c r="C36" s="300">
        <f>+C33</f>
        <v>67682</v>
      </c>
      <c r="D36" s="300">
        <f>+D33</f>
        <v>214</v>
      </c>
      <c r="E36" s="300">
        <f>+E33</f>
        <v>292</v>
      </c>
      <c r="F36" s="301">
        <f>+F33</f>
        <v>0.8664959672257073</v>
      </c>
      <c r="G36" s="301">
        <f>+G33</f>
        <v>0.6350347157065115</v>
      </c>
      <c r="H36" s="125"/>
      <c r="I36" s="299"/>
    </row>
    <row r="37" spans="1:9" ht="15.75" customHeight="1">
      <c r="A37" s="293"/>
      <c r="B37" s="135" t="s">
        <v>675</v>
      </c>
      <c r="C37" s="300">
        <v>70997</v>
      </c>
      <c r="D37" s="302">
        <v>238</v>
      </c>
      <c r="E37" s="302">
        <v>292</v>
      </c>
      <c r="F37" s="301">
        <f>IF(D37=0,0,$C37/(D37*365))</f>
        <v>0.8172786922988373</v>
      </c>
      <c r="G37" s="301">
        <f>IF(E37=0,0,$C37/(E37*365))</f>
        <v>0.6661381122161757</v>
      </c>
      <c r="H37" s="125"/>
      <c r="I37" s="299"/>
    </row>
    <row r="38" spans="1:9" ht="15.75" customHeight="1">
      <c r="A38" s="293"/>
      <c r="B38" s="135" t="s">
        <v>676</v>
      </c>
      <c r="C38" s="300">
        <f>+C36-C37</f>
        <v>-3315</v>
      </c>
      <c r="D38" s="300">
        <f>+D36-D37</f>
        <v>-24</v>
      </c>
      <c r="E38" s="300">
        <f>+E36-E37</f>
        <v>0</v>
      </c>
      <c r="F38" s="301">
        <f>+F36-F37</f>
        <v>0.04921727492687</v>
      </c>
      <c r="G38" s="301">
        <f>+G36-G37</f>
        <v>-0.031103396509664205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677</v>
      </c>
      <c r="C40" s="148">
        <f>IF(C37=0,0,C38/C37)</f>
        <v>-0.046692113751285264</v>
      </c>
      <c r="D40" s="148">
        <f>IF(D37=0,0,D38/D37)</f>
        <v>-0.10084033613445378</v>
      </c>
      <c r="E40" s="148">
        <f>IF(E37=0,0,E38/E37)</f>
        <v>0</v>
      </c>
      <c r="F40" s="148">
        <f>IF(F37=0,0,F38/F37)</f>
        <v>0.06022092022053322</v>
      </c>
      <c r="G40" s="148">
        <f>IF(G37=0,0,G38/G37)</f>
        <v>-0.046692113751285416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678</v>
      </c>
      <c r="C42" s="295">
        <v>393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679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661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FILING&amp;RWATERBURY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157</v>
      </c>
      <c r="B1" s="698"/>
      <c r="C1" s="698"/>
      <c r="D1" s="698"/>
      <c r="E1" s="698"/>
      <c r="F1" s="698"/>
    </row>
    <row r="2" spans="1:6" ht="15.75" customHeight="1">
      <c r="A2" s="698" t="s">
        <v>158</v>
      </c>
      <c r="B2" s="698"/>
      <c r="C2" s="698"/>
      <c r="D2" s="698"/>
      <c r="E2" s="698"/>
      <c r="F2" s="698"/>
    </row>
    <row r="3" spans="1:6" ht="15.75" customHeight="1">
      <c r="A3" s="698" t="s">
        <v>159</v>
      </c>
      <c r="B3" s="698"/>
      <c r="C3" s="698"/>
      <c r="D3" s="698"/>
      <c r="E3" s="698"/>
      <c r="F3" s="698"/>
    </row>
    <row r="4" spans="1:6" ht="15.75" customHeight="1">
      <c r="A4" s="698" t="s">
        <v>680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167</v>
      </c>
      <c r="D8" s="312" t="s">
        <v>167</v>
      </c>
      <c r="E8" s="126" t="s">
        <v>163</v>
      </c>
      <c r="F8" s="126" t="s">
        <v>164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165</v>
      </c>
      <c r="B9" s="291" t="s">
        <v>166</v>
      </c>
      <c r="C9" s="292" t="s">
        <v>161</v>
      </c>
      <c r="D9" s="292" t="s">
        <v>162</v>
      </c>
      <c r="E9" s="315" t="s">
        <v>168</v>
      </c>
      <c r="F9" s="315" t="s">
        <v>168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171</v>
      </c>
      <c r="B11" s="291" t="s">
        <v>681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682</v>
      </c>
      <c r="C12" s="296">
        <v>9319</v>
      </c>
      <c r="D12" s="296">
        <v>9426</v>
      </c>
      <c r="E12" s="296">
        <f>+D12-C12</f>
        <v>107</v>
      </c>
      <c r="F12" s="316">
        <f>IF(C12=0,0,+E12/C12)</f>
        <v>0.011481918660800516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683</v>
      </c>
      <c r="C13" s="296">
        <v>4663</v>
      </c>
      <c r="D13" s="296">
        <v>4514</v>
      </c>
      <c r="E13" s="296">
        <f>+D13-C13</f>
        <v>-149</v>
      </c>
      <c r="F13" s="316">
        <f>IF(C13=0,0,+E13/C13)</f>
        <v>-0.031953677889770535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684</v>
      </c>
      <c r="C14" s="296">
        <v>7190</v>
      </c>
      <c r="D14" s="296">
        <v>8495</v>
      </c>
      <c r="E14" s="296">
        <f>+D14-C14</f>
        <v>1305</v>
      </c>
      <c r="F14" s="316">
        <f>IF(C14=0,0,+E14/C14)</f>
        <v>0.18150208623087621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685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686</v>
      </c>
      <c r="C16" s="300">
        <f>SUM(C12:C15)</f>
        <v>21172</v>
      </c>
      <c r="D16" s="300">
        <f>SUM(D12:D15)</f>
        <v>22435</v>
      </c>
      <c r="E16" s="300">
        <f>+D16-C16</f>
        <v>1263</v>
      </c>
      <c r="F16" s="309">
        <f>IF(C16=0,0,+E16/C16)</f>
        <v>0.059654260343850365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183</v>
      </c>
      <c r="B18" s="291" t="s">
        <v>687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682</v>
      </c>
      <c r="C19" s="296">
        <v>0</v>
      </c>
      <c r="D19" s="296">
        <v>0</v>
      </c>
      <c r="E19" s="296">
        <f>+D19-C19</f>
        <v>0</v>
      </c>
      <c r="F19" s="316">
        <f>IF(C19=0,0,+E19/C19)</f>
        <v>0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683</v>
      </c>
      <c r="C20" s="296">
        <v>0</v>
      </c>
      <c r="D20" s="296">
        <v>0</v>
      </c>
      <c r="E20" s="296">
        <f>+D20-C20</f>
        <v>0</v>
      </c>
      <c r="F20" s="316">
        <f>IF(C20=0,0,+E20/C20)</f>
        <v>0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684</v>
      </c>
      <c r="C21" s="296">
        <v>0</v>
      </c>
      <c r="D21" s="296">
        <v>0</v>
      </c>
      <c r="E21" s="296">
        <f>+D21-C21</f>
        <v>0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685</v>
      </c>
      <c r="C22" s="296">
        <v>2430</v>
      </c>
      <c r="D22" s="296">
        <v>2631</v>
      </c>
      <c r="E22" s="296">
        <f>+D22-C22</f>
        <v>201</v>
      </c>
      <c r="F22" s="316">
        <f>IF(C22=0,0,+E22/C22)</f>
        <v>0.08271604938271605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688</v>
      </c>
      <c r="C23" s="300">
        <f>SUM(C19:C22)</f>
        <v>2430</v>
      </c>
      <c r="D23" s="300">
        <f>SUM(D19:D22)</f>
        <v>2631</v>
      </c>
      <c r="E23" s="300">
        <f>+D23-C23</f>
        <v>201</v>
      </c>
      <c r="F23" s="309">
        <f>IF(C23=0,0,+E23/C23)</f>
        <v>0.08271604938271605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193</v>
      </c>
      <c r="B25" s="291" t="s">
        <v>689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682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683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684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685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690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478</v>
      </c>
      <c r="B32" s="291" t="s">
        <v>691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682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683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684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685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692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693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694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499</v>
      </c>
      <c r="B42" s="291" t="s">
        <v>695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696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697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698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511</v>
      </c>
      <c r="B47" s="291" t="s">
        <v>699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696</v>
      </c>
      <c r="C48" s="296">
        <v>615</v>
      </c>
      <c r="D48" s="296">
        <v>681</v>
      </c>
      <c r="E48" s="296">
        <f>+D48-C48</f>
        <v>66</v>
      </c>
      <c r="F48" s="316">
        <f>IF(C48=0,0,+E48/C48)</f>
        <v>0.1073170731707317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697</v>
      </c>
      <c r="C49" s="296">
        <v>258</v>
      </c>
      <c r="D49" s="296">
        <v>278</v>
      </c>
      <c r="E49" s="296">
        <f>+D49-C49</f>
        <v>20</v>
      </c>
      <c r="F49" s="316">
        <f>IF(C49=0,0,+E49/C49)</f>
        <v>0.07751937984496124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700</v>
      </c>
      <c r="C50" s="300">
        <f>SUM(C48:C49)</f>
        <v>873</v>
      </c>
      <c r="D50" s="300">
        <f>SUM(D48:D49)</f>
        <v>959</v>
      </c>
      <c r="E50" s="300">
        <f>+D50-C50</f>
        <v>86</v>
      </c>
      <c r="F50" s="309">
        <f>IF(C50=0,0,+E50/C50)</f>
        <v>0.09851088201603665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523</v>
      </c>
      <c r="B52" s="291" t="s">
        <v>701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702</v>
      </c>
      <c r="C53" s="296">
        <v>148</v>
      </c>
      <c r="D53" s="296">
        <v>156</v>
      </c>
      <c r="E53" s="296">
        <f>+D53-C53</f>
        <v>8</v>
      </c>
      <c r="F53" s="316">
        <f>IF(C53=0,0,+E53/C53)</f>
        <v>0.05405405405405406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703</v>
      </c>
      <c r="C54" s="296">
        <v>179</v>
      </c>
      <c r="D54" s="296">
        <v>206</v>
      </c>
      <c r="E54" s="296">
        <f>+D54-C54</f>
        <v>27</v>
      </c>
      <c r="F54" s="316">
        <f>IF(C54=0,0,+E54/C54)</f>
        <v>0.15083798882681565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704</v>
      </c>
      <c r="C55" s="300">
        <f>SUM(C53:C54)</f>
        <v>327</v>
      </c>
      <c r="D55" s="300">
        <f>SUM(D53:D54)</f>
        <v>362</v>
      </c>
      <c r="E55" s="300">
        <f>+D55-C55</f>
        <v>35</v>
      </c>
      <c r="F55" s="309">
        <f>IF(C55=0,0,+E55/C55)</f>
        <v>0.10703363914373089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527</v>
      </c>
      <c r="B57" s="291" t="s">
        <v>705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706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707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708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169</v>
      </c>
      <c r="B62" s="291" t="s">
        <v>709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710</v>
      </c>
      <c r="C63" s="296">
        <v>3854</v>
      </c>
      <c r="D63" s="296">
        <v>3557</v>
      </c>
      <c r="E63" s="296">
        <f>+D63-C63</f>
        <v>-297</v>
      </c>
      <c r="F63" s="316">
        <f>IF(C63=0,0,+E63/C63)</f>
        <v>-0.07706279190451479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711</v>
      </c>
      <c r="C64" s="296">
        <v>5539</v>
      </c>
      <c r="D64" s="296">
        <v>5156</v>
      </c>
      <c r="E64" s="296">
        <f>+D64-C64</f>
        <v>-383</v>
      </c>
      <c r="F64" s="316">
        <f>IF(C64=0,0,+E64/C64)</f>
        <v>-0.069146055244629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712</v>
      </c>
      <c r="C65" s="300">
        <f>SUM(C63:C64)</f>
        <v>9393</v>
      </c>
      <c r="D65" s="300">
        <f>SUM(D63:D64)</f>
        <v>8713</v>
      </c>
      <c r="E65" s="300">
        <f>+D65-C65</f>
        <v>-680</v>
      </c>
      <c r="F65" s="309">
        <f>IF(C65=0,0,+E65/C65)</f>
        <v>-0.07239433620781432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553</v>
      </c>
      <c r="B67" s="291" t="s">
        <v>713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714</v>
      </c>
      <c r="C68" s="296">
        <v>840</v>
      </c>
      <c r="D68" s="296">
        <v>859</v>
      </c>
      <c r="E68" s="296">
        <f>+D68-C68</f>
        <v>19</v>
      </c>
      <c r="F68" s="316">
        <f>IF(C68=0,0,+E68/C68)</f>
        <v>0.02261904761904762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715</v>
      </c>
      <c r="C69" s="296">
        <v>2768</v>
      </c>
      <c r="D69" s="296">
        <v>2474</v>
      </c>
      <c r="E69" s="296">
        <f>+D69-C69</f>
        <v>-294</v>
      </c>
      <c r="F69" s="318">
        <f>IF(C69=0,0,+E69/C69)</f>
        <v>-0.10621387283236994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716</v>
      </c>
      <c r="C70" s="300">
        <f>SUM(C68:C69)</f>
        <v>3608</v>
      </c>
      <c r="D70" s="300">
        <f>SUM(D68:D69)</f>
        <v>3333</v>
      </c>
      <c r="E70" s="300">
        <f>+D70-C70</f>
        <v>-275</v>
      </c>
      <c r="F70" s="309">
        <f>IF(C70=0,0,+E70/C70)</f>
        <v>-0.07621951219512195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569</v>
      </c>
      <c r="B72" s="291" t="s">
        <v>717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718</v>
      </c>
      <c r="C73" s="319">
        <v>9294</v>
      </c>
      <c r="D73" s="319">
        <v>8895</v>
      </c>
      <c r="E73" s="296">
        <f>+D73-C73</f>
        <v>-399</v>
      </c>
      <c r="F73" s="316">
        <f>IF(C73=0,0,+E73/C73)</f>
        <v>-0.04293092317624274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719</v>
      </c>
      <c r="C74" s="319">
        <v>45166</v>
      </c>
      <c r="D74" s="319">
        <v>49237</v>
      </c>
      <c r="E74" s="296">
        <f>+D74-C74</f>
        <v>4071</v>
      </c>
      <c r="F74" s="316">
        <f>IF(C74=0,0,+E74/C74)</f>
        <v>0.09013417172209184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585</v>
      </c>
      <c r="C75" s="300">
        <f>SUM(C73:C74)</f>
        <v>54460</v>
      </c>
      <c r="D75" s="300">
        <f>SUM(D73:D74)</f>
        <v>58132</v>
      </c>
      <c r="E75" s="300">
        <f>SUM(E73:E74)</f>
        <v>3672</v>
      </c>
      <c r="F75" s="309">
        <f>IF(C75=0,0,+E75/C75)</f>
        <v>0.06742563349247153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578</v>
      </c>
      <c r="B78" s="291" t="s">
        <v>720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721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722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723</v>
      </c>
      <c r="C81" s="319">
        <v>27981</v>
      </c>
      <c r="D81" s="319">
        <v>29060</v>
      </c>
      <c r="E81" s="296">
        <f t="shared" si="0"/>
        <v>1079</v>
      </c>
      <c r="F81" s="316">
        <f t="shared" si="1"/>
        <v>0.038561881276580535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724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725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726</v>
      </c>
      <c r="C84" s="320">
        <f>SUM(C79:C83)</f>
        <v>27981</v>
      </c>
      <c r="D84" s="320">
        <f>SUM(D79:D83)</f>
        <v>29060</v>
      </c>
      <c r="E84" s="300">
        <f t="shared" si="0"/>
        <v>1079</v>
      </c>
      <c r="F84" s="309">
        <f t="shared" si="1"/>
        <v>0.038561881276580535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581</v>
      </c>
      <c r="B86" s="291" t="s">
        <v>727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728</v>
      </c>
      <c r="C87" s="322">
        <v>0</v>
      </c>
      <c r="D87" s="322">
        <v>0</v>
      </c>
      <c r="E87" s="323">
        <f aca="true" t="shared" si="2" ref="E87:E92">+D87-C87</f>
        <v>0</v>
      </c>
      <c r="F87" s="318">
        <f aca="true" t="shared" si="3" ref="F87:F92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420</v>
      </c>
      <c r="C88" s="322">
        <v>3420</v>
      </c>
      <c r="D88" s="322">
        <v>3625</v>
      </c>
      <c r="E88" s="296">
        <f t="shared" si="2"/>
        <v>205</v>
      </c>
      <c r="F88" s="316">
        <f t="shared" si="3"/>
        <v>0.059941520467836254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729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730</v>
      </c>
      <c r="C90" s="322">
        <v>2487</v>
      </c>
      <c r="D90" s="322">
        <v>2181</v>
      </c>
      <c r="E90" s="296">
        <f t="shared" si="2"/>
        <v>-306</v>
      </c>
      <c r="F90" s="316">
        <f t="shared" si="3"/>
        <v>-0.12303980699638119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731</v>
      </c>
      <c r="C91" s="322">
        <v>125674</v>
      </c>
      <c r="D91" s="322">
        <v>120220</v>
      </c>
      <c r="E91" s="296">
        <f t="shared" si="2"/>
        <v>-5454</v>
      </c>
      <c r="F91" s="316">
        <f t="shared" si="3"/>
        <v>-0.043397997994811977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732</v>
      </c>
      <c r="C92" s="320">
        <f>SUM(C87:C91)</f>
        <v>131581</v>
      </c>
      <c r="D92" s="320">
        <f>SUM(D87:D91)</f>
        <v>126026</v>
      </c>
      <c r="E92" s="300">
        <f t="shared" si="2"/>
        <v>-5555</v>
      </c>
      <c r="F92" s="309">
        <f t="shared" si="3"/>
        <v>-0.04221734140947401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733</v>
      </c>
      <c r="B95" s="291" t="s">
        <v>734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735</v>
      </c>
      <c r="C96" s="325">
        <v>393.8</v>
      </c>
      <c r="D96" s="325">
        <v>381</v>
      </c>
      <c r="E96" s="326">
        <f>+D96-C96</f>
        <v>-12.800000000000011</v>
      </c>
      <c r="F96" s="316">
        <f>IF(C96=0,0,+E96/C96)</f>
        <v>-0.032503809040121914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736</v>
      </c>
      <c r="C97" s="325">
        <v>109.4</v>
      </c>
      <c r="D97" s="325">
        <v>120.8</v>
      </c>
      <c r="E97" s="326">
        <f>+D97-C97</f>
        <v>11.399999999999991</v>
      </c>
      <c r="F97" s="316">
        <f>IF(C97=0,0,+E97/C97)</f>
        <v>0.10420475319926865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737</v>
      </c>
      <c r="C98" s="325">
        <v>1121.8</v>
      </c>
      <c r="D98" s="325">
        <v>1087.4</v>
      </c>
      <c r="E98" s="326">
        <f>+D98-C98</f>
        <v>-34.399999999999864</v>
      </c>
      <c r="F98" s="316">
        <f>IF(C98=0,0,+E98/C98)</f>
        <v>-0.03066500267427337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738</v>
      </c>
      <c r="C99" s="327">
        <f>SUM(C96:C98)</f>
        <v>1625</v>
      </c>
      <c r="D99" s="327">
        <f>SUM(D96:D98)</f>
        <v>1589.2</v>
      </c>
      <c r="E99" s="327">
        <f>+D99-C99</f>
        <v>-35.799999999999955</v>
      </c>
      <c r="F99" s="309">
        <f>IF(C99=0,0,+E99/C99)</f>
        <v>-0.022030769230769204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FILING&amp;RWATERBURY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157</v>
      </c>
      <c r="B1" s="698"/>
      <c r="C1" s="698"/>
      <c r="D1" s="698"/>
      <c r="E1" s="698"/>
      <c r="F1" s="698"/>
    </row>
    <row r="2" spans="1:6" ht="15.75" customHeight="1">
      <c r="A2" s="698" t="s">
        <v>158</v>
      </c>
      <c r="B2" s="698"/>
      <c r="C2" s="698"/>
      <c r="D2" s="698"/>
      <c r="E2" s="698"/>
      <c r="F2" s="698"/>
    </row>
    <row r="3" spans="1:6" ht="15.75" customHeight="1">
      <c r="A3" s="698" t="s">
        <v>159</v>
      </c>
      <c r="B3" s="698"/>
      <c r="C3" s="698"/>
      <c r="D3" s="698"/>
      <c r="E3" s="698"/>
      <c r="F3" s="698"/>
    </row>
    <row r="4" spans="1:6" ht="15.75" customHeight="1">
      <c r="A4" s="698" t="s">
        <v>739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167</v>
      </c>
      <c r="D8" s="312" t="s">
        <v>167</v>
      </c>
      <c r="E8" s="126" t="s">
        <v>163</v>
      </c>
      <c r="F8" s="126" t="s">
        <v>164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165</v>
      </c>
      <c r="B9" s="291" t="s">
        <v>166</v>
      </c>
      <c r="C9" s="292" t="s">
        <v>161</v>
      </c>
      <c r="D9" s="292" t="s">
        <v>162</v>
      </c>
      <c r="E9" s="315" t="s">
        <v>168</v>
      </c>
      <c r="F9" s="315" t="s">
        <v>168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267</v>
      </c>
      <c r="B11" s="291" t="s">
        <v>711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740</v>
      </c>
      <c r="C12" s="296">
        <v>5539</v>
      </c>
      <c r="D12" s="296">
        <v>5156</v>
      </c>
      <c r="E12" s="296">
        <f>+D12-C12</f>
        <v>-383</v>
      </c>
      <c r="F12" s="316">
        <f>IF(C12=0,0,+E12/C12)</f>
        <v>-0.069146055244629</v>
      </c>
    </row>
    <row r="13" spans="1:6" ht="15.75" customHeight="1">
      <c r="A13" s="294"/>
      <c r="B13" s="135" t="s">
        <v>741</v>
      </c>
      <c r="C13" s="300">
        <f>SUM(C11:C12)</f>
        <v>5539</v>
      </c>
      <c r="D13" s="300">
        <f>SUM(D11:D12)</f>
        <v>5156</v>
      </c>
      <c r="E13" s="300">
        <f>+D13-C13</f>
        <v>-383</v>
      </c>
      <c r="F13" s="309">
        <f>IF(C13=0,0,+E13/C13)</f>
        <v>-0.069146055244629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281</v>
      </c>
      <c r="B15" s="291" t="s">
        <v>715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740</v>
      </c>
      <c r="C16" s="296">
        <v>2768</v>
      </c>
      <c r="D16" s="296">
        <v>2474</v>
      </c>
      <c r="E16" s="296">
        <f>+D16-C16</f>
        <v>-294</v>
      </c>
      <c r="F16" s="316">
        <f>IF(C16=0,0,+E16/C16)</f>
        <v>-0.10621387283236994</v>
      </c>
    </row>
    <row r="17" spans="1:6" ht="15.75" customHeight="1">
      <c r="A17" s="294"/>
      <c r="B17" s="135" t="s">
        <v>742</v>
      </c>
      <c r="C17" s="300">
        <f>SUM(C15:C16)</f>
        <v>2768</v>
      </c>
      <c r="D17" s="300">
        <f>SUM(D15:D16)</f>
        <v>2474</v>
      </c>
      <c r="E17" s="300">
        <f>+D17-C17</f>
        <v>-294</v>
      </c>
      <c r="F17" s="309">
        <f>IF(C17=0,0,+E17/C17)</f>
        <v>-0.10621387283236994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298</v>
      </c>
      <c r="B19" s="291" t="s">
        <v>743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740</v>
      </c>
      <c r="C20" s="296">
        <v>45166</v>
      </c>
      <c r="D20" s="296">
        <v>49237</v>
      </c>
      <c r="E20" s="296">
        <f>+D20-C20</f>
        <v>4071</v>
      </c>
      <c r="F20" s="316">
        <f>IF(C20=0,0,+E20/C20)</f>
        <v>0.09013417172209184</v>
      </c>
    </row>
    <row r="21" spans="1:6" ht="15.75" customHeight="1">
      <c r="A21" s="294"/>
      <c r="B21" s="135" t="s">
        <v>744</v>
      </c>
      <c r="C21" s="300">
        <f>SUM(C19:C20)</f>
        <v>45166</v>
      </c>
      <c r="D21" s="300">
        <f>SUM(D19:D20)</f>
        <v>49237</v>
      </c>
      <c r="E21" s="300">
        <f>+D21-C21</f>
        <v>4071</v>
      </c>
      <c r="F21" s="309">
        <f>IF(C21=0,0,+E21/C21)</f>
        <v>0.09013417172209184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745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746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747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FILING&amp;RWATERBURY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157</v>
      </c>
      <c r="B1" s="705"/>
      <c r="C1" s="705"/>
      <c r="D1" s="705"/>
      <c r="E1" s="705"/>
      <c r="F1" s="705"/>
    </row>
    <row r="2" spans="1:6" ht="15.75" customHeight="1">
      <c r="A2" s="706" t="s">
        <v>748</v>
      </c>
      <c r="B2" s="707"/>
      <c r="C2" s="707"/>
      <c r="D2" s="707"/>
      <c r="E2" s="707"/>
      <c r="F2" s="708"/>
    </row>
    <row r="3" spans="1:6" ht="15.75" customHeight="1">
      <c r="A3" s="706" t="s">
        <v>749</v>
      </c>
      <c r="B3" s="707"/>
      <c r="C3" s="707"/>
      <c r="D3" s="707"/>
      <c r="E3" s="707"/>
      <c r="F3" s="708"/>
    </row>
    <row r="4" spans="1:6" ht="15.75" customHeight="1">
      <c r="A4" s="702" t="s">
        <v>750</v>
      </c>
      <c r="B4" s="703"/>
      <c r="C4" s="703"/>
      <c r="D4" s="703"/>
      <c r="E4" s="703"/>
      <c r="F4" s="704"/>
    </row>
    <row r="5" spans="1:6" ht="15.75" customHeight="1">
      <c r="A5" s="702" t="s">
        <v>751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752</v>
      </c>
      <c r="D7" s="341" t="s">
        <v>752</v>
      </c>
      <c r="E7" s="341" t="s">
        <v>753</v>
      </c>
      <c r="F7" s="341" t="s">
        <v>164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165</v>
      </c>
      <c r="B8" s="343" t="s">
        <v>166</v>
      </c>
      <c r="C8" s="344" t="s">
        <v>754</v>
      </c>
      <c r="D8" s="344" t="s">
        <v>755</v>
      </c>
      <c r="E8" s="344" t="s">
        <v>168</v>
      </c>
      <c r="F8" s="344" t="s">
        <v>168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169</v>
      </c>
      <c r="B10" s="349" t="s">
        <v>756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171</v>
      </c>
      <c r="B12" s="356" t="s">
        <v>757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758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759</v>
      </c>
      <c r="C15" s="361">
        <v>252567230</v>
      </c>
      <c r="D15" s="361">
        <v>306685830</v>
      </c>
      <c r="E15" s="361">
        <f aca="true" t="shared" si="0" ref="E15:E24">D15-C15</f>
        <v>54118600</v>
      </c>
      <c r="F15" s="362">
        <f aca="true" t="shared" si="1" ref="F15:F24">IF(C15=0,0,E15/C15)</f>
        <v>0.21427403705540105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760</v>
      </c>
      <c r="C16" s="361">
        <v>77196884</v>
      </c>
      <c r="D16" s="361">
        <v>85316492</v>
      </c>
      <c r="E16" s="361">
        <f t="shared" si="0"/>
        <v>8119608</v>
      </c>
      <c r="F16" s="362">
        <f t="shared" si="1"/>
        <v>0.10518051479901702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761</v>
      </c>
      <c r="C17" s="366">
        <f>IF(C15=0,0,C16/C15)</f>
        <v>0.30564885238674866</v>
      </c>
      <c r="D17" s="366">
        <f>IF(LN_IA1=0,0,LN_IA2/LN_IA1)</f>
        <v>0.2781885684121761</v>
      </c>
      <c r="E17" s="367">
        <f t="shared" si="0"/>
        <v>-0.027460283974572564</v>
      </c>
      <c r="F17" s="362">
        <f t="shared" si="1"/>
        <v>-0.08984258818621725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294</v>
      </c>
      <c r="C18" s="369">
        <v>6566</v>
      </c>
      <c r="D18" s="369">
        <v>6496</v>
      </c>
      <c r="E18" s="369">
        <f t="shared" si="0"/>
        <v>-70</v>
      </c>
      <c r="F18" s="362">
        <f t="shared" si="1"/>
        <v>-0.010660980810234541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762</v>
      </c>
      <c r="C19" s="372">
        <v>1.5816</v>
      </c>
      <c r="D19" s="372">
        <v>1.5927</v>
      </c>
      <c r="E19" s="373">
        <f t="shared" si="0"/>
        <v>0.01110000000000011</v>
      </c>
      <c r="F19" s="362">
        <f t="shared" si="1"/>
        <v>0.007018209408194304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763</v>
      </c>
      <c r="C20" s="376">
        <f>C18*C19</f>
        <v>10384.7856</v>
      </c>
      <c r="D20" s="376">
        <f>LN_IA4*LN_IA5</f>
        <v>10346.1792</v>
      </c>
      <c r="E20" s="376">
        <f t="shared" si="0"/>
        <v>-38.60639999999876</v>
      </c>
      <c r="F20" s="362">
        <f t="shared" si="1"/>
        <v>-0.0037175923978631548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764</v>
      </c>
      <c r="C21" s="378">
        <f>IF(C20=0,0,C16/C20)</f>
        <v>7433.652168996152</v>
      </c>
      <c r="D21" s="378">
        <f>IF(LN_IA6=0,0,LN_IA2/LN_IA6)</f>
        <v>8246.183479984573</v>
      </c>
      <c r="E21" s="378">
        <f t="shared" si="0"/>
        <v>812.531310988421</v>
      </c>
      <c r="F21" s="362">
        <f t="shared" si="1"/>
        <v>0.10930445661384046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296</v>
      </c>
      <c r="C22" s="369">
        <v>39552</v>
      </c>
      <c r="D22" s="369">
        <v>38627</v>
      </c>
      <c r="E22" s="369">
        <f t="shared" si="0"/>
        <v>-925</v>
      </c>
      <c r="F22" s="362">
        <f t="shared" si="1"/>
        <v>-0.023386933656957928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765</v>
      </c>
      <c r="C23" s="378">
        <f>IF(C22=0,0,C16/C22)</f>
        <v>1951.7820590614888</v>
      </c>
      <c r="D23" s="378">
        <f>IF(LN_IA8=0,0,LN_IA2/LN_IA8)</f>
        <v>2208.7268490951924</v>
      </c>
      <c r="E23" s="378">
        <f t="shared" si="0"/>
        <v>256.9447900337036</v>
      </c>
      <c r="F23" s="362">
        <f t="shared" si="1"/>
        <v>0.13164625058458376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766</v>
      </c>
      <c r="C24" s="379">
        <f>IF(C18=0,0,C22/C18)</f>
        <v>6.023758757234237</v>
      </c>
      <c r="D24" s="379">
        <f>IF(LN_IA4=0,0,LN_IA8/LN_IA4)</f>
        <v>5.946274630541872</v>
      </c>
      <c r="E24" s="379">
        <f t="shared" si="0"/>
        <v>-0.07748412669236515</v>
      </c>
      <c r="F24" s="362">
        <f t="shared" si="1"/>
        <v>-0.012863085959295853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767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768</v>
      </c>
      <c r="C27" s="361">
        <v>80170672</v>
      </c>
      <c r="D27" s="361">
        <v>98041033</v>
      </c>
      <c r="E27" s="361">
        <f aca="true" t="shared" si="2" ref="E27:E32">D27-C27</f>
        <v>17870361</v>
      </c>
      <c r="F27" s="362">
        <f aca="true" t="shared" si="3" ref="F27:F32">IF(C27=0,0,E27/C27)</f>
        <v>0.2229039691721681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769</v>
      </c>
      <c r="C28" s="361">
        <v>17731078</v>
      </c>
      <c r="D28" s="361">
        <v>20105533</v>
      </c>
      <c r="E28" s="361">
        <f t="shared" si="2"/>
        <v>2374455</v>
      </c>
      <c r="F28" s="362">
        <f t="shared" si="3"/>
        <v>0.13391486969940575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770</v>
      </c>
      <c r="C29" s="366">
        <f>IF(C27=0,0,C28/C27)</f>
        <v>0.22116663809428963</v>
      </c>
      <c r="D29" s="366">
        <f>IF(LN_IA11=0,0,LN_IA12/LN_IA11)</f>
        <v>0.2050726352505894</v>
      </c>
      <c r="E29" s="367">
        <f t="shared" si="2"/>
        <v>-0.016094002843700217</v>
      </c>
      <c r="F29" s="362">
        <f t="shared" si="3"/>
        <v>-0.07276867335135277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771</v>
      </c>
      <c r="C30" s="366">
        <f>IF(C15=0,0,C27/C15)</f>
        <v>0.3174230956248758</v>
      </c>
      <c r="D30" s="366">
        <f>IF(LN_IA1=0,0,LN_IA11/LN_IA1)</f>
        <v>0.31967904418668447</v>
      </c>
      <c r="E30" s="367">
        <f t="shared" si="2"/>
        <v>0.0022559485618086628</v>
      </c>
      <c r="F30" s="362">
        <f t="shared" si="3"/>
        <v>0.007107071265144163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772</v>
      </c>
      <c r="C31" s="376">
        <f>C30*C18</f>
        <v>2084.2000458729344</v>
      </c>
      <c r="D31" s="376">
        <f>LN_IA14*LN_IA4</f>
        <v>2076.6350710367024</v>
      </c>
      <c r="E31" s="376">
        <f t="shared" si="2"/>
        <v>-7.564974836232068</v>
      </c>
      <c r="F31" s="362">
        <f t="shared" si="3"/>
        <v>-0.003629677895464971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773</v>
      </c>
      <c r="C32" s="378">
        <f>IF(C31=0,0,C28/C31)</f>
        <v>8507.378183351693</v>
      </c>
      <c r="D32" s="378">
        <f>IF(LN_IA15=0,0,LN_IA12/LN_IA15)</f>
        <v>9681.784383022517</v>
      </c>
      <c r="E32" s="378">
        <f t="shared" si="2"/>
        <v>1174.4061996708242</v>
      </c>
      <c r="F32" s="362">
        <f t="shared" si="3"/>
        <v>0.1380456086892963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774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775</v>
      </c>
      <c r="C35" s="361">
        <f>C15+C27</f>
        <v>332737902</v>
      </c>
      <c r="D35" s="361">
        <f>LN_IA1+LN_IA11</f>
        <v>404726863</v>
      </c>
      <c r="E35" s="361">
        <f>D35-C35</f>
        <v>71988961</v>
      </c>
      <c r="F35" s="362">
        <f>IF(C35=0,0,E35/C35)</f>
        <v>0.21635335369758987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776</v>
      </c>
      <c r="C36" s="361">
        <f>C16+C28</f>
        <v>94927962</v>
      </c>
      <c r="D36" s="361">
        <f>LN_IA2+LN_IA12</f>
        <v>105422025</v>
      </c>
      <c r="E36" s="361">
        <f>D36-C36</f>
        <v>10494063</v>
      </c>
      <c r="F36" s="362">
        <f>IF(C36=0,0,E36/C36)</f>
        <v>0.11054764875285114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777</v>
      </c>
      <c r="C37" s="361">
        <f>C35-C36</f>
        <v>237809940</v>
      </c>
      <c r="D37" s="361">
        <f>LN_IA17-LN_IA18</f>
        <v>299304838</v>
      </c>
      <c r="E37" s="361">
        <f>D37-C37</f>
        <v>61494898</v>
      </c>
      <c r="F37" s="362">
        <f>IF(C37=0,0,E37/C37)</f>
        <v>0.2585884256982698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183</v>
      </c>
      <c r="B39" s="356" t="s">
        <v>778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779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759</v>
      </c>
      <c r="C42" s="361">
        <v>129793227</v>
      </c>
      <c r="D42" s="361">
        <v>151040234</v>
      </c>
      <c r="E42" s="361">
        <f aca="true" t="shared" si="4" ref="E42:E53">D42-C42</f>
        <v>21247007</v>
      </c>
      <c r="F42" s="362">
        <f aca="true" t="shared" si="5" ref="F42:F53">IF(C42=0,0,E42/C42)</f>
        <v>0.16369888854061698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760</v>
      </c>
      <c r="C43" s="361">
        <v>46745303</v>
      </c>
      <c r="D43" s="361">
        <v>51625908</v>
      </c>
      <c r="E43" s="361">
        <f t="shared" si="4"/>
        <v>4880605</v>
      </c>
      <c r="F43" s="362">
        <f t="shared" si="5"/>
        <v>0.10440845789361981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761</v>
      </c>
      <c r="C44" s="366">
        <f>IF(C42=0,0,C43/C42)</f>
        <v>0.36015209792110336</v>
      </c>
      <c r="D44" s="366">
        <f>IF(LN_IB1=0,0,LN_IB2/LN_IB1)</f>
        <v>0.34180235711234397</v>
      </c>
      <c r="E44" s="367">
        <f t="shared" si="4"/>
        <v>-0.018349740808759396</v>
      </c>
      <c r="F44" s="362">
        <f t="shared" si="5"/>
        <v>-0.05094997617584107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294</v>
      </c>
      <c r="C45" s="369">
        <v>4942</v>
      </c>
      <c r="D45" s="369">
        <v>4524</v>
      </c>
      <c r="E45" s="369">
        <f t="shared" si="4"/>
        <v>-418</v>
      </c>
      <c r="F45" s="362">
        <f t="shared" si="5"/>
        <v>-0.08458114123836503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762</v>
      </c>
      <c r="C46" s="372">
        <v>1.1925</v>
      </c>
      <c r="D46" s="372">
        <v>1.29365</v>
      </c>
      <c r="E46" s="373">
        <f t="shared" si="4"/>
        <v>0.10115000000000007</v>
      </c>
      <c r="F46" s="362">
        <f t="shared" si="5"/>
        <v>0.08482180293501056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763</v>
      </c>
      <c r="C47" s="376">
        <f>C45*C46</f>
        <v>5893.334999999999</v>
      </c>
      <c r="D47" s="376">
        <f>LN_IB4*LN_IB5</f>
        <v>5852.4726</v>
      </c>
      <c r="E47" s="376">
        <f t="shared" si="4"/>
        <v>-40.86239999999907</v>
      </c>
      <c r="F47" s="362">
        <f t="shared" si="5"/>
        <v>-0.006933663197493283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764</v>
      </c>
      <c r="C48" s="378">
        <f>IF(C47=0,0,C43/C47)</f>
        <v>7931.893062247438</v>
      </c>
      <c r="D48" s="378">
        <f>IF(LN_IB6=0,0,LN_IB2/LN_IB6)</f>
        <v>8821.213105722187</v>
      </c>
      <c r="E48" s="378">
        <f t="shared" si="4"/>
        <v>889.3200434747487</v>
      </c>
      <c r="F48" s="362">
        <f t="shared" si="5"/>
        <v>0.11211952008122093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780</v>
      </c>
      <c r="C49" s="378">
        <f>C21-C48</f>
        <v>-498.24089325128625</v>
      </c>
      <c r="D49" s="378">
        <f>LN_IA7-LN_IB7</f>
        <v>-575.029625737614</v>
      </c>
      <c r="E49" s="378">
        <f t="shared" si="4"/>
        <v>-76.78873248632772</v>
      </c>
      <c r="F49" s="362">
        <f t="shared" si="5"/>
        <v>0.1541196909495736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781</v>
      </c>
      <c r="C50" s="391">
        <f>C49*C47</f>
        <v>-2936300.4946290688</v>
      </c>
      <c r="D50" s="391">
        <f>LN_IB8*LN_IB6</f>
        <v>-3365345.1288176407</v>
      </c>
      <c r="E50" s="391">
        <f t="shared" si="4"/>
        <v>-429044.63418857194</v>
      </c>
      <c r="F50" s="362">
        <f t="shared" si="5"/>
        <v>0.1461174137229342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296</v>
      </c>
      <c r="C51" s="369">
        <v>17752</v>
      </c>
      <c r="D51" s="369">
        <v>16368</v>
      </c>
      <c r="E51" s="369">
        <f t="shared" si="4"/>
        <v>-1384</v>
      </c>
      <c r="F51" s="362">
        <f t="shared" si="5"/>
        <v>-0.07796304641730509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765</v>
      </c>
      <c r="C52" s="378">
        <f>IF(C51=0,0,C43/C51)</f>
        <v>2633.2414939161786</v>
      </c>
      <c r="D52" s="378">
        <f>IF(LN_IB10=0,0,LN_IB2/LN_IB10)</f>
        <v>3154.075513196481</v>
      </c>
      <c r="E52" s="378">
        <f t="shared" si="4"/>
        <v>520.8340192803025</v>
      </c>
      <c r="F52" s="362">
        <f t="shared" si="5"/>
        <v>0.1977919687516825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766</v>
      </c>
      <c r="C53" s="379">
        <f>IF(C45=0,0,C51/C45)</f>
        <v>3.592067988668555</v>
      </c>
      <c r="D53" s="379">
        <f>IF(LN_IB4=0,0,LN_IB10/LN_IB4)</f>
        <v>3.618037135278515</v>
      </c>
      <c r="E53" s="379">
        <f t="shared" si="4"/>
        <v>0.025969146609959637</v>
      </c>
      <c r="F53" s="362">
        <f t="shared" si="5"/>
        <v>0.007229581035737975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782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768</v>
      </c>
      <c r="C56" s="361">
        <v>126929250</v>
      </c>
      <c r="D56" s="361">
        <v>144321726</v>
      </c>
      <c r="E56" s="361">
        <f aca="true" t="shared" si="6" ref="E56:E63">D56-C56</f>
        <v>17392476</v>
      </c>
      <c r="F56" s="362">
        <f aca="true" t="shared" si="7" ref="F56:F63">IF(C56=0,0,E56/C56)</f>
        <v>0.13702496469489894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769</v>
      </c>
      <c r="C57" s="361">
        <v>39841786</v>
      </c>
      <c r="D57" s="361">
        <v>41891765</v>
      </c>
      <c r="E57" s="361">
        <f t="shared" si="6"/>
        <v>2049979</v>
      </c>
      <c r="F57" s="362">
        <f t="shared" si="7"/>
        <v>0.051452989582344524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770</v>
      </c>
      <c r="C58" s="366">
        <f>IF(C56=0,0,C57/C56)</f>
        <v>0.3138897141517814</v>
      </c>
      <c r="D58" s="366">
        <f>IF(LN_IB13=0,0,LN_IB14/LN_IB13)</f>
        <v>0.2902665188469268</v>
      </c>
      <c r="E58" s="367">
        <f t="shared" si="6"/>
        <v>-0.023623195304854627</v>
      </c>
      <c r="F58" s="362">
        <f t="shared" si="7"/>
        <v>-0.07525953938532573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771</v>
      </c>
      <c r="C59" s="366">
        <f>IF(C42=0,0,C56/C42)</f>
        <v>0.9779343108558354</v>
      </c>
      <c r="D59" s="366">
        <f>IF(LN_IB1=0,0,LN_IB13/LN_IB1)</f>
        <v>0.9555184216676995</v>
      </c>
      <c r="E59" s="367">
        <f t="shared" si="6"/>
        <v>-0.022415889188135862</v>
      </c>
      <c r="F59" s="362">
        <f t="shared" si="7"/>
        <v>-0.02292167166986777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772</v>
      </c>
      <c r="C60" s="376">
        <f>C59*C45</f>
        <v>4832.9513642495385</v>
      </c>
      <c r="D60" s="376">
        <f>LN_IB16*LN_IB4</f>
        <v>4322.765339624672</v>
      </c>
      <c r="E60" s="376">
        <f t="shared" si="6"/>
        <v>-510.18602462486615</v>
      </c>
      <c r="F60" s="362">
        <f t="shared" si="7"/>
        <v>-0.10556407175930435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773</v>
      </c>
      <c r="C61" s="378">
        <f>IF(C60=0,0,C57/C60)</f>
        <v>8243.77962805894</v>
      </c>
      <c r="D61" s="378">
        <f>IF(LN_IB17=0,0,LN_IB14/LN_IB17)</f>
        <v>9690.964396331836</v>
      </c>
      <c r="E61" s="378">
        <f t="shared" si="6"/>
        <v>1447.1847682728967</v>
      </c>
      <c r="F61" s="362">
        <f t="shared" si="7"/>
        <v>0.17554869654050267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783</v>
      </c>
      <c r="C62" s="378">
        <f>C32-C61</f>
        <v>263.5985552927541</v>
      </c>
      <c r="D62" s="378">
        <f>LN_IA16-LN_IB18</f>
        <v>-9.180013309318383</v>
      </c>
      <c r="E62" s="378">
        <f t="shared" si="6"/>
        <v>-272.7785686020725</v>
      </c>
      <c r="F62" s="362">
        <f t="shared" si="7"/>
        <v>-1.034825734530764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784</v>
      </c>
      <c r="C63" s="361">
        <f>C62*C60</f>
        <v>1273958.9974163233</v>
      </c>
      <c r="D63" s="361">
        <f>LN_IB19*LN_IB17</f>
        <v>-39683.043350814696</v>
      </c>
      <c r="E63" s="361">
        <f t="shared" si="6"/>
        <v>-1313642.040767138</v>
      </c>
      <c r="F63" s="362">
        <f t="shared" si="7"/>
        <v>-1.031149388191688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785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775</v>
      </c>
      <c r="C66" s="361">
        <f>C42+C56</f>
        <v>256722477</v>
      </c>
      <c r="D66" s="361">
        <f>LN_IB1+LN_IB13</f>
        <v>295361960</v>
      </c>
      <c r="E66" s="361">
        <f>D66-C66</f>
        <v>38639483</v>
      </c>
      <c r="F66" s="362">
        <f>IF(C66=0,0,E66/C66)</f>
        <v>0.1505107127803227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776</v>
      </c>
      <c r="C67" s="361">
        <f>C43+C57</f>
        <v>86587089</v>
      </c>
      <c r="D67" s="361">
        <f>LN_IB2+LN_IB14</f>
        <v>93517673</v>
      </c>
      <c r="E67" s="361">
        <f>D67-C67</f>
        <v>6930584</v>
      </c>
      <c r="F67" s="362">
        <f>IF(C67=0,0,E67/C67)</f>
        <v>0.08004177158559979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777</v>
      </c>
      <c r="C68" s="361">
        <f>C66-C67</f>
        <v>170135388</v>
      </c>
      <c r="D68" s="361">
        <f>LN_IB21-LN_IB22</f>
        <v>201844287</v>
      </c>
      <c r="E68" s="361">
        <f>D68-C68</f>
        <v>31708899</v>
      </c>
      <c r="F68" s="362">
        <f>IF(C68=0,0,E68/C68)</f>
        <v>0.18637450663703192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786</v>
      </c>
      <c r="C70" s="353">
        <f>C50+C63</f>
        <v>-1662341.4972127455</v>
      </c>
      <c r="D70" s="353">
        <f>LN_IB9+LN_IB20</f>
        <v>-3405028.1721684556</v>
      </c>
      <c r="E70" s="361">
        <f>D70-C70</f>
        <v>-1742686.67495571</v>
      </c>
      <c r="F70" s="362">
        <f>IF(C70=0,0,E70/C70)</f>
        <v>1.0483325344868546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787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788</v>
      </c>
      <c r="C73" s="400">
        <v>237128412</v>
      </c>
      <c r="D73" s="400">
        <v>275365397</v>
      </c>
      <c r="E73" s="400">
        <f>D73-C73</f>
        <v>38236985</v>
      </c>
      <c r="F73" s="401">
        <f>IF(C73=0,0,E73/C73)</f>
        <v>0.16125012046215703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789</v>
      </c>
      <c r="C74" s="400">
        <v>87299529</v>
      </c>
      <c r="D74" s="400">
        <v>89650520</v>
      </c>
      <c r="E74" s="400">
        <f>D74-C74</f>
        <v>2350991</v>
      </c>
      <c r="F74" s="401">
        <f>IF(C74=0,0,E74/C74)</f>
        <v>0.026930168202854793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790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791</v>
      </c>
      <c r="C76" s="353">
        <f>C73-C74</f>
        <v>149828883</v>
      </c>
      <c r="D76" s="353">
        <f>LN_IB32-LN_IB33</f>
        <v>185714877</v>
      </c>
      <c r="E76" s="400">
        <f>D76-C76</f>
        <v>35885994</v>
      </c>
      <c r="F76" s="401">
        <f>IF(C76=0,0,E76/C76)</f>
        <v>0.23951319185900893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792</v>
      </c>
      <c r="C77" s="366">
        <f>IF(C73=0,0,C76/C73)</f>
        <v>0.631847030629126</v>
      </c>
      <c r="D77" s="366">
        <f>IF(LN_IB1=0,0,LN_IB34/LN_IB32)</f>
        <v>0.6744306983495097</v>
      </c>
      <c r="E77" s="405">
        <f>D77-C77</f>
        <v>0.0425836677203838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193</v>
      </c>
      <c r="B79" s="356" t="s">
        <v>793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794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759</v>
      </c>
      <c r="C83" s="361">
        <v>9188200</v>
      </c>
      <c r="D83" s="361">
        <v>8867028</v>
      </c>
      <c r="E83" s="361">
        <f aca="true" t="shared" si="8" ref="E83:E95">D83-C83</f>
        <v>-321172</v>
      </c>
      <c r="F83" s="362">
        <f aca="true" t="shared" si="9" ref="F83:F95">IF(C83=0,0,E83/C83)</f>
        <v>-0.03495483337323959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760</v>
      </c>
      <c r="C84" s="361">
        <v>332477</v>
      </c>
      <c r="D84" s="361">
        <v>1031285</v>
      </c>
      <c r="E84" s="361">
        <f t="shared" si="8"/>
        <v>698808</v>
      </c>
      <c r="F84" s="362">
        <f t="shared" si="9"/>
        <v>2.1018235847893236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761</v>
      </c>
      <c r="C85" s="366">
        <f>IF(C83=0,0,C84/C83)</f>
        <v>0.036185215820291244</v>
      </c>
      <c r="D85" s="366">
        <f>IF(LN_IC1=0,0,LN_IC2/LN_IC1)</f>
        <v>0.11630559867409915</v>
      </c>
      <c r="E85" s="367">
        <f t="shared" si="8"/>
        <v>0.0801203828538079</v>
      </c>
      <c r="F85" s="362">
        <f t="shared" si="9"/>
        <v>2.214174519552804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294</v>
      </c>
      <c r="C86" s="369">
        <v>335</v>
      </c>
      <c r="D86" s="369">
        <v>265</v>
      </c>
      <c r="E86" s="369">
        <f t="shared" si="8"/>
        <v>-70</v>
      </c>
      <c r="F86" s="362">
        <f t="shared" si="9"/>
        <v>-0.208955223880597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762</v>
      </c>
      <c r="C87" s="372">
        <v>1.119</v>
      </c>
      <c r="D87" s="372">
        <v>1.1466</v>
      </c>
      <c r="E87" s="373">
        <f t="shared" si="8"/>
        <v>0.02760000000000007</v>
      </c>
      <c r="F87" s="362">
        <f t="shared" si="9"/>
        <v>0.024664879356568425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763</v>
      </c>
      <c r="C88" s="376">
        <f>C86*C87</f>
        <v>374.865</v>
      </c>
      <c r="D88" s="376">
        <f>LN_IC4*LN_IC5</f>
        <v>303.849</v>
      </c>
      <c r="E88" s="376">
        <f t="shared" si="8"/>
        <v>-71.01600000000002</v>
      </c>
      <c r="F88" s="362">
        <f t="shared" si="9"/>
        <v>-0.18944419991196837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764</v>
      </c>
      <c r="C89" s="378">
        <f>IF(C88=0,0,C84/C88)</f>
        <v>886.9246261987648</v>
      </c>
      <c r="D89" s="378">
        <f>IF(LN_IC6=0,0,LN_IC2/LN_IC6)</f>
        <v>3394.0707390842163</v>
      </c>
      <c r="E89" s="378">
        <f t="shared" si="8"/>
        <v>2507.1461128854517</v>
      </c>
      <c r="F89" s="362">
        <f t="shared" si="9"/>
        <v>2.8267859960442525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795</v>
      </c>
      <c r="C90" s="378">
        <f>C48-C89</f>
        <v>7044.9684360486735</v>
      </c>
      <c r="D90" s="378">
        <f>LN_IB7-LN_IC7</f>
        <v>5427.142366637971</v>
      </c>
      <c r="E90" s="378">
        <f t="shared" si="8"/>
        <v>-1617.826069410703</v>
      </c>
      <c r="F90" s="362">
        <f t="shared" si="9"/>
        <v>-0.22964277045336154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796</v>
      </c>
      <c r="C91" s="378">
        <f>C21-C89</f>
        <v>6546.727542797387</v>
      </c>
      <c r="D91" s="378">
        <f>LN_IA7-LN_IC7</f>
        <v>4852.112740900357</v>
      </c>
      <c r="E91" s="378">
        <f t="shared" si="8"/>
        <v>-1694.6148018970307</v>
      </c>
      <c r="F91" s="362">
        <f t="shared" si="9"/>
        <v>-0.2588491411654088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781</v>
      </c>
      <c r="C92" s="353">
        <f>C91*C88</f>
        <v>2454139.0203307425</v>
      </c>
      <c r="D92" s="353">
        <f>LN_IC9*LN_IC6</f>
        <v>1474309.6042098324</v>
      </c>
      <c r="E92" s="353">
        <f t="shared" si="8"/>
        <v>-979829.4161209101</v>
      </c>
      <c r="F92" s="362">
        <f t="shared" si="9"/>
        <v>-0.3992558726313961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296</v>
      </c>
      <c r="C93" s="369">
        <v>1410</v>
      </c>
      <c r="D93" s="369">
        <v>1146</v>
      </c>
      <c r="E93" s="369">
        <f t="shared" si="8"/>
        <v>-264</v>
      </c>
      <c r="F93" s="362">
        <f t="shared" si="9"/>
        <v>-0.18723404255319148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765</v>
      </c>
      <c r="C94" s="411">
        <f>IF(C93=0,0,C84/C93)</f>
        <v>235.79929078014183</v>
      </c>
      <c r="D94" s="411">
        <f>IF(LN_IC11=0,0,LN_IC2/LN_IC11)</f>
        <v>899.8996509598604</v>
      </c>
      <c r="E94" s="411">
        <f t="shared" si="8"/>
        <v>664.1003601797186</v>
      </c>
      <c r="F94" s="362">
        <f t="shared" si="9"/>
        <v>2.8163798032748226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766</v>
      </c>
      <c r="C95" s="379">
        <f>IF(C86=0,0,C93/C86)</f>
        <v>4.208955223880597</v>
      </c>
      <c r="D95" s="379">
        <f>IF(LN_IC4=0,0,LN_IC11/LN_IC4)</f>
        <v>4.324528301886793</v>
      </c>
      <c r="E95" s="379">
        <f t="shared" si="8"/>
        <v>0.11557307800619565</v>
      </c>
      <c r="F95" s="362">
        <f t="shared" si="9"/>
        <v>0.027458851866720244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797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768</v>
      </c>
      <c r="C98" s="361">
        <v>10405866</v>
      </c>
      <c r="D98" s="361">
        <v>11129535</v>
      </c>
      <c r="E98" s="361">
        <f aca="true" t="shared" si="10" ref="E98:E106">D98-C98</f>
        <v>723669</v>
      </c>
      <c r="F98" s="362">
        <f aca="true" t="shared" si="11" ref="F98:F106">IF(C98=0,0,E98/C98)</f>
        <v>0.06954433201426964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769</v>
      </c>
      <c r="C99" s="361">
        <v>728411</v>
      </c>
      <c r="D99" s="361">
        <v>3642339</v>
      </c>
      <c r="E99" s="361">
        <f t="shared" si="10"/>
        <v>2913928</v>
      </c>
      <c r="F99" s="362">
        <f t="shared" si="11"/>
        <v>4.000389889773768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770</v>
      </c>
      <c r="C100" s="366">
        <f>IF(C98=0,0,C99/C98)</f>
        <v>0.07000003651786406</v>
      </c>
      <c r="D100" s="366">
        <f>IF(LN_IC14=0,0,LN_IC15/LN_IC14)</f>
        <v>0.3272678508131741</v>
      </c>
      <c r="E100" s="367">
        <f t="shared" si="10"/>
        <v>0.25726781429531004</v>
      </c>
      <c r="F100" s="362">
        <f t="shared" si="11"/>
        <v>3.6752525726133745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771</v>
      </c>
      <c r="C101" s="366">
        <f>IF(C83=0,0,C98/C83)</f>
        <v>1.1325249776887747</v>
      </c>
      <c r="D101" s="366">
        <f>IF(LN_IC1=0,0,LN_IC14/LN_IC1)</f>
        <v>1.2551595641741518</v>
      </c>
      <c r="E101" s="367">
        <f t="shared" si="10"/>
        <v>0.12263458648537706</v>
      </c>
      <c r="F101" s="362">
        <f t="shared" si="11"/>
        <v>0.10828422233622281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772</v>
      </c>
      <c r="C102" s="376">
        <f>C101*C86</f>
        <v>379.3958675257395</v>
      </c>
      <c r="D102" s="376">
        <f>LN_IC17*LN_IC4</f>
        <v>332.6172845061502</v>
      </c>
      <c r="E102" s="376">
        <f t="shared" si="10"/>
        <v>-46.77858301958929</v>
      </c>
      <c r="F102" s="362">
        <f t="shared" si="11"/>
        <v>-0.12329755546537595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773</v>
      </c>
      <c r="C103" s="378">
        <f>IF(C102=0,0,C99/C102)</f>
        <v>1919.9233896520554</v>
      </c>
      <c r="D103" s="378">
        <f>IF(LN_IC18=0,0,LN_IC15/LN_IC18)</f>
        <v>10950.540364755614</v>
      </c>
      <c r="E103" s="378">
        <f t="shared" si="10"/>
        <v>9030.61697510356</v>
      </c>
      <c r="F103" s="362">
        <f t="shared" si="11"/>
        <v>4.703634021949263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798</v>
      </c>
      <c r="C104" s="378">
        <f>C61-C103</f>
        <v>6323.856238406884</v>
      </c>
      <c r="D104" s="378">
        <f>LN_IB18-LN_IC19</f>
        <v>-1259.5759684237782</v>
      </c>
      <c r="E104" s="378">
        <f t="shared" si="10"/>
        <v>-7583.432206830662</v>
      </c>
      <c r="F104" s="362">
        <f t="shared" si="11"/>
        <v>-1.1991784634150844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799</v>
      </c>
      <c r="C105" s="378">
        <f>C32-C103</f>
        <v>6587.454793699638</v>
      </c>
      <c r="D105" s="378">
        <f>LN_IA16-LN_IC19</f>
        <v>-1268.7559817330966</v>
      </c>
      <c r="E105" s="378">
        <f t="shared" si="10"/>
        <v>-7856.210775432734</v>
      </c>
      <c r="F105" s="362">
        <f t="shared" si="11"/>
        <v>-1.1926018502542983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784</v>
      </c>
      <c r="C106" s="361">
        <f>C105*C102</f>
        <v>2499253.1262422656</v>
      </c>
      <c r="D106" s="361">
        <f>LN_IC21*LN_IC18</f>
        <v>-422010.1693449973</v>
      </c>
      <c r="E106" s="361">
        <f t="shared" si="10"/>
        <v>-2921263.295587263</v>
      </c>
      <c r="F106" s="362">
        <f t="shared" si="11"/>
        <v>-1.1688545129398349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800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775</v>
      </c>
      <c r="C109" s="361">
        <f>C83+C98</f>
        <v>19594066</v>
      </c>
      <c r="D109" s="361">
        <f>LN_IC1+LN_IC14</f>
        <v>19996563</v>
      </c>
      <c r="E109" s="361">
        <f>D109-C109</f>
        <v>402497</v>
      </c>
      <c r="F109" s="362">
        <f>IF(C109=0,0,E109/C109)</f>
        <v>0.02054178035329676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776</v>
      </c>
      <c r="C110" s="361">
        <f>C84+C99</f>
        <v>1060888</v>
      </c>
      <c r="D110" s="361">
        <f>LN_IC2+LN_IC15</f>
        <v>4673624</v>
      </c>
      <c r="E110" s="361">
        <f>D110-C110</f>
        <v>3612736</v>
      </c>
      <c r="F110" s="362">
        <f>IF(C110=0,0,E110/C110)</f>
        <v>3.4053886932456585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777</v>
      </c>
      <c r="C111" s="361">
        <f>C109-C110</f>
        <v>18533178</v>
      </c>
      <c r="D111" s="361">
        <f>LN_IC23-LN_IC24</f>
        <v>15322939</v>
      </c>
      <c r="E111" s="361">
        <f>D111-C111</f>
        <v>-3210239</v>
      </c>
      <c r="F111" s="362">
        <f>IF(C111=0,0,E111/C111)</f>
        <v>-0.17321578630497156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786</v>
      </c>
      <c r="C113" s="361">
        <f>C92+C106</f>
        <v>4953392.146573008</v>
      </c>
      <c r="D113" s="361">
        <f>LN_IC10+LN_IC22</f>
        <v>1052299.434864835</v>
      </c>
      <c r="E113" s="361">
        <f>D113-C113</f>
        <v>-3901092.711708173</v>
      </c>
      <c r="F113" s="362">
        <f>IF(C113=0,0,E113/C113)</f>
        <v>-0.7875598370315047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478</v>
      </c>
      <c r="B115" s="356" t="s">
        <v>801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802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759</v>
      </c>
      <c r="C118" s="361">
        <v>50829292</v>
      </c>
      <c r="D118" s="361">
        <v>56278557</v>
      </c>
      <c r="E118" s="361">
        <f aca="true" t="shared" si="12" ref="E118:E130">D118-C118</f>
        <v>5449265</v>
      </c>
      <c r="F118" s="362">
        <f aca="true" t="shared" si="13" ref="F118:F130">IF(C118=0,0,E118/C118)</f>
        <v>0.10720717888417568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760</v>
      </c>
      <c r="C119" s="361">
        <v>11768562</v>
      </c>
      <c r="D119" s="361">
        <v>12098394</v>
      </c>
      <c r="E119" s="361">
        <f t="shared" si="12"/>
        <v>329832</v>
      </c>
      <c r="F119" s="362">
        <f t="shared" si="13"/>
        <v>0.028026533743035046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761</v>
      </c>
      <c r="C120" s="366">
        <f>IF(C118=0,0,C119/C118)</f>
        <v>0.23153110218415004</v>
      </c>
      <c r="D120" s="366">
        <f>IF(LN_ID1=0,0,LN_1D2/LN_ID1)</f>
        <v>0.2149734222929703</v>
      </c>
      <c r="E120" s="367">
        <f t="shared" si="12"/>
        <v>-0.016557679891179733</v>
      </c>
      <c r="F120" s="362">
        <f t="shared" si="13"/>
        <v>-0.07151384731892502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294</v>
      </c>
      <c r="C121" s="369">
        <v>2730</v>
      </c>
      <c r="D121" s="369">
        <v>2363</v>
      </c>
      <c r="E121" s="369">
        <f t="shared" si="12"/>
        <v>-367</v>
      </c>
      <c r="F121" s="362">
        <f t="shared" si="13"/>
        <v>-0.13443223443223443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762</v>
      </c>
      <c r="C122" s="372">
        <v>0.9802</v>
      </c>
      <c r="D122" s="372">
        <v>1.8863</v>
      </c>
      <c r="E122" s="373">
        <f t="shared" si="12"/>
        <v>0.9061000000000001</v>
      </c>
      <c r="F122" s="362">
        <f t="shared" si="13"/>
        <v>0.9244031830238728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763</v>
      </c>
      <c r="C123" s="376">
        <f>C121*C122</f>
        <v>2675.946</v>
      </c>
      <c r="D123" s="376">
        <f>LN_ID4*LN_ID5</f>
        <v>4457.3269</v>
      </c>
      <c r="E123" s="376">
        <f t="shared" si="12"/>
        <v>1781.3809</v>
      </c>
      <c r="F123" s="362">
        <f t="shared" si="13"/>
        <v>0.6657013631814693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764</v>
      </c>
      <c r="C124" s="378">
        <f>IF(C123=0,0,C119/C123)</f>
        <v>4397.907132655143</v>
      </c>
      <c r="D124" s="378">
        <f>IF(LN_ID6=0,0,LN_1D2/LN_ID6)</f>
        <v>2714.271192449448</v>
      </c>
      <c r="E124" s="378">
        <f t="shared" si="12"/>
        <v>-1683.635940205695</v>
      </c>
      <c r="F124" s="362">
        <f t="shared" si="13"/>
        <v>-0.3828266239876774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803</v>
      </c>
      <c r="C125" s="378">
        <f>C48-C124</f>
        <v>3533.985929592295</v>
      </c>
      <c r="D125" s="378">
        <f>LN_IB7-LN_ID7</f>
        <v>6106.941913272739</v>
      </c>
      <c r="E125" s="378">
        <f t="shared" si="12"/>
        <v>2572.9559836804438</v>
      </c>
      <c r="F125" s="362">
        <f t="shared" si="13"/>
        <v>0.7280606190690967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804</v>
      </c>
      <c r="C126" s="378">
        <f>C21-C124</f>
        <v>3035.745036341009</v>
      </c>
      <c r="D126" s="378">
        <f>LN_IA7-LN_ID7</f>
        <v>5531.912287535125</v>
      </c>
      <c r="E126" s="378">
        <f t="shared" si="12"/>
        <v>2496.167251194116</v>
      </c>
      <c r="F126" s="362">
        <f t="shared" si="13"/>
        <v>0.8222585300519021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781</v>
      </c>
      <c r="C127" s="391">
        <f>C126*C123</f>
        <v>8123489.787016577</v>
      </c>
      <c r="D127" s="391">
        <f>LN_ID9*LN_ID6</f>
        <v>24657541.447670847</v>
      </c>
      <c r="E127" s="391">
        <f t="shared" si="12"/>
        <v>16534051.66065427</v>
      </c>
      <c r="F127" s="362">
        <f t="shared" si="13"/>
        <v>2.0353385175765135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296</v>
      </c>
      <c r="C128" s="369">
        <v>11144</v>
      </c>
      <c r="D128" s="369">
        <v>9943</v>
      </c>
      <c r="E128" s="369">
        <f t="shared" si="12"/>
        <v>-1201</v>
      </c>
      <c r="F128" s="362">
        <f t="shared" si="13"/>
        <v>-0.10777099784637473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765</v>
      </c>
      <c r="C129" s="378">
        <f>IF(C128=0,0,C119/C128)</f>
        <v>1056.044687724336</v>
      </c>
      <c r="D129" s="378">
        <f>IF(LN_ID11=0,0,LN_1D2/LN_ID11)</f>
        <v>1216.775017600322</v>
      </c>
      <c r="E129" s="378">
        <f t="shared" si="12"/>
        <v>160.73032987598594</v>
      </c>
      <c r="F129" s="362">
        <f t="shared" si="13"/>
        <v>0.1522003109758004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766</v>
      </c>
      <c r="C130" s="379">
        <f>IF(C121=0,0,C128/C121)</f>
        <v>4.082051282051282</v>
      </c>
      <c r="D130" s="379">
        <f>IF(LN_ID4=0,0,LN_ID11/LN_ID4)</f>
        <v>4.207786711807025</v>
      </c>
      <c r="E130" s="379">
        <f t="shared" si="12"/>
        <v>0.1257354297557436</v>
      </c>
      <c r="F130" s="362">
        <f t="shared" si="13"/>
        <v>0.030802021108505027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805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768</v>
      </c>
      <c r="C133" s="361">
        <v>42735799</v>
      </c>
      <c r="D133" s="361">
        <v>51257026</v>
      </c>
      <c r="E133" s="361">
        <f aca="true" t="shared" si="14" ref="E133:E141">D133-C133</f>
        <v>8521227</v>
      </c>
      <c r="F133" s="362">
        <f aca="true" t="shared" si="15" ref="F133:F141">IF(C133=0,0,E133/C133)</f>
        <v>0.19939318321859387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769</v>
      </c>
      <c r="C134" s="361">
        <v>7793697</v>
      </c>
      <c r="D134" s="361">
        <v>9525170</v>
      </c>
      <c r="E134" s="361">
        <f t="shared" si="14"/>
        <v>1731473</v>
      </c>
      <c r="F134" s="362">
        <f t="shared" si="15"/>
        <v>0.2221632429384925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770</v>
      </c>
      <c r="C135" s="366">
        <f>IF(C133=0,0,C134/C133)</f>
        <v>0.18236928248375558</v>
      </c>
      <c r="D135" s="366">
        <f>IF(LN_ID14=0,0,LN_ID15/LN_ID14)</f>
        <v>0.1858314994709213</v>
      </c>
      <c r="E135" s="367">
        <f t="shared" si="14"/>
        <v>0.0034622169871657282</v>
      </c>
      <c r="F135" s="362">
        <f t="shared" si="15"/>
        <v>0.01898464993672453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771</v>
      </c>
      <c r="C136" s="366">
        <f>IF(C118=0,0,C133/C118)</f>
        <v>0.8407710853025456</v>
      </c>
      <c r="D136" s="366">
        <f>IF(LN_ID1=0,0,LN_ID14/LN_ID1)</f>
        <v>0.9107736362181426</v>
      </c>
      <c r="E136" s="367">
        <f t="shared" si="14"/>
        <v>0.07000255091559693</v>
      </c>
      <c r="F136" s="362">
        <f t="shared" si="15"/>
        <v>0.08325994095099856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772</v>
      </c>
      <c r="C137" s="376">
        <f>C136*C121</f>
        <v>2295.3050628759497</v>
      </c>
      <c r="D137" s="376">
        <f>LN_ID17*LN_ID4</f>
        <v>2152.158102383471</v>
      </c>
      <c r="E137" s="376">
        <f t="shared" si="14"/>
        <v>-143.14696049247868</v>
      </c>
      <c r="F137" s="362">
        <f t="shared" si="15"/>
        <v>-0.06236511338197449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773</v>
      </c>
      <c r="C138" s="378">
        <f>IF(C137=0,0,C134/C137)</f>
        <v>3395.495059046629</v>
      </c>
      <c r="D138" s="378">
        <f>IF(LN_ID18=0,0,LN_ID15/LN_ID18)</f>
        <v>4425.869079716341</v>
      </c>
      <c r="E138" s="378">
        <f t="shared" si="14"/>
        <v>1030.3740206697116</v>
      </c>
      <c r="F138" s="362">
        <f t="shared" si="15"/>
        <v>0.30345325283996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806</v>
      </c>
      <c r="C139" s="378">
        <f>C61-C138</f>
        <v>4848.28456901231</v>
      </c>
      <c r="D139" s="378">
        <f>LN_IB18-LN_ID19</f>
        <v>5265.095316615495</v>
      </c>
      <c r="E139" s="378">
        <f t="shared" si="14"/>
        <v>416.8107476031846</v>
      </c>
      <c r="F139" s="362">
        <f t="shared" si="15"/>
        <v>0.08597076794279364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807</v>
      </c>
      <c r="C140" s="378">
        <f>C32-C138</f>
        <v>5111.8831243050645</v>
      </c>
      <c r="D140" s="378">
        <f>LN_IA16-LN_ID19</f>
        <v>5255.915303306177</v>
      </c>
      <c r="E140" s="378">
        <f t="shared" si="14"/>
        <v>144.03217900111213</v>
      </c>
      <c r="F140" s="362">
        <f t="shared" si="15"/>
        <v>0.02817595306831132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784</v>
      </c>
      <c r="C141" s="353">
        <f>C140*C137</f>
        <v>11733331.216047542</v>
      </c>
      <c r="D141" s="353">
        <f>LN_ID21*LN_ID18</f>
        <v>11311560.705451667</v>
      </c>
      <c r="E141" s="353">
        <f t="shared" si="14"/>
        <v>-421770.51059587486</v>
      </c>
      <c r="F141" s="362">
        <f t="shared" si="15"/>
        <v>-0.035946356821413526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808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775</v>
      </c>
      <c r="C144" s="361">
        <f>C118+C133</f>
        <v>93565091</v>
      </c>
      <c r="D144" s="361">
        <f>LN_ID1+LN_ID14</f>
        <v>107535583</v>
      </c>
      <c r="E144" s="361">
        <f>D144-C144</f>
        <v>13970492</v>
      </c>
      <c r="F144" s="362">
        <f>IF(C144=0,0,E144/C144)</f>
        <v>0.14931308087970543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776</v>
      </c>
      <c r="C145" s="361">
        <f>C119+C134</f>
        <v>19562259</v>
      </c>
      <c r="D145" s="361">
        <f>LN_1D2+LN_ID15</f>
        <v>21623564</v>
      </c>
      <c r="E145" s="361">
        <f>D145-C145</f>
        <v>2061305</v>
      </c>
      <c r="F145" s="362">
        <f>IF(C145=0,0,E145/C145)</f>
        <v>0.10537152176545664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777</v>
      </c>
      <c r="C146" s="361">
        <f>C144-C145</f>
        <v>74002832</v>
      </c>
      <c r="D146" s="361">
        <f>LN_ID23-LN_ID24</f>
        <v>85912019</v>
      </c>
      <c r="E146" s="361">
        <f>D146-C146</f>
        <v>11909187</v>
      </c>
      <c r="F146" s="362">
        <f>IF(C146=0,0,E146/C146)</f>
        <v>0.1609288006707635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786</v>
      </c>
      <c r="C148" s="361">
        <f>C127+C141</f>
        <v>19856821.00306412</v>
      </c>
      <c r="D148" s="361">
        <f>LN_ID10+LN_ID22</f>
        <v>35969102.153122514</v>
      </c>
      <c r="E148" s="361">
        <f>D148-C148</f>
        <v>16112281.150058396</v>
      </c>
      <c r="F148" s="415">
        <f>IF(C148=0,0,E148/C148)</f>
        <v>0.8114229940216563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499</v>
      </c>
      <c r="B150" s="356" t="s">
        <v>809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810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759</v>
      </c>
      <c r="C153" s="361">
        <v>14096098</v>
      </c>
      <c r="D153" s="361">
        <v>19981018</v>
      </c>
      <c r="E153" s="361">
        <f aca="true" t="shared" si="16" ref="E153:E165">D153-C153</f>
        <v>5884920</v>
      </c>
      <c r="F153" s="362">
        <f aca="true" t="shared" si="17" ref="F153:F165">IF(C153=0,0,E153/C153)</f>
        <v>0.4174857467648139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760</v>
      </c>
      <c r="C154" s="361">
        <v>1149646</v>
      </c>
      <c r="D154" s="361">
        <v>1538371</v>
      </c>
      <c r="E154" s="361">
        <f t="shared" si="16"/>
        <v>388725</v>
      </c>
      <c r="F154" s="362">
        <f t="shared" si="17"/>
        <v>0.33812582307945227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761</v>
      </c>
      <c r="C155" s="366">
        <f>IF(C153=0,0,C154/C153)</f>
        <v>0.08155774739931575</v>
      </c>
      <c r="D155" s="366">
        <f>IF(LN_IE1=0,0,LN_IE2/LN_IE1)</f>
        <v>0.07699162274915122</v>
      </c>
      <c r="E155" s="367">
        <f t="shared" si="16"/>
        <v>-0.004566124650164524</v>
      </c>
      <c r="F155" s="362">
        <f t="shared" si="17"/>
        <v>-0.055986399769089666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294</v>
      </c>
      <c r="C156" s="419">
        <v>486</v>
      </c>
      <c r="D156" s="419">
        <v>518</v>
      </c>
      <c r="E156" s="419">
        <f t="shared" si="16"/>
        <v>32</v>
      </c>
      <c r="F156" s="362">
        <f t="shared" si="17"/>
        <v>0.06584362139917696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762</v>
      </c>
      <c r="C157" s="372">
        <v>1.1499</v>
      </c>
      <c r="D157" s="372">
        <v>1.1616</v>
      </c>
      <c r="E157" s="373">
        <f t="shared" si="16"/>
        <v>0.011700000000000044</v>
      </c>
      <c r="F157" s="362">
        <f t="shared" si="17"/>
        <v>0.010174797808505127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763</v>
      </c>
      <c r="C158" s="376">
        <f>C156*C157</f>
        <v>558.8514</v>
      </c>
      <c r="D158" s="376">
        <f>LN_IE4*LN_IE5</f>
        <v>601.7088</v>
      </c>
      <c r="E158" s="376">
        <f t="shared" si="16"/>
        <v>42.857399999999984</v>
      </c>
      <c r="F158" s="362">
        <f t="shared" si="17"/>
        <v>0.0766883647423984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764</v>
      </c>
      <c r="C159" s="378">
        <f>IF(C158=0,0,C154/C158)</f>
        <v>2057.1586650762615</v>
      </c>
      <c r="D159" s="378">
        <f>IF(LN_IE6=0,0,LN_IE2/LN_IE6)</f>
        <v>2556.6702697384517</v>
      </c>
      <c r="E159" s="378">
        <f t="shared" si="16"/>
        <v>499.51160466219017</v>
      </c>
      <c r="F159" s="362">
        <f t="shared" si="17"/>
        <v>0.2428162752549146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811</v>
      </c>
      <c r="C160" s="378">
        <f>C48-C159</f>
        <v>5874.734397171176</v>
      </c>
      <c r="D160" s="378">
        <f>LN_IB7-LN_IE7</f>
        <v>6264.542835983735</v>
      </c>
      <c r="E160" s="378">
        <f t="shared" si="16"/>
        <v>389.80843881255896</v>
      </c>
      <c r="F160" s="362">
        <f t="shared" si="17"/>
        <v>0.0663533723329281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812</v>
      </c>
      <c r="C161" s="378">
        <f>C21-C159</f>
        <v>5376.49350391989</v>
      </c>
      <c r="D161" s="378">
        <f>LN_IA7-LN_IE7</f>
        <v>5689.513210246121</v>
      </c>
      <c r="E161" s="378">
        <f t="shared" si="16"/>
        <v>313.01970632623124</v>
      </c>
      <c r="F161" s="362">
        <f t="shared" si="17"/>
        <v>0.05822004734089515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781</v>
      </c>
      <c r="C162" s="391">
        <f>C161*C158</f>
        <v>3004660.9217565362</v>
      </c>
      <c r="D162" s="391">
        <f>LN_IE9*LN_IE6</f>
        <v>3423430.1663213414</v>
      </c>
      <c r="E162" s="391">
        <f t="shared" si="16"/>
        <v>418769.2445648052</v>
      </c>
      <c r="F162" s="362">
        <f t="shared" si="17"/>
        <v>0.1393732123090918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296</v>
      </c>
      <c r="C163" s="369">
        <v>2511</v>
      </c>
      <c r="D163" s="369">
        <v>2625</v>
      </c>
      <c r="E163" s="419">
        <f t="shared" si="16"/>
        <v>114</v>
      </c>
      <c r="F163" s="362">
        <f t="shared" si="17"/>
        <v>0.04540023894862605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765</v>
      </c>
      <c r="C164" s="378">
        <f>IF(C163=0,0,C154/C163)</f>
        <v>457.84388689765035</v>
      </c>
      <c r="D164" s="378">
        <f>IF(LN_IE11=0,0,LN_IE2/LN_IE11)</f>
        <v>586.0460952380953</v>
      </c>
      <c r="E164" s="378">
        <f t="shared" si="16"/>
        <v>128.20220834044494</v>
      </c>
      <c r="F164" s="362">
        <f t="shared" si="17"/>
        <v>0.2800129301914304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766</v>
      </c>
      <c r="C165" s="379">
        <f>IF(C156=0,0,C163/C156)</f>
        <v>5.166666666666667</v>
      </c>
      <c r="D165" s="379">
        <f>IF(LN_IE4=0,0,LN_IE11/LN_IE4)</f>
        <v>5.0675675675675675</v>
      </c>
      <c r="E165" s="379">
        <f t="shared" si="16"/>
        <v>-0.09909909909909942</v>
      </c>
      <c r="F165" s="362">
        <f t="shared" si="17"/>
        <v>-0.01918047079337408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813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768</v>
      </c>
      <c r="C168" s="424">
        <v>11854312</v>
      </c>
      <c r="D168" s="424">
        <v>16041941</v>
      </c>
      <c r="E168" s="424">
        <f aca="true" t="shared" si="18" ref="E168:E176">D168-C168</f>
        <v>4187629</v>
      </c>
      <c r="F168" s="362">
        <f aca="true" t="shared" si="19" ref="F168:F176">IF(C168=0,0,E168/C168)</f>
        <v>0.35325786937276493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769</v>
      </c>
      <c r="C169" s="424">
        <v>1101379</v>
      </c>
      <c r="D169" s="424">
        <v>1401067</v>
      </c>
      <c r="E169" s="424">
        <f t="shared" si="18"/>
        <v>299688</v>
      </c>
      <c r="F169" s="362">
        <f t="shared" si="19"/>
        <v>0.27210251875149244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770</v>
      </c>
      <c r="C170" s="366">
        <f>IF(C168=0,0,C169/C168)</f>
        <v>0.09290956742154248</v>
      </c>
      <c r="D170" s="366">
        <f>IF(LN_IE14=0,0,LN_IE15/LN_IE14)</f>
        <v>0.08733774796952563</v>
      </c>
      <c r="E170" s="367">
        <f t="shared" si="18"/>
        <v>-0.005571819452016846</v>
      </c>
      <c r="F170" s="362">
        <f t="shared" si="19"/>
        <v>-0.059970351887839446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771</v>
      </c>
      <c r="C171" s="366">
        <f>IF(C153=0,0,C168/C153)</f>
        <v>0.8409640738876816</v>
      </c>
      <c r="D171" s="366">
        <f>IF(LN_IE1=0,0,LN_IE14/LN_IE1)</f>
        <v>0.8028590435182031</v>
      </c>
      <c r="E171" s="367">
        <f t="shared" si="18"/>
        <v>-0.03810503036947843</v>
      </c>
      <c r="F171" s="362">
        <f t="shared" si="19"/>
        <v>-0.04531112749361955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772</v>
      </c>
      <c r="C172" s="376">
        <f>C171*C156</f>
        <v>408.7085399094132</v>
      </c>
      <c r="D172" s="376">
        <f>LN_IE17*LN_IE4</f>
        <v>415.88098454242925</v>
      </c>
      <c r="E172" s="376">
        <f t="shared" si="18"/>
        <v>7.172444633016028</v>
      </c>
      <c r="F172" s="362">
        <f t="shared" si="19"/>
        <v>0.01754904518169779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773</v>
      </c>
      <c r="C173" s="378">
        <f>IF(C172=0,0,C169/C172)</f>
        <v>2694.7785339746297</v>
      </c>
      <c r="D173" s="378">
        <f>IF(LN_IE18=0,0,LN_IE15/LN_IE18)</f>
        <v>3368.9133479894886</v>
      </c>
      <c r="E173" s="378">
        <f t="shared" si="18"/>
        <v>674.1348140148589</v>
      </c>
      <c r="F173" s="362">
        <f t="shared" si="19"/>
        <v>0.25016334571307136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814</v>
      </c>
      <c r="C174" s="378">
        <f>C61-C173</f>
        <v>5549.001094084309</v>
      </c>
      <c r="D174" s="378">
        <f>LN_IB18-LN_IE19</f>
        <v>6322.051048342348</v>
      </c>
      <c r="E174" s="378">
        <f t="shared" si="18"/>
        <v>773.0499542580383</v>
      </c>
      <c r="F174" s="362">
        <f t="shared" si="19"/>
        <v>0.13931335408857154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815</v>
      </c>
      <c r="C175" s="378">
        <f>C32-C173</f>
        <v>5812.5996493770635</v>
      </c>
      <c r="D175" s="378">
        <f>LN_IA16-LN_IE19</f>
        <v>6312.871035033029</v>
      </c>
      <c r="E175" s="378">
        <f t="shared" si="18"/>
        <v>500.2713856559658</v>
      </c>
      <c r="F175" s="362">
        <f t="shared" si="19"/>
        <v>0.08606671985564666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784</v>
      </c>
      <c r="C176" s="353">
        <f>C175*C172</f>
        <v>2375659.1157748667</v>
      </c>
      <c r="D176" s="353">
        <f>LN_IE21*LN_IE18</f>
        <v>2625403.0213389206</v>
      </c>
      <c r="E176" s="353">
        <f t="shared" si="18"/>
        <v>249743.90556405392</v>
      </c>
      <c r="F176" s="362">
        <f t="shared" si="19"/>
        <v>0.10512615379273182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816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775</v>
      </c>
      <c r="C179" s="361">
        <f>C153+C168</f>
        <v>25950410</v>
      </c>
      <c r="D179" s="361">
        <f>LN_IE1+LN_IE14</f>
        <v>36022959</v>
      </c>
      <c r="E179" s="361">
        <f>D179-C179</f>
        <v>10072549</v>
      </c>
      <c r="F179" s="362">
        <f>IF(C179=0,0,E179/C179)</f>
        <v>0.3881460447060374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776</v>
      </c>
      <c r="C180" s="361">
        <f>C154+C169</f>
        <v>2251025</v>
      </c>
      <c r="D180" s="361">
        <f>LN_IE15+LN_IE2</f>
        <v>2939438</v>
      </c>
      <c r="E180" s="361">
        <f>D180-C180</f>
        <v>688413</v>
      </c>
      <c r="F180" s="362">
        <f>IF(C180=0,0,E180/C180)</f>
        <v>0.3058220144156551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777</v>
      </c>
      <c r="C181" s="361">
        <f>C179-C180</f>
        <v>23699385</v>
      </c>
      <c r="D181" s="361">
        <f>LN_IE23-LN_IE24</f>
        <v>33083521</v>
      </c>
      <c r="E181" s="361">
        <f>D181-C181</f>
        <v>9384136</v>
      </c>
      <c r="F181" s="362">
        <f>IF(C181=0,0,E181/C181)</f>
        <v>0.39596538053624597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817</v>
      </c>
      <c r="C183" s="361">
        <f>C162+C176</f>
        <v>5380320.037531403</v>
      </c>
      <c r="D183" s="361">
        <f>LN_IE10+LN_IE22</f>
        <v>6048833.187660262</v>
      </c>
      <c r="E183" s="353">
        <f>D183-C183</f>
        <v>668513.1501288591</v>
      </c>
      <c r="F183" s="362">
        <f>IF(C183=0,0,E183/C183)</f>
        <v>0.12425155854401296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511</v>
      </c>
      <c r="B185" s="356" t="s">
        <v>818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819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759</v>
      </c>
      <c r="C188" s="361">
        <f>C118+C153</f>
        <v>64925390</v>
      </c>
      <c r="D188" s="361">
        <f>LN_ID1+LN_IE1</f>
        <v>76259575</v>
      </c>
      <c r="E188" s="361">
        <f aca="true" t="shared" si="20" ref="E188:E200">D188-C188</f>
        <v>11334185</v>
      </c>
      <c r="F188" s="362">
        <f aca="true" t="shared" si="21" ref="F188:F200">IF(C188=0,0,E188/C188)</f>
        <v>0.17457245924899334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760</v>
      </c>
      <c r="C189" s="361">
        <f>C119+C154</f>
        <v>12918208</v>
      </c>
      <c r="D189" s="361">
        <f>LN_1D2+LN_IE2</f>
        <v>13636765</v>
      </c>
      <c r="E189" s="361">
        <f t="shared" si="20"/>
        <v>718557</v>
      </c>
      <c r="F189" s="362">
        <f t="shared" si="21"/>
        <v>0.055623581846646224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761</v>
      </c>
      <c r="C190" s="366">
        <f>IF(C188=0,0,C189/C188)</f>
        <v>0.1989700485434127</v>
      </c>
      <c r="D190" s="366">
        <f>IF(LN_IF1=0,0,LN_IF2/LN_IF1)</f>
        <v>0.17882036452471706</v>
      </c>
      <c r="E190" s="367">
        <f t="shared" si="20"/>
        <v>-0.02014968401869563</v>
      </c>
      <c r="F190" s="362">
        <f t="shared" si="21"/>
        <v>-0.1012699356823006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294</v>
      </c>
      <c r="C191" s="369">
        <f>C121+C156</f>
        <v>3216</v>
      </c>
      <c r="D191" s="369">
        <f>LN_ID4+LN_IE4</f>
        <v>2881</v>
      </c>
      <c r="E191" s="369">
        <f t="shared" si="20"/>
        <v>-335</v>
      </c>
      <c r="F191" s="362">
        <f t="shared" si="21"/>
        <v>-0.10416666666666667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762</v>
      </c>
      <c r="C192" s="372">
        <f>IF((C121+C156)=0,0,(C123+C158)/(C121+C156))</f>
        <v>1.005844962686567</v>
      </c>
      <c r="D192" s="372">
        <f>IF((LN_ID4+LN_IE4)=0,0,(LN_ID6+LN_IE6)/(LN_ID4+LN_IE4))</f>
        <v>1.7559998958694898</v>
      </c>
      <c r="E192" s="373">
        <f t="shared" si="20"/>
        <v>0.7501549331829227</v>
      </c>
      <c r="F192" s="362">
        <f t="shared" si="21"/>
        <v>0.7457957846498453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763</v>
      </c>
      <c r="C193" s="376">
        <f>C123+C158</f>
        <v>3234.7974</v>
      </c>
      <c r="D193" s="376">
        <f>LN_IF4*LN_IF5</f>
        <v>5059.0357</v>
      </c>
      <c r="E193" s="376">
        <f t="shared" si="20"/>
        <v>1824.2383000000004</v>
      </c>
      <c r="F193" s="362">
        <f t="shared" si="21"/>
        <v>0.5639420570821531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764</v>
      </c>
      <c r="C194" s="378">
        <f>IF(C193=0,0,C189/C193)</f>
        <v>3993.5137823469254</v>
      </c>
      <c r="D194" s="378">
        <f>IF(LN_IF6=0,0,LN_IF2/LN_IF6)</f>
        <v>2695.526540759536</v>
      </c>
      <c r="E194" s="378">
        <f t="shared" si="20"/>
        <v>-1297.9872415873892</v>
      </c>
      <c r="F194" s="362">
        <f t="shared" si="21"/>
        <v>-0.3250238542621437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820</v>
      </c>
      <c r="C195" s="378">
        <f>C48-C194</f>
        <v>3938.3792799005128</v>
      </c>
      <c r="D195" s="378">
        <f>LN_IB7-LN_IF7</f>
        <v>6125.686564962651</v>
      </c>
      <c r="E195" s="378">
        <f t="shared" si="20"/>
        <v>2187.307285062138</v>
      </c>
      <c r="F195" s="362">
        <f t="shared" si="21"/>
        <v>0.555382590047902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821</v>
      </c>
      <c r="C196" s="378">
        <f>C21-C194</f>
        <v>3440.1383866492265</v>
      </c>
      <c r="D196" s="378">
        <f>LN_IA7-LN_IF7</f>
        <v>5550.656939225037</v>
      </c>
      <c r="E196" s="378">
        <f t="shared" si="20"/>
        <v>2110.51855257581</v>
      </c>
      <c r="F196" s="362">
        <f t="shared" si="21"/>
        <v>0.613498154831935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781</v>
      </c>
      <c r="C197" s="391">
        <f>C127+C162</f>
        <v>11128150.708773114</v>
      </c>
      <c r="D197" s="391">
        <f>LN_IF9*LN_IF6</f>
        <v>28080971.61399219</v>
      </c>
      <c r="E197" s="391">
        <f t="shared" si="20"/>
        <v>16952820.905219078</v>
      </c>
      <c r="F197" s="362">
        <f t="shared" si="21"/>
        <v>1.5234176233661143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296</v>
      </c>
      <c r="C198" s="369">
        <f>C128+C163</f>
        <v>13655</v>
      </c>
      <c r="D198" s="369">
        <f>LN_ID11+LN_IE11</f>
        <v>12568</v>
      </c>
      <c r="E198" s="369">
        <f t="shared" si="20"/>
        <v>-1087</v>
      </c>
      <c r="F198" s="362">
        <f t="shared" si="21"/>
        <v>-0.07960454046136946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765</v>
      </c>
      <c r="C199" s="432">
        <f>IF(C198=0,0,C189/C198)</f>
        <v>946.0423288172831</v>
      </c>
      <c r="D199" s="432">
        <f>IF(LN_IF11=0,0,LN_IF2/LN_IF11)</f>
        <v>1085.0385900700192</v>
      </c>
      <c r="E199" s="432">
        <f t="shared" si="20"/>
        <v>138.99626125273608</v>
      </c>
      <c r="F199" s="362">
        <f t="shared" si="21"/>
        <v>0.146923934605025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766</v>
      </c>
      <c r="C200" s="379">
        <f>IF(C191=0,0,C198/C191)</f>
        <v>4.245957711442786</v>
      </c>
      <c r="D200" s="379">
        <f>IF(LN_IF4=0,0,LN_IF11/LN_IF4)</f>
        <v>4.362374175633461</v>
      </c>
      <c r="E200" s="379">
        <f t="shared" si="20"/>
        <v>0.11641646419067442</v>
      </c>
      <c r="F200" s="362">
        <f t="shared" si="21"/>
        <v>0.027418187391959642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822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768</v>
      </c>
      <c r="C203" s="361">
        <f>C133+C168</f>
        <v>54590111</v>
      </c>
      <c r="D203" s="361">
        <f>LN_ID14+LN_IE14</f>
        <v>67298967</v>
      </c>
      <c r="E203" s="361">
        <f aca="true" t="shared" si="22" ref="E203:E211">D203-C203</f>
        <v>12708856</v>
      </c>
      <c r="F203" s="362">
        <f aca="true" t="shared" si="23" ref="F203:F211">IF(C203=0,0,E203/C203)</f>
        <v>0.23280509541370964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769</v>
      </c>
      <c r="C204" s="361">
        <f>C134+C169</f>
        <v>8895076</v>
      </c>
      <c r="D204" s="361">
        <f>LN_ID15+LN_IE15</f>
        <v>10926237</v>
      </c>
      <c r="E204" s="361">
        <f t="shared" si="22"/>
        <v>2031161</v>
      </c>
      <c r="F204" s="362">
        <f t="shared" si="23"/>
        <v>0.22834667179909424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770</v>
      </c>
      <c r="C205" s="366">
        <f>IF(C203=0,0,C204/C203)</f>
        <v>0.1629429916345105</v>
      </c>
      <c r="D205" s="366">
        <f>IF(LN_IF14=0,0,LN_IF15/LN_IF14)</f>
        <v>0.1623537104217365</v>
      </c>
      <c r="E205" s="367">
        <f t="shared" si="22"/>
        <v>-0.0005892812127740177</v>
      </c>
      <c r="F205" s="362">
        <f t="shared" si="23"/>
        <v>-0.003616487010965195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771</v>
      </c>
      <c r="C206" s="366">
        <f>IF(C188=0,0,C203/C188)</f>
        <v>0.8408129854899601</v>
      </c>
      <c r="D206" s="366">
        <f>IF(LN_IF1=0,0,LN_IF14/LN_IF1)</f>
        <v>0.8824985846039661</v>
      </c>
      <c r="E206" s="367">
        <f t="shared" si="22"/>
        <v>0.041685599114006044</v>
      </c>
      <c r="F206" s="362">
        <f t="shared" si="23"/>
        <v>0.049577729927321394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772</v>
      </c>
      <c r="C207" s="376">
        <f>C137+C172</f>
        <v>2704.0136027853628</v>
      </c>
      <c r="D207" s="376">
        <f>LN_ID18+LN_IE18</f>
        <v>2568.0390869259004</v>
      </c>
      <c r="E207" s="376">
        <f t="shared" si="22"/>
        <v>-135.97451585946237</v>
      </c>
      <c r="F207" s="362">
        <f t="shared" si="23"/>
        <v>-0.05028618040952054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773</v>
      </c>
      <c r="C208" s="378">
        <f>IF(C207=0,0,C204/C207)</f>
        <v>3289.582563799723</v>
      </c>
      <c r="D208" s="378">
        <f>IF(LN_IF18=0,0,LN_IF15/LN_IF18)</f>
        <v>4254.700427118254</v>
      </c>
      <c r="E208" s="378">
        <f t="shared" si="22"/>
        <v>965.1178633185309</v>
      </c>
      <c r="F208" s="362">
        <f t="shared" si="23"/>
        <v>0.29338611954574106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823</v>
      </c>
      <c r="C209" s="378">
        <f>C61-C208</f>
        <v>4954.197064259216</v>
      </c>
      <c r="D209" s="378">
        <f>LN_IB18-LN_IF19</f>
        <v>5436.263969213582</v>
      </c>
      <c r="E209" s="378">
        <f t="shared" si="22"/>
        <v>482.0669049543658</v>
      </c>
      <c r="F209" s="362">
        <f t="shared" si="23"/>
        <v>0.0973047496297864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824</v>
      </c>
      <c r="C210" s="378">
        <f>C32-C208</f>
        <v>5217.79561955197</v>
      </c>
      <c r="D210" s="378">
        <f>LN_IA16-LN_IF19</f>
        <v>5427.083955904263</v>
      </c>
      <c r="E210" s="378">
        <f t="shared" si="22"/>
        <v>209.2883363522933</v>
      </c>
      <c r="F210" s="362">
        <f t="shared" si="23"/>
        <v>0.04011048948871324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784</v>
      </c>
      <c r="C211" s="391">
        <f>C141+C176</f>
        <v>14108990.331822408</v>
      </c>
      <c r="D211" s="353">
        <f>LN_IF21*LN_IF18</f>
        <v>13936963.726790588</v>
      </c>
      <c r="E211" s="353">
        <f t="shared" si="22"/>
        <v>-172026.60503182</v>
      </c>
      <c r="F211" s="362">
        <f t="shared" si="23"/>
        <v>-0.012192694231551008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825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775</v>
      </c>
      <c r="C214" s="361">
        <f>C188+C203</f>
        <v>119515501</v>
      </c>
      <c r="D214" s="361">
        <f>LN_IF1+LN_IF14</f>
        <v>143558542</v>
      </c>
      <c r="E214" s="361">
        <f>D214-C214</f>
        <v>24043041</v>
      </c>
      <c r="F214" s="362">
        <f>IF(C214=0,0,E214/C214)</f>
        <v>0.20117090083569997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776</v>
      </c>
      <c r="C215" s="361">
        <f>C189+C204</f>
        <v>21813284</v>
      </c>
      <c r="D215" s="361">
        <f>LN_IF2+LN_IF15</f>
        <v>24563002</v>
      </c>
      <c r="E215" s="361">
        <f>D215-C215</f>
        <v>2749718</v>
      </c>
      <c r="F215" s="362">
        <f>IF(C215=0,0,E215/C215)</f>
        <v>0.1260570393710548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777</v>
      </c>
      <c r="C216" s="361">
        <f>C214-C215</f>
        <v>97702217</v>
      </c>
      <c r="D216" s="361">
        <f>LN_IF23-LN_IF24</f>
        <v>118995540</v>
      </c>
      <c r="E216" s="361">
        <f>D216-C216</f>
        <v>21293323</v>
      </c>
      <c r="F216" s="362">
        <f>IF(C216=0,0,E216/C216)</f>
        <v>0.21794104221811056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523</v>
      </c>
      <c r="B218" s="356" t="s">
        <v>826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827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759</v>
      </c>
      <c r="C221" s="361">
        <v>274994</v>
      </c>
      <c r="D221" s="361">
        <v>803012</v>
      </c>
      <c r="E221" s="361">
        <f aca="true" t="shared" si="24" ref="E221:E230">D221-C221</f>
        <v>528018</v>
      </c>
      <c r="F221" s="362">
        <f aca="true" t="shared" si="25" ref="F221:F230">IF(C221=0,0,E221/C221)</f>
        <v>1.9201073477966792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760</v>
      </c>
      <c r="C222" s="361">
        <v>67936</v>
      </c>
      <c r="D222" s="361">
        <v>106979</v>
      </c>
      <c r="E222" s="361">
        <f t="shared" si="24"/>
        <v>39043</v>
      </c>
      <c r="F222" s="362">
        <f t="shared" si="25"/>
        <v>0.574702661328309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761</v>
      </c>
      <c r="C223" s="366">
        <f>IF(C221=0,0,C222/C221)</f>
        <v>0.24704539008123813</v>
      </c>
      <c r="D223" s="366">
        <f>IF(LN_IG1=0,0,LN_IG2/LN_IG1)</f>
        <v>0.13322216853546398</v>
      </c>
      <c r="E223" s="367">
        <f t="shared" si="24"/>
        <v>-0.11382322154577415</v>
      </c>
      <c r="F223" s="362">
        <f t="shared" si="25"/>
        <v>-0.46073809152376677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294</v>
      </c>
      <c r="C224" s="369">
        <v>12</v>
      </c>
      <c r="D224" s="369">
        <v>15</v>
      </c>
      <c r="E224" s="369">
        <f t="shared" si="24"/>
        <v>3</v>
      </c>
      <c r="F224" s="362">
        <f t="shared" si="25"/>
        <v>0.25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762</v>
      </c>
      <c r="C225" s="372">
        <v>1.3294</v>
      </c>
      <c r="D225" s="372">
        <v>1.6601</v>
      </c>
      <c r="E225" s="373">
        <f t="shared" si="24"/>
        <v>0.3307</v>
      </c>
      <c r="F225" s="362">
        <f t="shared" si="25"/>
        <v>0.2487588385737927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763</v>
      </c>
      <c r="C226" s="376">
        <f>C224*C225</f>
        <v>15.9528</v>
      </c>
      <c r="D226" s="376">
        <f>LN_IG3*LN_IG4</f>
        <v>24.9015</v>
      </c>
      <c r="E226" s="376">
        <f t="shared" si="24"/>
        <v>8.948699999999999</v>
      </c>
      <c r="F226" s="362">
        <f t="shared" si="25"/>
        <v>0.5609485482172408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764</v>
      </c>
      <c r="C227" s="378">
        <f>IF(C226=0,0,C222/C226)</f>
        <v>4258.56276014242</v>
      </c>
      <c r="D227" s="378">
        <f>IF(LN_IG5=0,0,LN_IG2/LN_IG5)</f>
        <v>4296.086581129651</v>
      </c>
      <c r="E227" s="378">
        <f t="shared" si="24"/>
        <v>37.523820987230465</v>
      </c>
      <c r="F227" s="362">
        <f t="shared" si="25"/>
        <v>0.008811381468515811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296</v>
      </c>
      <c r="C228" s="369">
        <v>38</v>
      </c>
      <c r="D228" s="369">
        <v>119</v>
      </c>
      <c r="E228" s="369">
        <f t="shared" si="24"/>
        <v>81</v>
      </c>
      <c r="F228" s="362">
        <f t="shared" si="25"/>
        <v>2.1315789473684212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765</v>
      </c>
      <c r="C229" s="378">
        <f>IF(C228=0,0,C222/C228)</f>
        <v>1787.7894736842106</v>
      </c>
      <c r="D229" s="378">
        <f>IF(LN_IG6=0,0,LN_IG2/LN_IG6)</f>
        <v>898.9831932773109</v>
      </c>
      <c r="E229" s="378">
        <f t="shared" si="24"/>
        <v>-888.8062804068998</v>
      </c>
      <c r="F229" s="362">
        <f t="shared" si="25"/>
        <v>-0.49715377201280897</v>
      </c>
      <c r="Q229" s="330"/>
      <c r="U229" s="375"/>
    </row>
    <row r="230" spans="1:21" ht="11.25" customHeight="1">
      <c r="A230" s="364">
        <v>10</v>
      </c>
      <c r="B230" s="360" t="s">
        <v>766</v>
      </c>
      <c r="C230" s="379">
        <f>IF(C224=0,0,C228/C224)</f>
        <v>3.1666666666666665</v>
      </c>
      <c r="D230" s="379">
        <f>IF(LN_IG3=0,0,LN_IG6/LN_IG3)</f>
        <v>7.933333333333334</v>
      </c>
      <c r="E230" s="379">
        <f t="shared" si="24"/>
        <v>4.7666666666666675</v>
      </c>
      <c r="F230" s="362">
        <f t="shared" si="25"/>
        <v>1.505263157894737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828</v>
      </c>
      <c r="C232" s="330"/>
      <c r="Q232" s="330"/>
      <c r="U232" s="399"/>
    </row>
    <row r="233" spans="1:21" ht="11.25" customHeight="1">
      <c r="A233" s="364">
        <v>11</v>
      </c>
      <c r="B233" s="360" t="s">
        <v>768</v>
      </c>
      <c r="C233" s="361">
        <v>318244</v>
      </c>
      <c r="D233" s="361">
        <v>463890</v>
      </c>
      <c r="E233" s="361">
        <f>D233-C233</f>
        <v>145646</v>
      </c>
      <c r="F233" s="362">
        <f>IF(C233=0,0,E233/C233)</f>
        <v>0.4576551325398122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769</v>
      </c>
      <c r="C234" s="361">
        <v>89373</v>
      </c>
      <c r="D234" s="361">
        <v>137976</v>
      </c>
      <c r="E234" s="361">
        <f>D234-C234</f>
        <v>48603</v>
      </c>
      <c r="F234" s="362">
        <f>IF(C234=0,0,E234/C234)</f>
        <v>0.543821959652244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829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775</v>
      </c>
      <c r="C237" s="361">
        <f>C221+C233</f>
        <v>593238</v>
      </c>
      <c r="D237" s="361">
        <f>LN_IG1+LN_IG9</f>
        <v>1266902</v>
      </c>
      <c r="E237" s="361">
        <f>D237-C237</f>
        <v>673664</v>
      </c>
      <c r="F237" s="362">
        <f>IF(C237=0,0,E237/C237)</f>
        <v>1.135571220993935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776</v>
      </c>
      <c r="C238" s="361">
        <f>C222+C234</f>
        <v>157309</v>
      </c>
      <c r="D238" s="361">
        <f>LN_IG2+LN_IG10</f>
        <v>244955</v>
      </c>
      <c r="E238" s="361">
        <f>D238-C238</f>
        <v>87646</v>
      </c>
      <c r="F238" s="362">
        <f>IF(C238=0,0,E238/C238)</f>
        <v>0.5571582045528228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777</v>
      </c>
      <c r="C239" s="361">
        <f>C237-C238</f>
        <v>435929</v>
      </c>
      <c r="D239" s="361">
        <f>LN_IG13-LN_IG14</f>
        <v>1021947</v>
      </c>
      <c r="E239" s="361">
        <f>D239-C239</f>
        <v>586018</v>
      </c>
      <c r="F239" s="362">
        <f>IF(C239=0,0,E239/C239)</f>
        <v>1.3442968923838514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527</v>
      </c>
      <c r="B241" s="356" t="s">
        <v>830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831</v>
      </c>
      <c r="C243" s="361">
        <v>13967320</v>
      </c>
      <c r="D243" s="361">
        <v>13073722</v>
      </c>
      <c r="E243" s="353">
        <f>D243-C243</f>
        <v>-893598</v>
      </c>
      <c r="F243" s="415">
        <f>IF(C243=0,0,E243/C243)</f>
        <v>-0.06397777096823155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832</v>
      </c>
      <c r="C244" s="361">
        <v>227689900</v>
      </c>
      <c r="D244" s="361">
        <v>253532594</v>
      </c>
      <c r="E244" s="353">
        <f>D244-C244</f>
        <v>25842694</v>
      </c>
      <c r="F244" s="415">
        <f>IF(C244=0,0,E244/C244)</f>
        <v>0.1134995184239617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833</v>
      </c>
      <c r="C245" s="400">
        <v>1605901</v>
      </c>
      <c r="D245" s="400">
        <v>1753777</v>
      </c>
      <c r="E245" s="400">
        <f>D245-C245</f>
        <v>147876</v>
      </c>
      <c r="F245" s="401">
        <f>IF(C245=0,0,E245/C245)</f>
        <v>0.09208288680310928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834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835</v>
      </c>
      <c r="C248" s="353">
        <v>2588984</v>
      </c>
      <c r="D248" s="353">
        <v>1809921</v>
      </c>
      <c r="E248" s="353">
        <f>D248-C248</f>
        <v>-779063</v>
      </c>
      <c r="F248" s="362">
        <f>IF(C248=0,0,E248/C248)</f>
        <v>-0.3009145672588166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836</v>
      </c>
      <c r="C249" s="353">
        <v>17717523</v>
      </c>
      <c r="D249" s="353">
        <v>14319487</v>
      </c>
      <c r="E249" s="353">
        <f>D249-C249</f>
        <v>-3398036</v>
      </c>
      <c r="F249" s="362">
        <f>IF(C249=0,0,E249/C249)</f>
        <v>-0.19178956336052166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837</v>
      </c>
      <c r="C250" s="353">
        <f>C248+C249</f>
        <v>20306507</v>
      </c>
      <c r="D250" s="353">
        <f>LN_IH4+LN_IH5</f>
        <v>16129408</v>
      </c>
      <c r="E250" s="353">
        <f>D250-C250</f>
        <v>-4177099</v>
      </c>
      <c r="F250" s="362">
        <f>IF(C250=0,0,E250/C250)</f>
        <v>-0.20570248738495497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838</v>
      </c>
      <c r="C251" s="353">
        <f>C250*C313</f>
        <v>5869326.536235051</v>
      </c>
      <c r="D251" s="353">
        <f>LN_IH6*LN_III10</f>
        <v>4304820.945307901</v>
      </c>
      <c r="E251" s="353">
        <f>D251-C251</f>
        <v>-1564505.59092715</v>
      </c>
      <c r="F251" s="362">
        <f>IF(C251=0,0,E251/C251)</f>
        <v>-0.26655623626807456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839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775</v>
      </c>
      <c r="C254" s="353">
        <f>C188+C203</f>
        <v>119515501</v>
      </c>
      <c r="D254" s="353">
        <f>LN_IF23</f>
        <v>143558542</v>
      </c>
      <c r="E254" s="353">
        <f>D254-C254</f>
        <v>24043041</v>
      </c>
      <c r="F254" s="362">
        <f>IF(C254=0,0,E254/C254)</f>
        <v>0.20117090083569997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776</v>
      </c>
      <c r="C255" s="353">
        <f>C189+C204</f>
        <v>21813284</v>
      </c>
      <c r="D255" s="353">
        <f>LN_IF24</f>
        <v>24563002</v>
      </c>
      <c r="E255" s="353">
        <f>D255-C255</f>
        <v>2749718</v>
      </c>
      <c r="F255" s="362">
        <f>IF(C255=0,0,E255/C255)</f>
        <v>0.1260570393710548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840</v>
      </c>
      <c r="C256" s="353">
        <f>C254*C313</f>
        <v>34544370.50698709</v>
      </c>
      <c r="D256" s="353">
        <f>LN_IH8*LN_III10</f>
        <v>38314724.1659126</v>
      </c>
      <c r="E256" s="353">
        <f>D256-C256</f>
        <v>3770353.658925511</v>
      </c>
      <c r="F256" s="362">
        <f>IF(C256=0,0,E256/C256)</f>
        <v>0.10914524142690352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841</v>
      </c>
      <c r="C257" s="353">
        <f>C256-C255</f>
        <v>12731086.506987087</v>
      </c>
      <c r="D257" s="353">
        <f>LN_IH10-LN_IH9</f>
        <v>13751722.165912598</v>
      </c>
      <c r="E257" s="353">
        <f>D257-C257</f>
        <v>1020635.658925511</v>
      </c>
      <c r="F257" s="362">
        <f>IF(C257=0,0,E257/C257)</f>
        <v>0.08016877886780242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201</v>
      </c>
      <c r="B258" s="349" t="s">
        <v>842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171</v>
      </c>
      <c r="B260" s="359" t="s">
        <v>843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844</v>
      </c>
      <c r="C261" s="361">
        <f>C15+C42+C188+C221</f>
        <v>447560841</v>
      </c>
      <c r="D261" s="361">
        <f>LN_IA1+LN_IB1+LN_IF1+LN_IG1</f>
        <v>534788651</v>
      </c>
      <c r="E261" s="361">
        <f aca="true" t="shared" si="26" ref="E261:E274">D261-C261</f>
        <v>87227810</v>
      </c>
      <c r="F261" s="415">
        <f aca="true" t="shared" si="27" ref="F261:F274">IF(C261=0,0,E261/C261)</f>
        <v>0.19489598286817053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845</v>
      </c>
      <c r="C262" s="361">
        <f>C16+C43+C189+C222</f>
        <v>136928331</v>
      </c>
      <c r="D262" s="361">
        <f>+LN_IA2+LN_IB2+LN_IF2+LN_IG2</f>
        <v>150686144</v>
      </c>
      <c r="E262" s="361">
        <f t="shared" si="26"/>
        <v>13757813</v>
      </c>
      <c r="F262" s="415">
        <f t="shared" si="27"/>
        <v>0.10047455409355716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846</v>
      </c>
      <c r="C263" s="366">
        <f>IF(C261=0,0,C262/C261)</f>
        <v>0.3059435018802282</v>
      </c>
      <c r="D263" s="366">
        <f>IF(LN_IIA1=0,0,LN_IIA2/LN_IIA1)</f>
        <v>0.2817676547889196</v>
      </c>
      <c r="E263" s="367">
        <f t="shared" si="26"/>
        <v>-0.0241758470913086</v>
      </c>
      <c r="F263" s="371">
        <f t="shared" si="27"/>
        <v>-0.07902062617029547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847</v>
      </c>
      <c r="C264" s="369">
        <f>C18+C45+C191+C224</f>
        <v>14736</v>
      </c>
      <c r="D264" s="369">
        <f>LN_IA4+LN_IB4+LN_IF4+LN_IG3</f>
        <v>13916</v>
      </c>
      <c r="E264" s="369">
        <f t="shared" si="26"/>
        <v>-820</v>
      </c>
      <c r="F264" s="415">
        <f t="shared" si="27"/>
        <v>-0.05564603691639522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848</v>
      </c>
      <c r="C265" s="439">
        <f>IF(C264=0,0,C266/C264)</f>
        <v>1.3252491042345276</v>
      </c>
      <c r="D265" s="439">
        <f>IF(LN_IIA4=0,0,LN_IIA6/LN_IIA4)</f>
        <v>1.5293610951422822</v>
      </c>
      <c r="E265" s="439">
        <f t="shared" si="26"/>
        <v>0.20411199090775467</v>
      </c>
      <c r="F265" s="415">
        <f t="shared" si="27"/>
        <v>0.15401782974654496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849</v>
      </c>
      <c r="C266" s="376">
        <f>C20+C47+C193+C226</f>
        <v>19528.870799999997</v>
      </c>
      <c r="D266" s="376">
        <f>LN_IA6+LN_IB6+LN_IF6+LN_IG5</f>
        <v>21282.589</v>
      </c>
      <c r="E266" s="376">
        <f t="shared" si="26"/>
        <v>1753.718200000003</v>
      </c>
      <c r="F266" s="415">
        <f t="shared" si="27"/>
        <v>0.0898013109902905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850</v>
      </c>
      <c r="C267" s="361">
        <f>C27+C56+C203+C233</f>
        <v>262008277</v>
      </c>
      <c r="D267" s="361">
        <f>LN_IA11+LN_IB13+LN_IF14+LN_IG9</f>
        <v>310125616</v>
      </c>
      <c r="E267" s="361">
        <f t="shared" si="26"/>
        <v>48117339</v>
      </c>
      <c r="F267" s="415">
        <f t="shared" si="27"/>
        <v>0.18364816390895924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771</v>
      </c>
      <c r="C268" s="366">
        <f>IF(C261=0,0,C267/C261)</f>
        <v>0.5854137650080964</v>
      </c>
      <c r="D268" s="366">
        <f>IF(LN_IIA1=0,0,LN_IIA7/LN_IIA1)</f>
        <v>0.579903136351336</v>
      </c>
      <c r="E268" s="367">
        <f t="shared" si="26"/>
        <v>-0.005510628656760441</v>
      </c>
      <c r="F268" s="371">
        <f t="shared" si="27"/>
        <v>-0.009413220163492787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851</v>
      </c>
      <c r="C269" s="361">
        <f>C28+C57+C204+C234</f>
        <v>66557313</v>
      </c>
      <c r="D269" s="361">
        <f>LN_IA12+LN_IB14+LN_IF15+LN_IG10</f>
        <v>73061511</v>
      </c>
      <c r="E269" s="361">
        <f t="shared" si="26"/>
        <v>6504198</v>
      </c>
      <c r="F269" s="415">
        <f t="shared" si="27"/>
        <v>0.09772326596177343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770</v>
      </c>
      <c r="C270" s="366">
        <f>IF(C267=0,0,C269/C267)</f>
        <v>0.25402752066492923</v>
      </c>
      <c r="D270" s="366">
        <f>IF(LN_IIA7=0,0,LN_IIA9/LN_IIA7)</f>
        <v>0.23558683072474734</v>
      </c>
      <c r="E270" s="367">
        <f t="shared" si="26"/>
        <v>-0.018440689940181887</v>
      </c>
      <c r="F270" s="371">
        <f t="shared" si="27"/>
        <v>-0.07259327608249884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852</v>
      </c>
      <c r="C271" s="353">
        <f>C261+C267</f>
        <v>709569118</v>
      </c>
      <c r="D271" s="353">
        <f>LN_IIA1+LN_IIA7</f>
        <v>844914267</v>
      </c>
      <c r="E271" s="353">
        <f t="shared" si="26"/>
        <v>135345149</v>
      </c>
      <c r="F271" s="415">
        <f t="shared" si="27"/>
        <v>0.1907427276168465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853</v>
      </c>
      <c r="C272" s="353">
        <f>C262+C269</f>
        <v>203485644</v>
      </c>
      <c r="D272" s="353">
        <f>LN_IIA2+LN_IIA9</f>
        <v>223747655</v>
      </c>
      <c r="E272" s="353">
        <f t="shared" si="26"/>
        <v>20262011</v>
      </c>
      <c r="F272" s="415">
        <f t="shared" si="27"/>
        <v>0.0995746461602962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854</v>
      </c>
      <c r="C273" s="366">
        <f>IF(C271=0,0,C272/C271)</f>
        <v>0.2867735345832793</v>
      </c>
      <c r="D273" s="366">
        <f>IF(LN_IIA11=0,0,LN_IIA12/LN_IIA11)</f>
        <v>0.2648169923730262</v>
      </c>
      <c r="E273" s="367">
        <f t="shared" si="26"/>
        <v>-0.021956542210253116</v>
      </c>
      <c r="F273" s="371">
        <f t="shared" si="27"/>
        <v>-0.07656404640741671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296</v>
      </c>
      <c r="C274" s="421">
        <f>C22+C51+C198+C228</f>
        <v>70997</v>
      </c>
      <c r="D274" s="421">
        <f>LN_IA8+LN_IB10+LN_IF11+LN_IG6</f>
        <v>67682</v>
      </c>
      <c r="E274" s="442">
        <f t="shared" si="26"/>
        <v>-3315</v>
      </c>
      <c r="F274" s="371">
        <f t="shared" si="27"/>
        <v>-0.046692113751285264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183</v>
      </c>
      <c r="B276" s="359" t="s">
        <v>855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856</v>
      </c>
      <c r="C277" s="361">
        <f>C15+C188+C221</f>
        <v>317767614</v>
      </c>
      <c r="D277" s="361">
        <f>LN_IA1+LN_IF1+LN_IG1</f>
        <v>383748417</v>
      </c>
      <c r="E277" s="361">
        <f aca="true" t="shared" si="28" ref="E277:E291">D277-C277</f>
        <v>65980803</v>
      </c>
      <c r="F277" s="415">
        <f aca="true" t="shared" si="29" ref="F277:F291">IF(C277=0,0,E277/C277)</f>
        <v>0.2076385386460434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857</v>
      </c>
      <c r="C278" s="361">
        <f>C16+C189+C222</f>
        <v>90183028</v>
      </c>
      <c r="D278" s="361">
        <f>LN_IA2+LN_IF2+LN_IG2</f>
        <v>99060236</v>
      </c>
      <c r="E278" s="361">
        <f t="shared" si="28"/>
        <v>8877208</v>
      </c>
      <c r="F278" s="415">
        <f t="shared" si="29"/>
        <v>0.09843546171459223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858</v>
      </c>
      <c r="C279" s="366">
        <f>IF(C277=0,0,C278/C277)</f>
        <v>0.2838018225482223</v>
      </c>
      <c r="D279" s="366">
        <f>IF(D277=0,0,LN_IIB2/D277)</f>
        <v>0.2581384876435855</v>
      </c>
      <c r="E279" s="367">
        <f t="shared" si="28"/>
        <v>-0.025663334904636792</v>
      </c>
      <c r="F279" s="371">
        <f t="shared" si="29"/>
        <v>-0.09042695594485196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859</v>
      </c>
      <c r="C280" s="369">
        <f>C18+C191+C224</f>
        <v>9794</v>
      </c>
      <c r="D280" s="369">
        <f>LN_IA4+LN_IF4+LN_IG3</f>
        <v>9392</v>
      </c>
      <c r="E280" s="369">
        <f t="shared" si="28"/>
        <v>-402</v>
      </c>
      <c r="F280" s="415">
        <f t="shared" si="29"/>
        <v>-0.041045538084541554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860</v>
      </c>
      <c r="C281" s="439">
        <f>IF(C280=0,0,C282/C280)</f>
        <v>1.3922335919950988</v>
      </c>
      <c r="D281" s="439">
        <f>IF(LN_IIB4=0,0,LN_IIB6/LN_IIB4)</f>
        <v>1.6428999574105623</v>
      </c>
      <c r="E281" s="439">
        <f t="shared" si="28"/>
        <v>0.2506663654154635</v>
      </c>
      <c r="F281" s="415">
        <f t="shared" si="29"/>
        <v>0.18004619832240476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861</v>
      </c>
      <c r="C282" s="376">
        <f>C20+C193+C226</f>
        <v>13635.535799999998</v>
      </c>
      <c r="D282" s="376">
        <f>LN_IA6+LN_IF6+LN_IG5</f>
        <v>15430.1164</v>
      </c>
      <c r="E282" s="376">
        <f t="shared" si="28"/>
        <v>1794.580600000003</v>
      </c>
      <c r="F282" s="415">
        <f t="shared" si="29"/>
        <v>0.13161056714764396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862</v>
      </c>
      <c r="C283" s="361">
        <f>C27+C203+C233</f>
        <v>135079027</v>
      </c>
      <c r="D283" s="361">
        <f>LN_IA11+LN_IF14+LN_IG9</f>
        <v>165803890</v>
      </c>
      <c r="E283" s="361">
        <f t="shared" si="28"/>
        <v>30724863</v>
      </c>
      <c r="F283" s="415">
        <f t="shared" si="29"/>
        <v>0.2274584269843756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863</v>
      </c>
      <c r="C284" s="366">
        <f>IF(C277=0,0,C283/C277)</f>
        <v>0.425087457150369</v>
      </c>
      <c r="D284" s="366">
        <f>IF(D277=0,0,LN_IIB7/D277)</f>
        <v>0.43206403637099566</v>
      </c>
      <c r="E284" s="367">
        <f t="shared" si="28"/>
        <v>0.006976579220626666</v>
      </c>
      <c r="F284" s="371">
        <f t="shared" si="29"/>
        <v>0.01641210321140761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864</v>
      </c>
      <c r="C285" s="361">
        <f>C28+C204+C234</f>
        <v>26715527</v>
      </c>
      <c r="D285" s="361">
        <f>LN_IA12+LN_IF15+LN_IG10</f>
        <v>31169746</v>
      </c>
      <c r="E285" s="361">
        <f t="shared" si="28"/>
        <v>4454219</v>
      </c>
      <c r="F285" s="415">
        <f t="shared" si="29"/>
        <v>0.16672772354443915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865</v>
      </c>
      <c r="C286" s="366">
        <f>IF(C283=0,0,C285/C283)</f>
        <v>0.19777701685695442</v>
      </c>
      <c r="D286" s="366">
        <f>IF(LN_IIB7=0,0,LN_IIB9/LN_IIB7)</f>
        <v>0.18799164482811592</v>
      </c>
      <c r="E286" s="367">
        <f t="shared" si="28"/>
        <v>-0.009785372028838502</v>
      </c>
      <c r="F286" s="371">
        <f t="shared" si="29"/>
        <v>-0.04947679050046516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866</v>
      </c>
      <c r="C287" s="353">
        <f>C277+C283</f>
        <v>452846641</v>
      </c>
      <c r="D287" s="353">
        <f>D277+LN_IIB7</f>
        <v>549552307</v>
      </c>
      <c r="E287" s="353">
        <f t="shared" si="28"/>
        <v>96705666</v>
      </c>
      <c r="F287" s="415">
        <f t="shared" si="29"/>
        <v>0.21355058698558393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867</v>
      </c>
      <c r="C288" s="353">
        <f>C278+C285</f>
        <v>116898555</v>
      </c>
      <c r="D288" s="353">
        <f>LN_IIB2+LN_IIB9</f>
        <v>130229982</v>
      </c>
      <c r="E288" s="353">
        <f t="shared" si="28"/>
        <v>13331427</v>
      </c>
      <c r="F288" s="415">
        <f t="shared" si="29"/>
        <v>0.11404270138326346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868</v>
      </c>
      <c r="C289" s="366">
        <f>IF(C287=0,0,C288/C287)</f>
        <v>0.2581415967707266</v>
      </c>
      <c r="D289" s="366">
        <f>IF(LN_IIB11=0,0,LN_IIB12/LN_IIB11)</f>
        <v>0.23697467982788398</v>
      </c>
      <c r="E289" s="367">
        <f t="shared" si="28"/>
        <v>-0.021166916942842645</v>
      </c>
      <c r="F289" s="371">
        <f t="shared" si="29"/>
        <v>-0.0819973115826135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296</v>
      </c>
      <c r="C290" s="421">
        <f>C22+C198+C228</f>
        <v>53245</v>
      </c>
      <c r="D290" s="421">
        <f>LN_IA8+LN_IF11+LN_IG6</f>
        <v>51314</v>
      </c>
      <c r="E290" s="442">
        <f t="shared" si="28"/>
        <v>-1931</v>
      </c>
      <c r="F290" s="371">
        <f t="shared" si="29"/>
        <v>-0.036266316086017464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869</v>
      </c>
      <c r="C291" s="361">
        <f>C287-C288</f>
        <v>335948086</v>
      </c>
      <c r="D291" s="429">
        <f>LN_IIB11-LN_IIB12</f>
        <v>419322325</v>
      </c>
      <c r="E291" s="353">
        <f t="shared" si="28"/>
        <v>83374239</v>
      </c>
      <c r="F291" s="415">
        <f t="shared" si="29"/>
        <v>0.24817596073459994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193</v>
      </c>
      <c r="B293" s="358" t="s">
        <v>766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757</v>
      </c>
      <c r="C294" s="379">
        <f>IF(C18=0,0,C22/C18)</f>
        <v>6.023758757234237</v>
      </c>
      <c r="D294" s="379">
        <f>IF(LN_IA4=0,0,LN_IA8/LN_IA4)</f>
        <v>5.946274630541872</v>
      </c>
      <c r="E294" s="379">
        <f aca="true" t="shared" si="30" ref="E294:E300">D294-C294</f>
        <v>-0.07748412669236515</v>
      </c>
      <c r="F294" s="415">
        <f aca="true" t="shared" si="31" ref="F294:F300">IF(C294=0,0,E294/C294)</f>
        <v>-0.012863085959295853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778</v>
      </c>
      <c r="C295" s="379">
        <f>IF(C45=0,0,C51/C45)</f>
        <v>3.592067988668555</v>
      </c>
      <c r="D295" s="379">
        <f>IF(LN_IB4=0,0,(LN_IB10)/(LN_IB4))</f>
        <v>3.618037135278515</v>
      </c>
      <c r="E295" s="379">
        <f t="shared" si="30"/>
        <v>0.025969146609959637</v>
      </c>
      <c r="F295" s="415">
        <f t="shared" si="31"/>
        <v>0.007229581035737975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793</v>
      </c>
      <c r="C296" s="379">
        <f>IF(C86=0,0,C93/C86)</f>
        <v>4.208955223880597</v>
      </c>
      <c r="D296" s="379">
        <f>IF(LN_IC4=0,0,LN_IC11/LN_IC4)</f>
        <v>4.324528301886793</v>
      </c>
      <c r="E296" s="379">
        <f t="shared" si="30"/>
        <v>0.11557307800619565</v>
      </c>
      <c r="F296" s="415">
        <f t="shared" si="31"/>
        <v>0.027458851866720244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271</v>
      </c>
      <c r="C297" s="379">
        <f>IF(C121=0,0,C128/C121)</f>
        <v>4.082051282051282</v>
      </c>
      <c r="D297" s="379">
        <f>IF(LN_ID4=0,0,LN_ID11/LN_ID4)</f>
        <v>4.207786711807025</v>
      </c>
      <c r="E297" s="379">
        <f t="shared" si="30"/>
        <v>0.1257354297557436</v>
      </c>
      <c r="F297" s="415">
        <f t="shared" si="31"/>
        <v>0.030802021108505027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870</v>
      </c>
      <c r="C298" s="379">
        <f>IF(C156=0,0,C163/C156)</f>
        <v>5.166666666666667</v>
      </c>
      <c r="D298" s="379">
        <f>IF(LN_IE4=0,0,LN_IE11/LN_IE4)</f>
        <v>5.0675675675675675</v>
      </c>
      <c r="E298" s="379">
        <f t="shared" si="30"/>
        <v>-0.09909909909909942</v>
      </c>
      <c r="F298" s="415">
        <f t="shared" si="31"/>
        <v>-0.01918047079337408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575</v>
      </c>
      <c r="C299" s="379">
        <f>IF(C224=0,0,C228/C224)</f>
        <v>3.1666666666666665</v>
      </c>
      <c r="D299" s="379">
        <f>IF(LN_IG3=0,0,LN_IG6/LN_IG3)</f>
        <v>7.933333333333334</v>
      </c>
      <c r="E299" s="379">
        <f t="shared" si="30"/>
        <v>4.7666666666666675</v>
      </c>
      <c r="F299" s="415">
        <f t="shared" si="31"/>
        <v>1.505263157894737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871</v>
      </c>
      <c r="C300" s="379">
        <f>IF(C264=0,0,C274/C264)</f>
        <v>4.81792888165038</v>
      </c>
      <c r="D300" s="379">
        <f>IF(LN_IIA4=0,0,LN_IIA14/LN_IIA4)</f>
        <v>4.863610232825525</v>
      </c>
      <c r="E300" s="379">
        <f t="shared" si="30"/>
        <v>0.045681351175145046</v>
      </c>
      <c r="F300" s="415">
        <f t="shared" si="31"/>
        <v>0.009481532894586215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292</v>
      </c>
      <c r="B302" s="446" t="s">
        <v>872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866</v>
      </c>
      <c r="C304" s="353">
        <f>C35+C66+C214+C221+C233</f>
        <v>709569118</v>
      </c>
      <c r="D304" s="353">
        <f>LN_IIA11</f>
        <v>844914267</v>
      </c>
      <c r="E304" s="353">
        <f aca="true" t="shared" si="32" ref="E304:E316">D304-C304</f>
        <v>135345149</v>
      </c>
      <c r="F304" s="362">
        <f>IF(C304=0,0,E304/C304)</f>
        <v>0.1907427276168465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869</v>
      </c>
      <c r="C305" s="353">
        <f>C291</f>
        <v>335948086</v>
      </c>
      <c r="D305" s="353">
        <f>LN_IIB14</f>
        <v>419322325</v>
      </c>
      <c r="E305" s="353">
        <f t="shared" si="32"/>
        <v>83374239</v>
      </c>
      <c r="F305" s="362">
        <f>IF(C305=0,0,E305/C305)</f>
        <v>0.24817596073459994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873</v>
      </c>
      <c r="C306" s="353">
        <f>C250</f>
        <v>20306507</v>
      </c>
      <c r="D306" s="353">
        <f>LN_IH6</f>
        <v>16129408</v>
      </c>
      <c r="E306" s="353">
        <f t="shared" si="32"/>
        <v>-4177099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874</v>
      </c>
      <c r="C307" s="353">
        <f>C73-C74</f>
        <v>149828883</v>
      </c>
      <c r="D307" s="353">
        <f>LN_IB32-LN_IB33</f>
        <v>185714877</v>
      </c>
      <c r="E307" s="353">
        <f t="shared" si="32"/>
        <v>35885994</v>
      </c>
      <c r="F307" s="362">
        <f aca="true" t="shared" si="33" ref="F307:F316">IF(C307=0,0,E307/C307)</f>
        <v>0.23951319185900893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875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876</v>
      </c>
      <c r="C309" s="353">
        <f>C305+C307+C308+C306</f>
        <v>506083476</v>
      </c>
      <c r="D309" s="353">
        <f>LN_III2+LN_III3+LN_III4+LN_III5</f>
        <v>621166610</v>
      </c>
      <c r="E309" s="353">
        <f t="shared" si="32"/>
        <v>115083134</v>
      </c>
      <c r="F309" s="362">
        <f t="shared" si="33"/>
        <v>0.2273995090881015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877</v>
      </c>
      <c r="C310" s="353">
        <f>C304-C309</f>
        <v>203485642</v>
      </c>
      <c r="D310" s="353">
        <f>LN_III1-LN_III6</f>
        <v>223747657</v>
      </c>
      <c r="E310" s="353">
        <f t="shared" si="32"/>
        <v>20262015</v>
      </c>
      <c r="F310" s="362">
        <f t="shared" si="33"/>
        <v>0.09957466679639244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878</v>
      </c>
      <c r="C311" s="353">
        <f>C245</f>
        <v>1605901</v>
      </c>
      <c r="D311" s="353">
        <f>LN_IH3</f>
        <v>1753777</v>
      </c>
      <c r="E311" s="353">
        <f t="shared" si="32"/>
        <v>147876</v>
      </c>
      <c r="F311" s="362">
        <f t="shared" si="33"/>
        <v>0.09208288680310928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879</v>
      </c>
      <c r="C312" s="353">
        <f>C310+C311</f>
        <v>205091543</v>
      </c>
      <c r="D312" s="353">
        <f>LN_III7+LN_III8</f>
        <v>225501434</v>
      </c>
      <c r="E312" s="353">
        <f t="shared" si="32"/>
        <v>20409891</v>
      </c>
      <c r="F312" s="362">
        <f t="shared" si="33"/>
        <v>0.0995160049090859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880</v>
      </c>
      <c r="C313" s="448">
        <f>IF(C304=0,0,C312/C304)</f>
        <v>0.28903673764449256</v>
      </c>
      <c r="D313" s="448">
        <f>IF(LN_III1=0,0,LN_III9/LN_III1)</f>
        <v>0.2668926810771915</v>
      </c>
      <c r="E313" s="448">
        <f t="shared" si="32"/>
        <v>-0.022144056567301063</v>
      </c>
      <c r="F313" s="362">
        <f t="shared" si="33"/>
        <v>-0.07661329403232353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838</v>
      </c>
      <c r="C314" s="353">
        <f>C306*C313</f>
        <v>5869326.536235051</v>
      </c>
      <c r="D314" s="353">
        <f>D313*LN_III5</f>
        <v>4304820.945307901</v>
      </c>
      <c r="E314" s="353">
        <f t="shared" si="32"/>
        <v>-1564505.59092715</v>
      </c>
      <c r="F314" s="362">
        <f t="shared" si="33"/>
        <v>-0.26655623626807456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841</v>
      </c>
      <c r="C315" s="353">
        <f>(C214*C313)-C215</f>
        <v>12731086.506987087</v>
      </c>
      <c r="D315" s="353">
        <f>D313*LN_IH8-LN_IH9</f>
        <v>13751722.165912598</v>
      </c>
      <c r="E315" s="353">
        <f t="shared" si="32"/>
        <v>1020635.658925511</v>
      </c>
      <c r="F315" s="362">
        <f t="shared" si="33"/>
        <v>0.08016877886780242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881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882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883</v>
      </c>
      <c r="C318" s="353">
        <f>C314+C315+C316</f>
        <v>18600413.043222137</v>
      </c>
      <c r="D318" s="353">
        <f>D314+D315+D316</f>
        <v>18056543.1112205</v>
      </c>
      <c r="E318" s="353">
        <f>D318-C318</f>
        <v>-543869.9320016354</v>
      </c>
      <c r="F318" s="362">
        <f>IF(C318=0,0,E318/C318)</f>
        <v>-0.029239669610445447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301</v>
      </c>
      <c r="B320" s="445" t="s">
        <v>884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271</v>
      </c>
      <c r="C322" s="353">
        <f>C141</f>
        <v>11733331.216047542</v>
      </c>
      <c r="D322" s="353">
        <f>LN_ID22</f>
        <v>11311560.705451667</v>
      </c>
      <c r="E322" s="353">
        <f>LN_IV2-C322</f>
        <v>-421770.51059587486</v>
      </c>
      <c r="F322" s="362">
        <f>IF(C322=0,0,E322/C322)</f>
        <v>-0.035946356821413526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870</v>
      </c>
      <c r="C323" s="353">
        <f>C162+C176</f>
        <v>5380320.037531403</v>
      </c>
      <c r="D323" s="353">
        <f>LN_IE10+LN_IE22</f>
        <v>6048833.187660262</v>
      </c>
      <c r="E323" s="353">
        <f>LN_IV3-C323</f>
        <v>668513.1501288591</v>
      </c>
      <c r="F323" s="362">
        <f>IF(C323=0,0,E323/C323)</f>
        <v>0.12425155854401296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885</v>
      </c>
      <c r="C324" s="353">
        <f>C92+C106</f>
        <v>4953392.146573008</v>
      </c>
      <c r="D324" s="353">
        <f>LN_IC10+LN_IC22</f>
        <v>1052299.434864835</v>
      </c>
      <c r="E324" s="353">
        <f>LN_IV1-C324</f>
        <v>-3901092.711708173</v>
      </c>
      <c r="F324" s="362">
        <f>IF(C324=0,0,E324/C324)</f>
        <v>-0.7875598370315047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886</v>
      </c>
      <c r="C325" s="429">
        <f>C324+C322+C323</f>
        <v>22067043.400151953</v>
      </c>
      <c r="D325" s="429">
        <f>LN_IV1+LN_IV2+LN_IV3</f>
        <v>18412693.327976763</v>
      </c>
      <c r="E325" s="353">
        <f>LN_IV4-C325</f>
        <v>-3654350.07217519</v>
      </c>
      <c r="F325" s="362">
        <f>IF(C325=0,0,E325/C325)</f>
        <v>-0.16560216091975538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887</v>
      </c>
      <c r="B327" s="446" t="s">
        <v>888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889</v>
      </c>
      <c r="C329" s="431">
        <v>0</v>
      </c>
      <c r="D329" s="431">
        <v>0</v>
      </c>
      <c r="E329" s="431">
        <f aca="true" t="shared" si="34" ref="E329:E335">D329-C329</f>
        <v>0</v>
      </c>
      <c r="F329" s="462">
        <f aca="true" t="shared" si="35" ref="F329:F335">IF(C329=0,0,E329/C329)</f>
        <v>0</v>
      </c>
    </row>
    <row r="330" spans="1:6" s="333" customFormat="1" ht="11.25" customHeight="1">
      <c r="A330" s="364">
        <v>2</v>
      </c>
      <c r="B330" s="360" t="s">
        <v>890</v>
      </c>
      <c r="C330" s="429">
        <v>17864548</v>
      </c>
      <c r="D330" s="429">
        <v>14427091</v>
      </c>
      <c r="E330" s="431">
        <f t="shared" si="34"/>
        <v>-3437457</v>
      </c>
      <c r="F330" s="463">
        <f t="shared" si="35"/>
        <v>-0.1924177986479143</v>
      </c>
    </row>
    <row r="331" spans="1:6" s="333" customFormat="1" ht="11.25" customHeight="1">
      <c r="A331" s="339">
        <v>3</v>
      </c>
      <c r="B331" s="360" t="s">
        <v>891</v>
      </c>
      <c r="C331" s="429">
        <v>222956090</v>
      </c>
      <c r="D331" s="429">
        <v>239928524</v>
      </c>
      <c r="E331" s="431">
        <f t="shared" si="34"/>
        <v>16972434</v>
      </c>
      <c r="F331" s="462">
        <f t="shared" si="35"/>
        <v>0.07612455887614462</v>
      </c>
    </row>
    <row r="332" spans="1:6" s="333" customFormat="1" ht="11.25" customHeight="1">
      <c r="A332" s="364">
        <v>4</v>
      </c>
      <c r="B332" s="360" t="s">
        <v>892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893</v>
      </c>
      <c r="C333" s="429">
        <v>709569118</v>
      </c>
      <c r="D333" s="429">
        <v>844914262</v>
      </c>
      <c r="E333" s="431">
        <f t="shared" si="34"/>
        <v>135345144</v>
      </c>
      <c r="F333" s="462">
        <f t="shared" si="35"/>
        <v>0.1907427205703166</v>
      </c>
    </row>
    <row r="334" spans="1:6" s="333" customFormat="1" ht="11.25" customHeight="1">
      <c r="A334" s="339">
        <v>6</v>
      </c>
      <c r="B334" s="360" t="s">
        <v>894</v>
      </c>
      <c r="C334" s="429">
        <v>1367749</v>
      </c>
      <c r="D334" s="429">
        <v>1463750</v>
      </c>
      <c r="E334" s="429">
        <f t="shared" si="34"/>
        <v>96001</v>
      </c>
      <c r="F334" s="463">
        <f t="shared" si="35"/>
        <v>0.07018904784430477</v>
      </c>
    </row>
    <row r="335" spans="1:6" s="333" customFormat="1" ht="11.25" customHeight="1">
      <c r="A335" s="364">
        <v>7</v>
      </c>
      <c r="B335" s="360" t="s">
        <v>895</v>
      </c>
      <c r="C335" s="429">
        <v>21674256</v>
      </c>
      <c r="D335" s="429">
        <v>17593158</v>
      </c>
      <c r="E335" s="429">
        <f t="shared" si="34"/>
        <v>-4081098</v>
      </c>
      <c r="F335" s="462">
        <f t="shared" si="35"/>
        <v>-0.1882924147430943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FILING&amp;RWATERBURY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157</v>
      </c>
      <c r="B2" s="710"/>
      <c r="C2" s="710"/>
      <c r="D2" s="710"/>
      <c r="E2" s="710"/>
    </row>
    <row r="3" spans="1:5" s="338" customFormat="1" ht="15.75" customHeight="1">
      <c r="A3" s="709" t="s">
        <v>748</v>
      </c>
      <c r="B3" s="709"/>
      <c r="C3" s="709"/>
      <c r="D3" s="709"/>
      <c r="E3" s="709"/>
    </row>
    <row r="4" spans="1:5" s="338" customFormat="1" ht="15.75" customHeight="1">
      <c r="A4" s="709" t="s">
        <v>159</v>
      </c>
      <c r="B4" s="709"/>
      <c r="C4" s="709"/>
      <c r="D4" s="709"/>
      <c r="E4" s="709"/>
    </row>
    <row r="5" spans="1:5" s="338" customFormat="1" ht="15.75" customHeight="1">
      <c r="A5" s="709" t="s">
        <v>896</v>
      </c>
      <c r="B5" s="709"/>
      <c r="C5" s="709"/>
      <c r="D5" s="709"/>
      <c r="E5" s="709"/>
    </row>
    <row r="6" spans="1:5" s="338" customFormat="1" ht="15.75" customHeight="1">
      <c r="A6" s="709" t="s">
        <v>897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165</v>
      </c>
      <c r="B9" s="493" t="s">
        <v>166</v>
      </c>
      <c r="C9" s="494" t="s">
        <v>898</v>
      </c>
      <c r="D9" s="494" t="s">
        <v>899</v>
      </c>
      <c r="E9" s="495" t="s">
        <v>900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169</v>
      </c>
      <c r="B11" s="501" t="s">
        <v>901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171</v>
      </c>
      <c r="B13" s="509" t="s">
        <v>902</v>
      </c>
      <c r="C13" s="510"/>
      <c r="D13" s="340"/>
      <c r="E13" s="511"/>
    </row>
    <row r="14" spans="1:5" s="506" customFormat="1" ht="12.75">
      <c r="A14" s="512">
        <v>1</v>
      </c>
      <c r="B14" s="511" t="s">
        <v>778</v>
      </c>
      <c r="C14" s="513">
        <v>129793227</v>
      </c>
      <c r="D14" s="513">
        <v>151040234</v>
      </c>
      <c r="E14" s="514">
        <f aca="true" t="shared" si="0" ref="E14:E22">D14-C14</f>
        <v>21247007</v>
      </c>
    </row>
    <row r="15" spans="1:5" s="506" customFormat="1" ht="12.75">
      <c r="A15" s="512">
        <v>2</v>
      </c>
      <c r="B15" s="511" t="s">
        <v>757</v>
      </c>
      <c r="C15" s="513">
        <v>252567230</v>
      </c>
      <c r="D15" s="515">
        <v>306685830</v>
      </c>
      <c r="E15" s="514">
        <f t="shared" si="0"/>
        <v>54118600</v>
      </c>
    </row>
    <row r="16" spans="1:5" s="506" customFormat="1" ht="12.75">
      <c r="A16" s="512">
        <v>3</v>
      </c>
      <c r="B16" s="511" t="s">
        <v>903</v>
      </c>
      <c r="C16" s="513">
        <v>64925390</v>
      </c>
      <c r="D16" s="515">
        <v>76259575</v>
      </c>
      <c r="E16" s="514">
        <f t="shared" si="0"/>
        <v>11334185</v>
      </c>
    </row>
    <row r="17" spans="1:5" s="506" customFormat="1" ht="12.75">
      <c r="A17" s="512">
        <v>4</v>
      </c>
      <c r="B17" s="511" t="s">
        <v>271</v>
      </c>
      <c r="C17" s="513">
        <v>50829292</v>
      </c>
      <c r="D17" s="515">
        <v>56278557</v>
      </c>
      <c r="E17" s="514">
        <f t="shared" si="0"/>
        <v>5449265</v>
      </c>
    </row>
    <row r="18" spans="1:5" s="506" customFormat="1" ht="12.75">
      <c r="A18" s="512">
        <v>5</v>
      </c>
      <c r="B18" s="511" t="s">
        <v>870</v>
      </c>
      <c r="C18" s="513">
        <v>14096098</v>
      </c>
      <c r="D18" s="515">
        <v>19981018</v>
      </c>
      <c r="E18" s="514">
        <f t="shared" si="0"/>
        <v>5884920</v>
      </c>
    </row>
    <row r="19" spans="1:5" s="506" customFormat="1" ht="12.75">
      <c r="A19" s="512">
        <v>6</v>
      </c>
      <c r="B19" s="511" t="s">
        <v>575</v>
      </c>
      <c r="C19" s="513">
        <v>274994</v>
      </c>
      <c r="D19" s="515">
        <v>803012</v>
      </c>
      <c r="E19" s="514">
        <f t="shared" si="0"/>
        <v>528018</v>
      </c>
    </row>
    <row r="20" spans="1:5" s="506" customFormat="1" ht="12.75">
      <c r="A20" s="512">
        <v>7</v>
      </c>
      <c r="B20" s="511" t="s">
        <v>885</v>
      </c>
      <c r="C20" s="513">
        <v>9188200</v>
      </c>
      <c r="D20" s="515">
        <v>8867028</v>
      </c>
      <c r="E20" s="514">
        <f t="shared" si="0"/>
        <v>-321172</v>
      </c>
    </row>
    <row r="21" spans="1:5" s="506" customFormat="1" ht="12.75">
      <c r="A21" s="512"/>
      <c r="B21" s="516" t="s">
        <v>904</v>
      </c>
      <c r="C21" s="517">
        <f>SUM(C15+C16+C19)</f>
        <v>317767614</v>
      </c>
      <c r="D21" s="517">
        <f>SUM(D15+D16+D19)</f>
        <v>383748417</v>
      </c>
      <c r="E21" s="517">
        <f t="shared" si="0"/>
        <v>65980803</v>
      </c>
    </row>
    <row r="22" spans="1:5" s="506" customFormat="1" ht="12.75">
      <c r="A22" s="512"/>
      <c r="B22" s="516" t="s">
        <v>844</v>
      </c>
      <c r="C22" s="517">
        <f>SUM(C14+C21)</f>
        <v>447560841</v>
      </c>
      <c r="D22" s="517">
        <f>SUM(D14+D21)</f>
        <v>534788651</v>
      </c>
      <c r="E22" s="517">
        <f t="shared" si="0"/>
        <v>87227810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183</v>
      </c>
      <c r="B24" s="509" t="s">
        <v>905</v>
      </c>
      <c r="C24" s="511"/>
      <c r="D24" s="511"/>
      <c r="E24" s="511"/>
    </row>
    <row r="25" spans="1:5" s="506" customFormat="1" ht="12.75">
      <c r="A25" s="512">
        <v>1</v>
      </c>
      <c r="B25" s="511" t="s">
        <v>778</v>
      </c>
      <c r="C25" s="513">
        <v>126929250</v>
      </c>
      <c r="D25" s="513">
        <v>144321726</v>
      </c>
      <c r="E25" s="514">
        <f aca="true" t="shared" si="1" ref="E25:E33">D25-C25</f>
        <v>17392476</v>
      </c>
    </row>
    <row r="26" spans="1:5" s="506" customFormat="1" ht="12.75">
      <c r="A26" s="512">
        <v>2</v>
      </c>
      <c r="B26" s="511" t="s">
        <v>757</v>
      </c>
      <c r="C26" s="513">
        <v>80170672</v>
      </c>
      <c r="D26" s="515">
        <v>98041033</v>
      </c>
      <c r="E26" s="514">
        <f t="shared" si="1"/>
        <v>17870361</v>
      </c>
    </row>
    <row r="27" spans="1:5" s="506" customFormat="1" ht="12.75">
      <c r="A27" s="512">
        <v>3</v>
      </c>
      <c r="B27" s="511" t="s">
        <v>903</v>
      </c>
      <c r="C27" s="513">
        <v>54590111</v>
      </c>
      <c r="D27" s="515">
        <v>67298967</v>
      </c>
      <c r="E27" s="514">
        <f t="shared" si="1"/>
        <v>12708856</v>
      </c>
    </row>
    <row r="28" spans="1:5" s="506" customFormat="1" ht="12.75">
      <c r="A28" s="512">
        <v>4</v>
      </c>
      <c r="B28" s="511" t="s">
        <v>271</v>
      </c>
      <c r="C28" s="513">
        <v>42735799</v>
      </c>
      <c r="D28" s="515">
        <v>51257026</v>
      </c>
      <c r="E28" s="514">
        <f t="shared" si="1"/>
        <v>8521227</v>
      </c>
    </row>
    <row r="29" spans="1:5" s="506" customFormat="1" ht="12.75">
      <c r="A29" s="512">
        <v>5</v>
      </c>
      <c r="B29" s="511" t="s">
        <v>870</v>
      </c>
      <c r="C29" s="513">
        <v>11854312</v>
      </c>
      <c r="D29" s="515">
        <v>16041941</v>
      </c>
      <c r="E29" s="514">
        <f t="shared" si="1"/>
        <v>4187629</v>
      </c>
    </row>
    <row r="30" spans="1:5" s="506" customFormat="1" ht="12.75">
      <c r="A30" s="512">
        <v>6</v>
      </c>
      <c r="B30" s="511" t="s">
        <v>575</v>
      </c>
      <c r="C30" s="513">
        <v>318244</v>
      </c>
      <c r="D30" s="515">
        <v>463890</v>
      </c>
      <c r="E30" s="514">
        <f t="shared" si="1"/>
        <v>145646</v>
      </c>
    </row>
    <row r="31" spans="1:5" s="506" customFormat="1" ht="12.75">
      <c r="A31" s="512">
        <v>7</v>
      </c>
      <c r="B31" s="511" t="s">
        <v>885</v>
      </c>
      <c r="C31" s="514">
        <v>10405866</v>
      </c>
      <c r="D31" s="518">
        <v>11129535</v>
      </c>
      <c r="E31" s="514">
        <f t="shared" si="1"/>
        <v>723669</v>
      </c>
    </row>
    <row r="32" spans="1:5" s="506" customFormat="1" ht="12.75">
      <c r="A32" s="512"/>
      <c r="B32" s="516" t="s">
        <v>906</v>
      </c>
      <c r="C32" s="517">
        <f>SUM(C26+C27+C30)</f>
        <v>135079027</v>
      </c>
      <c r="D32" s="517">
        <f>SUM(D26+D27+D30)</f>
        <v>165803890</v>
      </c>
      <c r="E32" s="517">
        <f t="shared" si="1"/>
        <v>30724863</v>
      </c>
    </row>
    <row r="33" spans="1:5" s="506" customFormat="1" ht="12.75">
      <c r="A33" s="512"/>
      <c r="B33" s="516" t="s">
        <v>850</v>
      </c>
      <c r="C33" s="517">
        <f>SUM(C25+C32)</f>
        <v>262008277</v>
      </c>
      <c r="D33" s="517">
        <f>SUM(D25+D32)</f>
        <v>310125616</v>
      </c>
      <c r="E33" s="517">
        <f t="shared" si="1"/>
        <v>48117339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193</v>
      </c>
      <c r="B35" s="509" t="s">
        <v>775</v>
      </c>
      <c r="C35" s="514"/>
      <c r="D35" s="514"/>
      <c r="E35" s="511"/>
    </row>
    <row r="36" spans="1:5" s="506" customFormat="1" ht="12.75">
      <c r="A36" s="512">
        <v>1</v>
      </c>
      <c r="B36" s="511" t="s">
        <v>907</v>
      </c>
      <c r="C36" s="514">
        <f aca="true" t="shared" si="2" ref="C36:D42">C14+C25</f>
        <v>256722477</v>
      </c>
      <c r="D36" s="514">
        <f t="shared" si="2"/>
        <v>295361960</v>
      </c>
      <c r="E36" s="514">
        <f aca="true" t="shared" si="3" ref="E36:E44">D36-C36</f>
        <v>38639483</v>
      </c>
    </row>
    <row r="37" spans="1:5" s="506" customFormat="1" ht="12.75">
      <c r="A37" s="512">
        <v>2</v>
      </c>
      <c r="B37" s="511" t="s">
        <v>908</v>
      </c>
      <c r="C37" s="514">
        <f t="shared" si="2"/>
        <v>332737902</v>
      </c>
      <c r="D37" s="514">
        <f t="shared" si="2"/>
        <v>404726863</v>
      </c>
      <c r="E37" s="514">
        <f t="shared" si="3"/>
        <v>71988961</v>
      </c>
    </row>
    <row r="38" spans="1:5" s="506" customFormat="1" ht="12.75">
      <c r="A38" s="512">
        <v>3</v>
      </c>
      <c r="B38" s="511" t="s">
        <v>909</v>
      </c>
      <c r="C38" s="514">
        <f t="shared" si="2"/>
        <v>119515501</v>
      </c>
      <c r="D38" s="514">
        <f t="shared" si="2"/>
        <v>143558542</v>
      </c>
      <c r="E38" s="514">
        <f t="shared" si="3"/>
        <v>24043041</v>
      </c>
    </row>
    <row r="39" spans="1:5" s="506" customFormat="1" ht="12.75">
      <c r="A39" s="512">
        <v>4</v>
      </c>
      <c r="B39" s="511" t="s">
        <v>910</v>
      </c>
      <c r="C39" s="514">
        <f t="shared" si="2"/>
        <v>93565091</v>
      </c>
      <c r="D39" s="514">
        <f t="shared" si="2"/>
        <v>107535583</v>
      </c>
      <c r="E39" s="514">
        <f t="shared" si="3"/>
        <v>13970492</v>
      </c>
    </row>
    <row r="40" spans="1:5" s="506" customFormat="1" ht="12.75">
      <c r="A40" s="512">
        <v>5</v>
      </c>
      <c r="B40" s="511" t="s">
        <v>911</v>
      </c>
      <c r="C40" s="514">
        <f t="shared" si="2"/>
        <v>25950410</v>
      </c>
      <c r="D40" s="514">
        <f t="shared" si="2"/>
        <v>36022959</v>
      </c>
      <c r="E40" s="514">
        <f t="shared" si="3"/>
        <v>10072549</v>
      </c>
    </row>
    <row r="41" spans="1:5" s="506" customFormat="1" ht="12.75">
      <c r="A41" s="512">
        <v>6</v>
      </c>
      <c r="B41" s="511" t="s">
        <v>912</v>
      </c>
      <c r="C41" s="514">
        <f t="shared" si="2"/>
        <v>593238</v>
      </c>
      <c r="D41" s="514">
        <f t="shared" si="2"/>
        <v>1266902</v>
      </c>
      <c r="E41" s="514">
        <f t="shared" si="3"/>
        <v>673664</v>
      </c>
    </row>
    <row r="42" spans="1:5" s="506" customFormat="1" ht="12.75">
      <c r="A42" s="512">
        <v>7</v>
      </c>
      <c r="B42" s="511" t="s">
        <v>913</v>
      </c>
      <c r="C42" s="514">
        <f t="shared" si="2"/>
        <v>19594066</v>
      </c>
      <c r="D42" s="514">
        <f t="shared" si="2"/>
        <v>19996563</v>
      </c>
      <c r="E42" s="514">
        <f t="shared" si="3"/>
        <v>402497</v>
      </c>
    </row>
    <row r="43" spans="1:5" s="506" customFormat="1" ht="12.75">
      <c r="A43" s="512"/>
      <c r="B43" s="516" t="s">
        <v>914</v>
      </c>
      <c r="C43" s="517">
        <f>SUM(C37+C38+C41)</f>
        <v>452846641</v>
      </c>
      <c r="D43" s="517">
        <f>SUM(D37+D38+D41)</f>
        <v>549552307</v>
      </c>
      <c r="E43" s="517">
        <f t="shared" si="3"/>
        <v>96705666</v>
      </c>
    </row>
    <row r="44" spans="1:5" s="506" customFormat="1" ht="12.75">
      <c r="A44" s="512"/>
      <c r="B44" s="516" t="s">
        <v>852</v>
      </c>
      <c r="C44" s="517">
        <f>SUM(C36+C43)</f>
        <v>709569118</v>
      </c>
      <c r="D44" s="517">
        <f>SUM(D36+D43)</f>
        <v>844914267</v>
      </c>
      <c r="E44" s="517">
        <f t="shared" si="3"/>
        <v>135345149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478</v>
      </c>
      <c r="B46" s="509" t="s">
        <v>915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778</v>
      </c>
      <c r="C47" s="513">
        <v>46745303</v>
      </c>
      <c r="D47" s="513">
        <v>51625908</v>
      </c>
      <c r="E47" s="514">
        <f aca="true" t="shared" si="4" ref="E47:E55">D47-C47</f>
        <v>4880605</v>
      </c>
    </row>
    <row r="48" spans="1:5" s="506" customFormat="1" ht="12.75">
      <c r="A48" s="512">
        <v>2</v>
      </c>
      <c r="B48" s="511" t="s">
        <v>757</v>
      </c>
      <c r="C48" s="513">
        <v>77196884</v>
      </c>
      <c r="D48" s="515">
        <v>85316492</v>
      </c>
      <c r="E48" s="514">
        <f t="shared" si="4"/>
        <v>8119608</v>
      </c>
    </row>
    <row r="49" spans="1:5" s="506" customFormat="1" ht="12.75">
      <c r="A49" s="512">
        <v>3</v>
      </c>
      <c r="B49" s="511" t="s">
        <v>903</v>
      </c>
      <c r="C49" s="513">
        <v>12918208</v>
      </c>
      <c r="D49" s="515">
        <v>13636765</v>
      </c>
      <c r="E49" s="514">
        <f t="shared" si="4"/>
        <v>718557</v>
      </c>
    </row>
    <row r="50" spans="1:5" s="506" customFormat="1" ht="12.75">
      <c r="A50" s="512">
        <v>4</v>
      </c>
      <c r="B50" s="511" t="s">
        <v>271</v>
      </c>
      <c r="C50" s="513">
        <v>11768562</v>
      </c>
      <c r="D50" s="515">
        <v>12098394</v>
      </c>
      <c r="E50" s="514">
        <f t="shared" si="4"/>
        <v>329832</v>
      </c>
    </row>
    <row r="51" spans="1:5" s="506" customFormat="1" ht="12.75">
      <c r="A51" s="512">
        <v>5</v>
      </c>
      <c r="B51" s="511" t="s">
        <v>870</v>
      </c>
      <c r="C51" s="513">
        <v>1149646</v>
      </c>
      <c r="D51" s="515">
        <v>1538371</v>
      </c>
      <c r="E51" s="514">
        <f t="shared" si="4"/>
        <v>388725</v>
      </c>
    </row>
    <row r="52" spans="1:5" s="506" customFormat="1" ht="12.75">
      <c r="A52" s="512">
        <v>6</v>
      </c>
      <c r="B52" s="511" t="s">
        <v>575</v>
      </c>
      <c r="C52" s="513">
        <v>67936</v>
      </c>
      <c r="D52" s="515">
        <v>106979</v>
      </c>
      <c r="E52" s="514">
        <f t="shared" si="4"/>
        <v>39043</v>
      </c>
    </row>
    <row r="53" spans="1:5" s="506" customFormat="1" ht="12.75">
      <c r="A53" s="512">
        <v>7</v>
      </c>
      <c r="B53" s="511" t="s">
        <v>885</v>
      </c>
      <c r="C53" s="513">
        <v>332477</v>
      </c>
      <c r="D53" s="515">
        <v>1031285</v>
      </c>
      <c r="E53" s="514">
        <f t="shared" si="4"/>
        <v>698808</v>
      </c>
    </row>
    <row r="54" spans="1:5" s="506" customFormat="1" ht="12.75">
      <c r="A54" s="512"/>
      <c r="B54" s="516" t="s">
        <v>916</v>
      </c>
      <c r="C54" s="517">
        <f>SUM(C48+C49+C52)</f>
        <v>90183028</v>
      </c>
      <c r="D54" s="517">
        <f>SUM(D48+D49+D52)</f>
        <v>99060236</v>
      </c>
      <c r="E54" s="517">
        <f t="shared" si="4"/>
        <v>8877208</v>
      </c>
    </row>
    <row r="55" spans="1:5" s="506" customFormat="1" ht="12.75">
      <c r="A55" s="512"/>
      <c r="B55" s="516" t="s">
        <v>845</v>
      </c>
      <c r="C55" s="517">
        <f>SUM(C47+C54)</f>
        <v>136928331</v>
      </c>
      <c r="D55" s="517">
        <f>SUM(D47+D54)</f>
        <v>150686144</v>
      </c>
      <c r="E55" s="517">
        <f t="shared" si="4"/>
        <v>13757813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499</v>
      </c>
      <c r="B57" s="509" t="s">
        <v>917</v>
      </c>
      <c r="C57" s="499"/>
      <c r="D57" s="515"/>
      <c r="E57" s="511"/>
    </row>
    <row r="58" spans="1:5" s="506" customFormat="1" ht="12.75">
      <c r="A58" s="512">
        <v>1</v>
      </c>
      <c r="B58" s="511" t="s">
        <v>778</v>
      </c>
      <c r="C58" s="513">
        <v>39841786</v>
      </c>
      <c r="D58" s="513">
        <v>41891765</v>
      </c>
      <c r="E58" s="514">
        <f aca="true" t="shared" si="5" ref="E58:E66">D58-C58</f>
        <v>2049979</v>
      </c>
    </row>
    <row r="59" spans="1:5" s="506" customFormat="1" ht="12.75">
      <c r="A59" s="512">
        <v>2</v>
      </c>
      <c r="B59" s="511" t="s">
        <v>757</v>
      </c>
      <c r="C59" s="513">
        <v>17731078</v>
      </c>
      <c r="D59" s="515">
        <v>20105533</v>
      </c>
      <c r="E59" s="514">
        <f t="shared" si="5"/>
        <v>2374455</v>
      </c>
    </row>
    <row r="60" spans="1:5" s="506" customFormat="1" ht="12.75">
      <c r="A60" s="512">
        <v>3</v>
      </c>
      <c r="B60" s="511" t="s">
        <v>903</v>
      </c>
      <c r="C60" s="513">
        <f>C61+C62</f>
        <v>8895076</v>
      </c>
      <c r="D60" s="515">
        <f>D61+D62</f>
        <v>10926237</v>
      </c>
      <c r="E60" s="514">
        <f t="shared" si="5"/>
        <v>2031161</v>
      </c>
    </row>
    <row r="61" spans="1:5" s="506" customFormat="1" ht="12.75">
      <c r="A61" s="512">
        <v>4</v>
      </c>
      <c r="B61" s="511" t="s">
        <v>271</v>
      </c>
      <c r="C61" s="513">
        <v>7793697</v>
      </c>
      <c r="D61" s="515">
        <v>9525170</v>
      </c>
      <c r="E61" s="514">
        <f t="shared" si="5"/>
        <v>1731473</v>
      </c>
    </row>
    <row r="62" spans="1:5" s="506" customFormat="1" ht="12.75">
      <c r="A62" s="512">
        <v>5</v>
      </c>
      <c r="B62" s="511" t="s">
        <v>870</v>
      </c>
      <c r="C62" s="513">
        <v>1101379</v>
      </c>
      <c r="D62" s="515">
        <v>1401067</v>
      </c>
      <c r="E62" s="514">
        <f t="shared" si="5"/>
        <v>299688</v>
      </c>
    </row>
    <row r="63" spans="1:5" s="506" customFormat="1" ht="12.75">
      <c r="A63" s="512">
        <v>6</v>
      </c>
      <c r="B63" s="511" t="s">
        <v>575</v>
      </c>
      <c r="C63" s="513">
        <v>89373</v>
      </c>
      <c r="D63" s="515">
        <v>137976</v>
      </c>
      <c r="E63" s="514">
        <f t="shared" si="5"/>
        <v>48603</v>
      </c>
    </row>
    <row r="64" spans="1:5" s="506" customFormat="1" ht="12.75">
      <c r="A64" s="512">
        <v>7</v>
      </c>
      <c r="B64" s="511" t="s">
        <v>885</v>
      </c>
      <c r="C64" s="513">
        <v>728411</v>
      </c>
      <c r="D64" s="515">
        <v>3642339</v>
      </c>
      <c r="E64" s="514">
        <f t="shared" si="5"/>
        <v>2913928</v>
      </c>
    </row>
    <row r="65" spans="1:5" s="506" customFormat="1" ht="12.75">
      <c r="A65" s="512"/>
      <c r="B65" s="516" t="s">
        <v>918</v>
      </c>
      <c r="C65" s="517">
        <f>SUM(C59+C60+C63)</f>
        <v>26715527</v>
      </c>
      <c r="D65" s="517">
        <f>SUM(D59+D60+D63)</f>
        <v>31169746</v>
      </c>
      <c r="E65" s="517">
        <f t="shared" si="5"/>
        <v>4454219</v>
      </c>
    </row>
    <row r="66" spans="1:5" s="506" customFormat="1" ht="12.75">
      <c r="A66" s="512"/>
      <c r="B66" s="516" t="s">
        <v>851</v>
      </c>
      <c r="C66" s="517">
        <f>SUM(C58+C65)</f>
        <v>66557313</v>
      </c>
      <c r="D66" s="517">
        <f>SUM(D58+D65)</f>
        <v>73061511</v>
      </c>
      <c r="E66" s="517">
        <f t="shared" si="5"/>
        <v>6504198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511</v>
      </c>
      <c r="B68" s="521" t="s">
        <v>776</v>
      </c>
      <c r="C68" s="511"/>
      <c r="D68" s="511"/>
      <c r="E68" s="511"/>
    </row>
    <row r="69" spans="1:5" s="506" customFormat="1" ht="12.75">
      <c r="A69" s="512">
        <v>1</v>
      </c>
      <c r="B69" s="511" t="s">
        <v>907</v>
      </c>
      <c r="C69" s="514">
        <f aca="true" t="shared" si="6" ref="C69:D75">C47+C58</f>
        <v>86587089</v>
      </c>
      <c r="D69" s="514">
        <f t="shared" si="6"/>
        <v>93517673</v>
      </c>
      <c r="E69" s="514">
        <f aca="true" t="shared" si="7" ref="E69:E77">D69-C69</f>
        <v>6930584</v>
      </c>
    </row>
    <row r="70" spans="1:5" s="506" customFormat="1" ht="12.75">
      <c r="A70" s="512">
        <v>2</v>
      </c>
      <c r="B70" s="511" t="s">
        <v>908</v>
      </c>
      <c r="C70" s="514">
        <f t="shared" si="6"/>
        <v>94927962</v>
      </c>
      <c r="D70" s="514">
        <f t="shared" si="6"/>
        <v>105422025</v>
      </c>
      <c r="E70" s="514">
        <f t="shared" si="7"/>
        <v>10494063</v>
      </c>
    </row>
    <row r="71" spans="1:5" s="506" customFormat="1" ht="12.75">
      <c r="A71" s="512">
        <v>3</v>
      </c>
      <c r="B71" s="511" t="s">
        <v>909</v>
      </c>
      <c r="C71" s="514">
        <f t="shared" si="6"/>
        <v>21813284</v>
      </c>
      <c r="D71" s="514">
        <f t="shared" si="6"/>
        <v>24563002</v>
      </c>
      <c r="E71" s="514">
        <f t="shared" si="7"/>
        <v>2749718</v>
      </c>
    </row>
    <row r="72" spans="1:5" s="506" customFormat="1" ht="12.75">
      <c r="A72" s="512">
        <v>4</v>
      </c>
      <c r="B72" s="511" t="s">
        <v>910</v>
      </c>
      <c r="C72" s="514">
        <f t="shared" si="6"/>
        <v>19562259</v>
      </c>
      <c r="D72" s="514">
        <f t="shared" si="6"/>
        <v>21623564</v>
      </c>
      <c r="E72" s="514">
        <f t="shared" si="7"/>
        <v>2061305</v>
      </c>
    </row>
    <row r="73" spans="1:5" s="506" customFormat="1" ht="12.75">
      <c r="A73" s="512">
        <v>5</v>
      </c>
      <c r="B73" s="511" t="s">
        <v>911</v>
      </c>
      <c r="C73" s="514">
        <f t="shared" si="6"/>
        <v>2251025</v>
      </c>
      <c r="D73" s="514">
        <f t="shared" si="6"/>
        <v>2939438</v>
      </c>
      <c r="E73" s="514">
        <f t="shared" si="7"/>
        <v>688413</v>
      </c>
    </row>
    <row r="74" spans="1:5" s="506" customFormat="1" ht="12.75">
      <c r="A74" s="512">
        <v>6</v>
      </c>
      <c r="B74" s="511" t="s">
        <v>912</v>
      </c>
      <c r="C74" s="514">
        <f t="shared" si="6"/>
        <v>157309</v>
      </c>
      <c r="D74" s="514">
        <f t="shared" si="6"/>
        <v>244955</v>
      </c>
      <c r="E74" s="514">
        <f t="shared" si="7"/>
        <v>87646</v>
      </c>
    </row>
    <row r="75" spans="1:5" s="506" customFormat="1" ht="12.75">
      <c r="A75" s="512">
        <v>7</v>
      </c>
      <c r="B75" s="511" t="s">
        <v>913</v>
      </c>
      <c r="C75" s="514">
        <f t="shared" si="6"/>
        <v>1060888</v>
      </c>
      <c r="D75" s="514">
        <f t="shared" si="6"/>
        <v>4673624</v>
      </c>
      <c r="E75" s="514">
        <f t="shared" si="7"/>
        <v>3612736</v>
      </c>
    </row>
    <row r="76" spans="1:5" s="506" customFormat="1" ht="12.75">
      <c r="A76" s="512"/>
      <c r="B76" s="516" t="s">
        <v>919</v>
      </c>
      <c r="C76" s="517">
        <f>SUM(C70+C71+C74)</f>
        <v>116898555</v>
      </c>
      <c r="D76" s="517">
        <f>SUM(D70+D71+D74)</f>
        <v>130229982</v>
      </c>
      <c r="E76" s="517">
        <f t="shared" si="7"/>
        <v>13331427</v>
      </c>
    </row>
    <row r="77" spans="1:5" s="506" customFormat="1" ht="12.75">
      <c r="A77" s="512"/>
      <c r="B77" s="516" t="s">
        <v>853</v>
      </c>
      <c r="C77" s="517">
        <f>SUM(C69+C76)</f>
        <v>203485644</v>
      </c>
      <c r="D77" s="517">
        <f>SUM(D69+D76)</f>
        <v>223747655</v>
      </c>
      <c r="E77" s="517">
        <f t="shared" si="7"/>
        <v>20262011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201</v>
      </c>
      <c r="B79" s="501" t="s">
        <v>920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171</v>
      </c>
      <c r="B81" s="522" t="s">
        <v>921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778</v>
      </c>
      <c r="C83" s="523">
        <f aca="true" t="shared" si="8" ref="C83:D89">IF(C$44=0,0,C14/C$44)</f>
        <v>0.18291837075130432</v>
      </c>
      <c r="D83" s="523">
        <f t="shared" si="8"/>
        <v>0.17876397629820115</v>
      </c>
      <c r="E83" s="523">
        <f aca="true" t="shared" si="9" ref="E83:E91">D83-C83</f>
        <v>-0.004154394453103172</v>
      </c>
    </row>
    <row r="84" spans="1:5" s="506" customFormat="1" ht="12.75">
      <c r="A84" s="512">
        <v>2</v>
      </c>
      <c r="B84" s="511" t="s">
        <v>757</v>
      </c>
      <c r="C84" s="523">
        <f t="shared" si="8"/>
        <v>0.3559445071565248</v>
      </c>
      <c r="D84" s="523">
        <f t="shared" si="8"/>
        <v>0.3629786381628232</v>
      </c>
      <c r="E84" s="523">
        <f t="shared" si="9"/>
        <v>0.007034131006298405</v>
      </c>
    </row>
    <row r="85" spans="1:5" s="506" customFormat="1" ht="12.75">
      <c r="A85" s="512">
        <v>3</v>
      </c>
      <c r="B85" s="511" t="s">
        <v>903</v>
      </c>
      <c r="C85" s="523">
        <f t="shared" si="8"/>
        <v>0.09149974026913613</v>
      </c>
      <c r="D85" s="523">
        <f t="shared" si="8"/>
        <v>0.09025717516970275</v>
      </c>
      <c r="E85" s="523">
        <f t="shared" si="9"/>
        <v>-0.0012425650994333792</v>
      </c>
    </row>
    <row r="86" spans="1:5" s="506" customFormat="1" ht="12.75">
      <c r="A86" s="512">
        <v>4</v>
      </c>
      <c r="B86" s="511" t="s">
        <v>271</v>
      </c>
      <c r="C86" s="523">
        <f t="shared" si="8"/>
        <v>0.07163402508732067</v>
      </c>
      <c r="D86" s="523">
        <f t="shared" si="8"/>
        <v>0.06660860065699423</v>
      </c>
      <c r="E86" s="523">
        <f t="shared" si="9"/>
        <v>-0.005025424430326442</v>
      </c>
    </row>
    <row r="87" spans="1:5" s="506" customFormat="1" ht="12.75">
      <c r="A87" s="512">
        <v>5</v>
      </c>
      <c r="B87" s="511" t="s">
        <v>870</v>
      </c>
      <c r="C87" s="523">
        <f t="shared" si="8"/>
        <v>0.01986571518181545</v>
      </c>
      <c r="D87" s="523">
        <f t="shared" si="8"/>
        <v>0.02364857451270852</v>
      </c>
      <c r="E87" s="523">
        <f t="shared" si="9"/>
        <v>0.0037828593308930694</v>
      </c>
    </row>
    <row r="88" spans="1:5" s="506" customFormat="1" ht="12.75">
      <c r="A88" s="512">
        <v>6</v>
      </c>
      <c r="B88" s="511" t="s">
        <v>575</v>
      </c>
      <c r="C88" s="523">
        <f t="shared" si="8"/>
        <v>0.0003875506881910269</v>
      </c>
      <c r="D88" s="523">
        <f t="shared" si="8"/>
        <v>0.0009504064866264118</v>
      </c>
      <c r="E88" s="523">
        <f t="shared" si="9"/>
        <v>0.0005628557984353849</v>
      </c>
    </row>
    <row r="89" spans="1:5" s="506" customFormat="1" ht="12.75">
      <c r="A89" s="512">
        <v>7</v>
      </c>
      <c r="B89" s="511" t="s">
        <v>885</v>
      </c>
      <c r="C89" s="523">
        <f t="shared" si="8"/>
        <v>0.012948985189628842</v>
      </c>
      <c r="D89" s="523">
        <f t="shared" si="8"/>
        <v>0.010494589032664542</v>
      </c>
      <c r="E89" s="523">
        <f t="shared" si="9"/>
        <v>-0.0024543961569643002</v>
      </c>
    </row>
    <row r="90" spans="1:5" s="506" customFormat="1" ht="12.75">
      <c r="A90" s="512"/>
      <c r="B90" s="516" t="s">
        <v>922</v>
      </c>
      <c r="C90" s="524">
        <f>SUM(C84+C85+C88)</f>
        <v>0.44783179811385193</v>
      </c>
      <c r="D90" s="524">
        <f>SUM(D84+D85+D88)</f>
        <v>0.45418621981915236</v>
      </c>
      <c r="E90" s="525">
        <f t="shared" si="9"/>
        <v>0.006354421705300428</v>
      </c>
    </row>
    <row r="91" spans="1:5" s="506" customFormat="1" ht="12.75">
      <c r="A91" s="512"/>
      <c r="B91" s="516" t="s">
        <v>923</v>
      </c>
      <c r="C91" s="524">
        <f>SUM(C83+C90)</f>
        <v>0.6307501688651562</v>
      </c>
      <c r="D91" s="524">
        <f>SUM(D83+D90)</f>
        <v>0.6329501961173535</v>
      </c>
      <c r="E91" s="525">
        <f t="shared" si="9"/>
        <v>0.0022000272521972564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183</v>
      </c>
      <c r="B93" s="522" t="s">
        <v>924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778</v>
      </c>
      <c r="C95" s="523">
        <f aca="true" t="shared" si="10" ref="C95:D101">IF(C$44=0,0,C25/C$44)</f>
        <v>0.17888215084354897</v>
      </c>
      <c r="D95" s="523">
        <f t="shared" si="10"/>
        <v>0.1708122724834992</v>
      </c>
      <c r="E95" s="523">
        <f aca="true" t="shared" si="11" ref="E95:E103">D95-C95</f>
        <v>-0.00806987836004977</v>
      </c>
    </row>
    <row r="96" spans="1:5" s="506" customFormat="1" ht="12.75">
      <c r="A96" s="512">
        <v>2</v>
      </c>
      <c r="B96" s="511" t="s">
        <v>757</v>
      </c>
      <c r="C96" s="523">
        <f t="shared" si="10"/>
        <v>0.11298500733229487</v>
      </c>
      <c r="D96" s="523">
        <f t="shared" si="10"/>
        <v>0.11603666410807571</v>
      </c>
      <c r="E96" s="523">
        <f t="shared" si="11"/>
        <v>0.003051656775780842</v>
      </c>
    </row>
    <row r="97" spans="1:5" s="506" customFormat="1" ht="12.75">
      <c r="A97" s="512">
        <v>3</v>
      </c>
      <c r="B97" s="511" t="s">
        <v>903</v>
      </c>
      <c r="C97" s="523">
        <f t="shared" si="10"/>
        <v>0.07693416978724826</v>
      </c>
      <c r="D97" s="523">
        <f t="shared" si="10"/>
        <v>0.07965182933761492</v>
      </c>
      <c r="E97" s="523">
        <f t="shared" si="11"/>
        <v>0.0027176595503666523</v>
      </c>
    </row>
    <row r="98" spans="1:5" s="506" customFormat="1" ht="12.75">
      <c r="A98" s="512">
        <v>4</v>
      </c>
      <c r="B98" s="511" t="s">
        <v>271</v>
      </c>
      <c r="C98" s="523">
        <f t="shared" si="10"/>
        <v>0.06022781701725638</v>
      </c>
      <c r="D98" s="523">
        <f t="shared" si="10"/>
        <v>0.0606653574237728</v>
      </c>
      <c r="E98" s="523">
        <f t="shared" si="11"/>
        <v>0.0004375404065164179</v>
      </c>
    </row>
    <row r="99" spans="1:5" s="506" customFormat="1" ht="12.75">
      <c r="A99" s="512">
        <v>5</v>
      </c>
      <c r="B99" s="511" t="s">
        <v>870</v>
      </c>
      <c r="C99" s="523">
        <f t="shared" si="10"/>
        <v>0.016706352769991887</v>
      </c>
      <c r="D99" s="523">
        <f t="shared" si="10"/>
        <v>0.018986471913842118</v>
      </c>
      <c r="E99" s="523">
        <f t="shared" si="11"/>
        <v>0.002280119143850231</v>
      </c>
    </row>
    <row r="100" spans="1:5" s="506" customFormat="1" ht="12.75">
      <c r="A100" s="512">
        <v>6</v>
      </c>
      <c r="B100" s="511" t="s">
        <v>575</v>
      </c>
      <c r="C100" s="523">
        <f t="shared" si="10"/>
        <v>0.0004485031717516207</v>
      </c>
      <c r="D100" s="523">
        <f t="shared" si="10"/>
        <v>0.0005490379534566434</v>
      </c>
      <c r="E100" s="523">
        <f t="shared" si="11"/>
        <v>0.00010053478170502276</v>
      </c>
    </row>
    <row r="101" spans="1:5" s="506" customFormat="1" ht="12.75">
      <c r="A101" s="512">
        <v>7</v>
      </c>
      <c r="B101" s="511" t="s">
        <v>885</v>
      </c>
      <c r="C101" s="523">
        <f t="shared" si="10"/>
        <v>0.014665049162976678</v>
      </c>
      <c r="D101" s="523">
        <f t="shared" si="10"/>
        <v>0.013172383796426058</v>
      </c>
      <c r="E101" s="523">
        <f t="shared" si="11"/>
        <v>-0.0014926653665506204</v>
      </c>
    </row>
    <row r="102" spans="1:5" s="506" customFormat="1" ht="12.75">
      <c r="A102" s="512"/>
      <c r="B102" s="516" t="s">
        <v>925</v>
      </c>
      <c r="C102" s="524">
        <f>SUM(C96+C97+C100)</f>
        <v>0.19036768029129478</v>
      </c>
      <c r="D102" s="524">
        <f>SUM(D96+D97+D100)</f>
        <v>0.19623753139914726</v>
      </c>
      <c r="E102" s="525">
        <f t="shared" si="11"/>
        <v>0.005869851107852486</v>
      </c>
    </row>
    <row r="103" spans="1:5" s="506" customFormat="1" ht="12.75">
      <c r="A103" s="512"/>
      <c r="B103" s="516" t="s">
        <v>926</v>
      </c>
      <c r="C103" s="524">
        <f>SUM(C95+C102)</f>
        <v>0.3692498311348438</v>
      </c>
      <c r="D103" s="524">
        <f>SUM(D95+D102)</f>
        <v>0.36704980388264646</v>
      </c>
      <c r="E103" s="525">
        <f t="shared" si="11"/>
        <v>-0.002200027252197312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927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193</v>
      </c>
      <c r="B107" s="522" t="s">
        <v>928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778</v>
      </c>
      <c r="C109" s="523">
        <f aca="true" t="shared" si="12" ref="C109:D115">IF(C$77=0,0,C47/C$77)</f>
        <v>0.2297228545518425</v>
      </c>
      <c r="D109" s="523">
        <f t="shared" si="12"/>
        <v>0.23073273326596427</v>
      </c>
      <c r="E109" s="523">
        <f aca="true" t="shared" si="13" ref="E109:E117">D109-C109</f>
        <v>0.0010098787141217813</v>
      </c>
    </row>
    <row r="110" spans="1:5" s="506" customFormat="1" ht="12.75">
      <c r="A110" s="512">
        <v>2</v>
      </c>
      <c r="B110" s="511" t="s">
        <v>757</v>
      </c>
      <c r="C110" s="523">
        <f t="shared" si="12"/>
        <v>0.3793726303365165</v>
      </c>
      <c r="D110" s="523">
        <f t="shared" si="12"/>
        <v>0.3813067538070958</v>
      </c>
      <c r="E110" s="523">
        <f t="shared" si="13"/>
        <v>0.001934123470579252</v>
      </c>
    </row>
    <row r="111" spans="1:5" s="506" customFormat="1" ht="12.75">
      <c r="A111" s="512">
        <v>3</v>
      </c>
      <c r="B111" s="511" t="s">
        <v>903</v>
      </c>
      <c r="C111" s="523">
        <f t="shared" si="12"/>
        <v>0.06348461614324007</v>
      </c>
      <c r="D111" s="523">
        <f t="shared" si="12"/>
        <v>0.06094707450676969</v>
      </c>
      <c r="E111" s="523">
        <f t="shared" si="13"/>
        <v>-0.0025375416364703737</v>
      </c>
    </row>
    <row r="112" spans="1:5" s="506" customFormat="1" ht="12.75">
      <c r="A112" s="512">
        <v>4</v>
      </c>
      <c r="B112" s="511" t="s">
        <v>271</v>
      </c>
      <c r="C112" s="523">
        <f t="shared" si="12"/>
        <v>0.05783485148465805</v>
      </c>
      <c r="D112" s="523">
        <f t="shared" si="12"/>
        <v>0.05407160133141954</v>
      </c>
      <c r="E112" s="523">
        <f t="shared" si="13"/>
        <v>-0.003763250153238508</v>
      </c>
    </row>
    <row r="113" spans="1:5" s="506" customFormat="1" ht="12.75">
      <c r="A113" s="512">
        <v>5</v>
      </c>
      <c r="B113" s="511" t="s">
        <v>870</v>
      </c>
      <c r="C113" s="523">
        <f t="shared" si="12"/>
        <v>0.005649764658582008</v>
      </c>
      <c r="D113" s="523">
        <f t="shared" si="12"/>
        <v>0.00687547317535015</v>
      </c>
      <c r="E113" s="523">
        <f t="shared" si="13"/>
        <v>0.001225708516768142</v>
      </c>
    </row>
    <row r="114" spans="1:5" s="506" customFormat="1" ht="12.75">
      <c r="A114" s="512">
        <v>6</v>
      </c>
      <c r="B114" s="511" t="s">
        <v>575</v>
      </c>
      <c r="C114" s="523">
        <f t="shared" si="12"/>
        <v>0.0003338613902413676</v>
      </c>
      <c r="D114" s="523">
        <f t="shared" si="12"/>
        <v>0.0004781234467015978</v>
      </c>
      <c r="E114" s="523">
        <f t="shared" si="13"/>
        <v>0.0001442620564602302</v>
      </c>
    </row>
    <row r="115" spans="1:5" s="506" customFormat="1" ht="12.75">
      <c r="A115" s="512">
        <v>7</v>
      </c>
      <c r="B115" s="511" t="s">
        <v>885</v>
      </c>
      <c r="C115" s="523">
        <f t="shared" si="12"/>
        <v>0.0016339088766380001</v>
      </c>
      <c r="D115" s="523">
        <f t="shared" si="12"/>
        <v>0.004609143277948544</v>
      </c>
      <c r="E115" s="523">
        <f t="shared" si="13"/>
        <v>0.002975234401310544</v>
      </c>
    </row>
    <row r="116" spans="1:5" s="506" customFormat="1" ht="12.75">
      <c r="A116" s="512"/>
      <c r="B116" s="516" t="s">
        <v>922</v>
      </c>
      <c r="C116" s="524">
        <f>SUM(C110+C111+C114)</f>
        <v>0.443191107869998</v>
      </c>
      <c r="D116" s="524">
        <f>SUM(D110+D111+D114)</f>
        <v>0.44273195176056707</v>
      </c>
      <c r="E116" s="525">
        <f t="shared" si="13"/>
        <v>-0.0004591561094309249</v>
      </c>
    </row>
    <row r="117" spans="1:5" s="506" customFormat="1" ht="12.75">
      <c r="A117" s="512"/>
      <c r="B117" s="516" t="s">
        <v>923</v>
      </c>
      <c r="C117" s="524">
        <f>SUM(C109+C116)</f>
        <v>0.6729139624218405</v>
      </c>
      <c r="D117" s="524">
        <f>SUM(D109+D116)</f>
        <v>0.6734646850265313</v>
      </c>
      <c r="E117" s="525">
        <f t="shared" si="13"/>
        <v>0.0005507226046908009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478</v>
      </c>
      <c r="B119" s="522" t="s">
        <v>929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778</v>
      </c>
      <c r="C121" s="523">
        <f aca="true" t="shared" si="14" ref="C121:D127">IF(C$77=0,0,C58/C$77)</f>
        <v>0.1957965447429795</v>
      </c>
      <c r="D121" s="523">
        <f t="shared" si="14"/>
        <v>0.18722772759339087</v>
      </c>
      <c r="E121" s="523">
        <f aca="true" t="shared" si="15" ref="E121:E129">D121-C121</f>
        <v>-0.008568817149588626</v>
      </c>
    </row>
    <row r="122" spans="1:5" s="506" customFormat="1" ht="12.75">
      <c r="A122" s="512">
        <v>2</v>
      </c>
      <c r="B122" s="511" t="s">
        <v>757</v>
      </c>
      <c r="C122" s="523">
        <f t="shared" si="14"/>
        <v>0.08713675152434833</v>
      </c>
      <c r="D122" s="523">
        <f t="shared" si="14"/>
        <v>0.0898580724790166</v>
      </c>
      <c r="E122" s="523">
        <f t="shared" si="15"/>
        <v>0.0027213209546682743</v>
      </c>
    </row>
    <row r="123" spans="1:5" s="506" customFormat="1" ht="12.75">
      <c r="A123" s="512">
        <v>3</v>
      </c>
      <c r="B123" s="511" t="s">
        <v>903</v>
      </c>
      <c r="C123" s="523">
        <f t="shared" si="14"/>
        <v>0.04371353096535891</v>
      </c>
      <c r="D123" s="523">
        <f t="shared" si="14"/>
        <v>0.04883285592423304</v>
      </c>
      <c r="E123" s="523">
        <f t="shared" si="15"/>
        <v>0.005119324958874127</v>
      </c>
    </row>
    <row r="124" spans="1:5" s="506" customFormat="1" ht="12.75">
      <c r="A124" s="512">
        <v>4</v>
      </c>
      <c r="B124" s="511" t="s">
        <v>271</v>
      </c>
      <c r="C124" s="523">
        <f t="shared" si="14"/>
        <v>0.03830096731541415</v>
      </c>
      <c r="D124" s="523">
        <f t="shared" si="14"/>
        <v>0.04257103834227894</v>
      </c>
      <c r="E124" s="523">
        <f t="shared" si="15"/>
        <v>0.0042700710268647885</v>
      </c>
    </row>
    <row r="125" spans="1:5" s="506" customFormat="1" ht="12.75">
      <c r="A125" s="512">
        <v>5</v>
      </c>
      <c r="B125" s="511" t="s">
        <v>870</v>
      </c>
      <c r="C125" s="523">
        <f t="shared" si="14"/>
        <v>0.00541256364994476</v>
      </c>
      <c r="D125" s="523">
        <f t="shared" si="14"/>
        <v>0.006261817581954099</v>
      </c>
      <c r="E125" s="523">
        <f t="shared" si="15"/>
        <v>0.000849253932009339</v>
      </c>
    </row>
    <row r="126" spans="1:5" s="506" customFormat="1" ht="12.75">
      <c r="A126" s="512">
        <v>6</v>
      </c>
      <c r="B126" s="511" t="s">
        <v>575</v>
      </c>
      <c r="C126" s="523">
        <f t="shared" si="14"/>
        <v>0.0004392103454728236</v>
      </c>
      <c r="D126" s="523">
        <f t="shared" si="14"/>
        <v>0.0006166589768281593</v>
      </c>
      <c r="E126" s="523">
        <f t="shared" si="15"/>
        <v>0.00017744863135533571</v>
      </c>
    </row>
    <row r="127" spans="1:5" s="506" customFormat="1" ht="12.75">
      <c r="A127" s="512">
        <v>7</v>
      </c>
      <c r="B127" s="511" t="s">
        <v>885</v>
      </c>
      <c r="C127" s="523">
        <f t="shared" si="14"/>
        <v>0.003579667762704675</v>
      </c>
      <c r="D127" s="523">
        <f t="shared" si="14"/>
        <v>0.01627878066476272</v>
      </c>
      <c r="E127" s="523">
        <f t="shared" si="15"/>
        <v>0.012699112902058045</v>
      </c>
    </row>
    <row r="128" spans="1:5" s="506" customFormat="1" ht="12.75">
      <c r="A128" s="512"/>
      <c r="B128" s="516" t="s">
        <v>925</v>
      </c>
      <c r="C128" s="524">
        <f>SUM(C122+C123+C126)</f>
        <v>0.13128949283518004</v>
      </c>
      <c r="D128" s="524">
        <f>SUM(D122+D123+D126)</f>
        <v>0.1393075873800778</v>
      </c>
      <c r="E128" s="525">
        <f t="shared" si="15"/>
        <v>0.00801809454489777</v>
      </c>
    </row>
    <row r="129" spans="1:5" s="506" customFormat="1" ht="12.75">
      <c r="A129" s="512"/>
      <c r="B129" s="516" t="s">
        <v>926</v>
      </c>
      <c r="C129" s="524">
        <f>SUM(C121+C128)</f>
        <v>0.32708603757815957</v>
      </c>
      <c r="D129" s="524">
        <f>SUM(D121+D128)</f>
        <v>0.32653531497346866</v>
      </c>
      <c r="E129" s="525">
        <f t="shared" si="15"/>
        <v>-0.0005507226046909119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930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292</v>
      </c>
      <c r="B133" s="501" t="s">
        <v>931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171</v>
      </c>
      <c r="B135" s="509" t="s">
        <v>932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778</v>
      </c>
      <c r="C137" s="530">
        <v>4942</v>
      </c>
      <c r="D137" s="530">
        <v>4524</v>
      </c>
      <c r="E137" s="531">
        <f aca="true" t="shared" si="16" ref="E137:E145">D137-C137</f>
        <v>-418</v>
      </c>
    </row>
    <row r="138" spans="1:5" s="506" customFormat="1" ht="12.75">
      <c r="A138" s="512">
        <v>2</v>
      </c>
      <c r="B138" s="511" t="s">
        <v>757</v>
      </c>
      <c r="C138" s="530">
        <v>6566</v>
      </c>
      <c r="D138" s="530">
        <v>6496</v>
      </c>
      <c r="E138" s="531">
        <f t="shared" si="16"/>
        <v>-70</v>
      </c>
    </row>
    <row r="139" spans="1:5" s="506" customFormat="1" ht="12.75">
      <c r="A139" s="512">
        <v>3</v>
      </c>
      <c r="B139" s="511" t="s">
        <v>903</v>
      </c>
      <c r="C139" s="530">
        <f>C140+C141</f>
        <v>3216</v>
      </c>
      <c r="D139" s="530">
        <f>D140+D141</f>
        <v>2881</v>
      </c>
      <c r="E139" s="531">
        <f t="shared" si="16"/>
        <v>-335</v>
      </c>
    </row>
    <row r="140" spans="1:5" s="506" customFormat="1" ht="12.75">
      <c r="A140" s="512">
        <v>4</v>
      </c>
      <c r="B140" s="511" t="s">
        <v>271</v>
      </c>
      <c r="C140" s="530">
        <v>2730</v>
      </c>
      <c r="D140" s="530">
        <v>2363</v>
      </c>
      <c r="E140" s="531">
        <f t="shared" si="16"/>
        <v>-367</v>
      </c>
    </row>
    <row r="141" spans="1:5" s="506" customFormat="1" ht="12.75">
      <c r="A141" s="512">
        <v>5</v>
      </c>
      <c r="B141" s="511" t="s">
        <v>870</v>
      </c>
      <c r="C141" s="530">
        <v>486</v>
      </c>
      <c r="D141" s="530">
        <v>518</v>
      </c>
      <c r="E141" s="531">
        <f t="shared" si="16"/>
        <v>32</v>
      </c>
    </row>
    <row r="142" spans="1:5" s="506" customFormat="1" ht="12.75">
      <c r="A142" s="512">
        <v>6</v>
      </c>
      <c r="B142" s="511" t="s">
        <v>575</v>
      </c>
      <c r="C142" s="530">
        <v>12</v>
      </c>
      <c r="D142" s="530">
        <v>15</v>
      </c>
      <c r="E142" s="531">
        <f t="shared" si="16"/>
        <v>3</v>
      </c>
    </row>
    <row r="143" spans="1:5" s="506" customFormat="1" ht="12.75">
      <c r="A143" s="512">
        <v>7</v>
      </c>
      <c r="B143" s="511" t="s">
        <v>885</v>
      </c>
      <c r="C143" s="530">
        <v>335</v>
      </c>
      <c r="D143" s="530">
        <v>265</v>
      </c>
      <c r="E143" s="531">
        <f t="shared" si="16"/>
        <v>-70</v>
      </c>
    </row>
    <row r="144" spans="1:5" s="506" customFormat="1" ht="12.75">
      <c r="A144" s="512"/>
      <c r="B144" s="516" t="s">
        <v>933</v>
      </c>
      <c r="C144" s="532">
        <f>SUM(C138+C139+C142)</f>
        <v>9794</v>
      </c>
      <c r="D144" s="532">
        <f>SUM(D138+D139+D142)</f>
        <v>9392</v>
      </c>
      <c r="E144" s="533">
        <f t="shared" si="16"/>
        <v>-402</v>
      </c>
    </row>
    <row r="145" spans="1:5" s="506" customFormat="1" ht="12.75">
      <c r="A145" s="512"/>
      <c r="B145" s="516" t="s">
        <v>847</v>
      </c>
      <c r="C145" s="532">
        <f>SUM(C137+C144)</f>
        <v>14736</v>
      </c>
      <c r="D145" s="532">
        <f>SUM(D137+D144)</f>
        <v>13916</v>
      </c>
      <c r="E145" s="533">
        <f t="shared" si="16"/>
        <v>-820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183</v>
      </c>
      <c r="B147" s="509" t="s">
        <v>296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778</v>
      </c>
      <c r="C149" s="534">
        <v>17752</v>
      </c>
      <c r="D149" s="534">
        <v>16368</v>
      </c>
      <c r="E149" s="531">
        <f aca="true" t="shared" si="17" ref="E149:E157">D149-C149</f>
        <v>-1384</v>
      </c>
    </row>
    <row r="150" spans="1:5" s="506" customFormat="1" ht="12.75">
      <c r="A150" s="512">
        <v>2</v>
      </c>
      <c r="B150" s="511" t="s">
        <v>757</v>
      </c>
      <c r="C150" s="534">
        <v>39552</v>
      </c>
      <c r="D150" s="534">
        <v>38627</v>
      </c>
      <c r="E150" s="531">
        <f t="shared" si="17"/>
        <v>-925</v>
      </c>
    </row>
    <row r="151" spans="1:5" s="506" customFormat="1" ht="12.75">
      <c r="A151" s="512">
        <v>3</v>
      </c>
      <c r="B151" s="511" t="s">
        <v>903</v>
      </c>
      <c r="C151" s="534">
        <f>C152+C153</f>
        <v>13655</v>
      </c>
      <c r="D151" s="534">
        <f>D152+D153</f>
        <v>12568</v>
      </c>
      <c r="E151" s="531">
        <f t="shared" si="17"/>
        <v>-1087</v>
      </c>
    </row>
    <row r="152" spans="1:5" s="506" customFormat="1" ht="12.75">
      <c r="A152" s="512">
        <v>4</v>
      </c>
      <c r="B152" s="511" t="s">
        <v>271</v>
      </c>
      <c r="C152" s="534">
        <v>11144</v>
      </c>
      <c r="D152" s="534">
        <v>9943</v>
      </c>
      <c r="E152" s="531">
        <f t="shared" si="17"/>
        <v>-1201</v>
      </c>
    </row>
    <row r="153" spans="1:5" s="506" customFormat="1" ht="12.75">
      <c r="A153" s="512">
        <v>5</v>
      </c>
      <c r="B153" s="511" t="s">
        <v>870</v>
      </c>
      <c r="C153" s="535">
        <v>2511</v>
      </c>
      <c r="D153" s="534">
        <v>2625</v>
      </c>
      <c r="E153" s="531">
        <f t="shared" si="17"/>
        <v>114</v>
      </c>
    </row>
    <row r="154" spans="1:5" s="506" customFormat="1" ht="12.75">
      <c r="A154" s="512">
        <v>6</v>
      </c>
      <c r="B154" s="511" t="s">
        <v>575</v>
      </c>
      <c r="C154" s="534">
        <v>38</v>
      </c>
      <c r="D154" s="534">
        <v>119</v>
      </c>
      <c r="E154" s="531">
        <f t="shared" si="17"/>
        <v>81</v>
      </c>
    </row>
    <row r="155" spans="1:5" s="506" customFormat="1" ht="12.75">
      <c r="A155" s="512">
        <v>7</v>
      </c>
      <c r="B155" s="511" t="s">
        <v>885</v>
      </c>
      <c r="C155" s="534">
        <v>1410</v>
      </c>
      <c r="D155" s="534">
        <v>1146</v>
      </c>
      <c r="E155" s="531">
        <f t="shared" si="17"/>
        <v>-264</v>
      </c>
    </row>
    <row r="156" spans="1:5" s="506" customFormat="1" ht="12.75">
      <c r="A156" s="512"/>
      <c r="B156" s="516" t="s">
        <v>934</v>
      </c>
      <c r="C156" s="532">
        <f>SUM(C150+C151+C154)</f>
        <v>53245</v>
      </c>
      <c r="D156" s="532">
        <f>SUM(D150+D151+D154)</f>
        <v>51314</v>
      </c>
      <c r="E156" s="533">
        <f t="shared" si="17"/>
        <v>-1931</v>
      </c>
    </row>
    <row r="157" spans="1:5" s="506" customFormat="1" ht="12.75">
      <c r="A157" s="512"/>
      <c r="B157" s="516" t="s">
        <v>935</v>
      </c>
      <c r="C157" s="532">
        <f>SUM(C149+C156)</f>
        <v>70997</v>
      </c>
      <c r="D157" s="532">
        <f>SUM(D149+D156)</f>
        <v>67682</v>
      </c>
      <c r="E157" s="533">
        <f t="shared" si="17"/>
        <v>-3315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193</v>
      </c>
      <c r="B159" s="509" t="s">
        <v>936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778</v>
      </c>
      <c r="C161" s="536">
        <f aca="true" t="shared" si="18" ref="C161:D169">IF(C137=0,0,C149/C137)</f>
        <v>3.592067988668555</v>
      </c>
      <c r="D161" s="536">
        <f t="shared" si="18"/>
        <v>3.618037135278515</v>
      </c>
      <c r="E161" s="537">
        <f aca="true" t="shared" si="19" ref="E161:E169">D161-C161</f>
        <v>0.025969146609959637</v>
      </c>
    </row>
    <row r="162" spans="1:5" s="506" customFormat="1" ht="12.75">
      <c r="A162" s="512">
        <v>2</v>
      </c>
      <c r="B162" s="511" t="s">
        <v>757</v>
      </c>
      <c r="C162" s="536">
        <f t="shared" si="18"/>
        <v>6.023758757234237</v>
      </c>
      <c r="D162" s="536">
        <f t="shared" si="18"/>
        <v>5.946274630541872</v>
      </c>
      <c r="E162" s="537">
        <f t="shared" si="19"/>
        <v>-0.07748412669236515</v>
      </c>
    </row>
    <row r="163" spans="1:5" s="506" customFormat="1" ht="12.75">
      <c r="A163" s="512">
        <v>3</v>
      </c>
      <c r="B163" s="511" t="s">
        <v>903</v>
      </c>
      <c r="C163" s="536">
        <f t="shared" si="18"/>
        <v>4.245957711442786</v>
      </c>
      <c r="D163" s="536">
        <f t="shared" si="18"/>
        <v>4.362374175633461</v>
      </c>
      <c r="E163" s="537">
        <f t="shared" si="19"/>
        <v>0.11641646419067442</v>
      </c>
    </row>
    <row r="164" spans="1:5" s="506" customFormat="1" ht="12.75">
      <c r="A164" s="512">
        <v>4</v>
      </c>
      <c r="B164" s="511" t="s">
        <v>271</v>
      </c>
      <c r="C164" s="536">
        <f t="shared" si="18"/>
        <v>4.082051282051282</v>
      </c>
      <c r="D164" s="536">
        <f t="shared" si="18"/>
        <v>4.207786711807025</v>
      </c>
      <c r="E164" s="537">
        <f t="shared" si="19"/>
        <v>0.1257354297557436</v>
      </c>
    </row>
    <row r="165" spans="1:5" s="506" customFormat="1" ht="12.75">
      <c r="A165" s="512">
        <v>5</v>
      </c>
      <c r="B165" s="511" t="s">
        <v>870</v>
      </c>
      <c r="C165" s="536">
        <f t="shared" si="18"/>
        <v>5.166666666666667</v>
      </c>
      <c r="D165" s="536">
        <f t="shared" si="18"/>
        <v>5.0675675675675675</v>
      </c>
      <c r="E165" s="537">
        <f t="shared" si="19"/>
        <v>-0.09909909909909942</v>
      </c>
    </row>
    <row r="166" spans="1:5" s="506" customFormat="1" ht="12.75">
      <c r="A166" s="512">
        <v>6</v>
      </c>
      <c r="B166" s="511" t="s">
        <v>575</v>
      </c>
      <c r="C166" s="536">
        <f t="shared" si="18"/>
        <v>3.1666666666666665</v>
      </c>
      <c r="D166" s="536">
        <f t="shared" si="18"/>
        <v>7.933333333333334</v>
      </c>
      <c r="E166" s="537">
        <f t="shared" si="19"/>
        <v>4.7666666666666675</v>
      </c>
    </row>
    <row r="167" spans="1:5" s="506" customFormat="1" ht="12.75">
      <c r="A167" s="512">
        <v>7</v>
      </c>
      <c r="B167" s="511" t="s">
        <v>885</v>
      </c>
      <c r="C167" s="536">
        <f t="shared" si="18"/>
        <v>4.208955223880597</v>
      </c>
      <c r="D167" s="536">
        <f t="shared" si="18"/>
        <v>4.324528301886793</v>
      </c>
      <c r="E167" s="537">
        <f t="shared" si="19"/>
        <v>0.11557307800619565</v>
      </c>
    </row>
    <row r="168" spans="1:5" s="506" customFormat="1" ht="12.75">
      <c r="A168" s="512"/>
      <c r="B168" s="516" t="s">
        <v>937</v>
      </c>
      <c r="C168" s="538">
        <f t="shared" si="18"/>
        <v>5.436491729630386</v>
      </c>
      <c r="D168" s="538">
        <f t="shared" si="18"/>
        <v>5.463586030664395</v>
      </c>
      <c r="E168" s="539">
        <f t="shared" si="19"/>
        <v>0.027094301034009227</v>
      </c>
    </row>
    <row r="169" spans="1:5" s="506" customFormat="1" ht="12.75">
      <c r="A169" s="512"/>
      <c r="B169" s="516" t="s">
        <v>871</v>
      </c>
      <c r="C169" s="538">
        <f t="shared" si="18"/>
        <v>4.81792888165038</v>
      </c>
      <c r="D169" s="538">
        <f t="shared" si="18"/>
        <v>4.863610232825525</v>
      </c>
      <c r="E169" s="539">
        <f t="shared" si="19"/>
        <v>0.045681351175145046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478</v>
      </c>
      <c r="B171" s="509" t="s">
        <v>938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778</v>
      </c>
      <c r="C173" s="541">
        <f aca="true" t="shared" si="20" ref="C173:D181">IF(C137=0,0,C203/C137)</f>
        <v>1.1925</v>
      </c>
      <c r="D173" s="541">
        <f t="shared" si="20"/>
        <v>1.29365</v>
      </c>
      <c r="E173" s="542">
        <f aca="true" t="shared" si="21" ref="E173:E181">D173-C173</f>
        <v>0.10115000000000007</v>
      </c>
    </row>
    <row r="174" spans="1:5" s="506" customFormat="1" ht="12.75">
      <c r="A174" s="512">
        <v>2</v>
      </c>
      <c r="B174" s="511" t="s">
        <v>757</v>
      </c>
      <c r="C174" s="541">
        <f t="shared" si="20"/>
        <v>1.5816</v>
      </c>
      <c r="D174" s="541">
        <f t="shared" si="20"/>
        <v>1.5927</v>
      </c>
      <c r="E174" s="542">
        <f t="shared" si="21"/>
        <v>0.01110000000000011</v>
      </c>
    </row>
    <row r="175" spans="1:5" s="506" customFormat="1" ht="12.75">
      <c r="A175" s="512">
        <v>0</v>
      </c>
      <c r="B175" s="511" t="s">
        <v>903</v>
      </c>
      <c r="C175" s="541">
        <f t="shared" si="20"/>
        <v>1.005844962686567</v>
      </c>
      <c r="D175" s="541">
        <f t="shared" si="20"/>
        <v>1.7559998958694898</v>
      </c>
      <c r="E175" s="542">
        <f t="shared" si="21"/>
        <v>0.7501549331829227</v>
      </c>
    </row>
    <row r="176" spans="1:5" s="506" customFormat="1" ht="12.75">
      <c r="A176" s="512">
        <v>4</v>
      </c>
      <c r="B176" s="511" t="s">
        <v>271</v>
      </c>
      <c r="C176" s="541">
        <f t="shared" si="20"/>
        <v>0.9802</v>
      </c>
      <c r="D176" s="541">
        <f t="shared" si="20"/>
        <v>1.8863</v>
      </c>
      <c r="E176" s="542">
        <f t="shared" si="21"/>
        <v>0.9061000000000001</v>
      </c>
    </row>
    <row r="177" spans="1:5" s="506" customFormat="1" ht="12.75">
      <c r="A177" s="512">
        <v>5</v>
      </c>
      <c r="B177" s="511" t="s">
        <v>870</v>
      </c>
      <c r="C177" s="541">
        <f t="shared" si="20"/>
        <v>1.1499</v>
      </c>
      <c r="D177" s="541">
        <f t="shared" si="20"/>
        <v>1.1616</v>
      </c>
      <c r="E177" s="542">
        <f t="shared" si="21"/>
        <v>0.011700000000000044</v>
      </c>
    </row>
    <row r="178" spans="1:5" s="506" customFormat="1" ht="12.75">
      <c r="A178" s="512">
        <v>6</v>
      </c>
      <c r="B178" s="511" t="s">
        <v>575</v>
      </c>
      <c r="C178" s="541">
        <f t="shared" si="20"/>
        <v>1.3294</v>
      </c>
      <c r="D178" s="541">
        <f t="shared" si="20"/>
        <v>1.6601</v>
      </c>
      <c r="E178" s="542">
        <f t="shared" si="21"/>
        <v>0.3307</v>
      </c>
    </row>
    <row r="179" spans="1:5" s="506" customFormat="1" ht="12.75">
      <c r="A179" s="512">
        <v>7</v>
      </c>
      <c r="B179" s="511" t="s">
        <v>885</v>
      </c>
      <c r="C179" s="541">
        <f t="shared" si="20"/>
        <v>1.119</v>
      </c>
      <c r="D179" s="541">
        <f t="shared" si="20"/>
        <v>1.1466</v>
      </c>
      <c r="E179" s="542">
        <f t="shared" si="21"/>
        <v>0.02760000000000007</v>
      </c>
    </row>
    <row r="180" spans="1:5" s="506" customFormat="1" ht="12.75">
      <c r="A180" s="512"/>
      <c r="B180" s="516" t="s">
        <v>939</v>
      </c>
      <c r="C180" s="543">
        <f t="shared" si="20"/>
        <v>1.3922335919950988</v>
      </c>
      <c r="D180" s="543">
        <f t="shared" si="20"/>
        <v>1.6428999574105623</v>
      </c>
      <c r="E180" s="544">
        <f t="shared" si="21"/>
        <v>0.2506663654154635</v>
      </c>
    </row>
    <row r="181" spans="1:5" s="506" customFormat="1" ht="12.75">
      <c r="A181" s="512"/>
      <c r="B181" s="516" t="s">
        <v>848</v>
      </c>
      <c r="C181" s="543">
        <f t="shared" si="20"/>
        <v>1.3252491042345276</v>
      </c>
      <c r="D181" s="543">
        <f t="shared" si="20"/>
        <v>1.5293610951422822</v>
      </c>
      <c r="E181" s="544">
        <f t="shared" si="21"/>
        <v>0.20411199090775467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499</v>
      </c>
      <c r="B183" s="509" t="s">
        <v>940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941</v>
      </c>
      <c r="C185" s="513">
        <v>237128412</v>
      </c>
      <c r="D185" s="513">
        <v>275365397</v>
      </c>
      <c r="E185" s="514">
        <f>D185-C185</f>
        <v>38236985</v>
      </c>
    </row>
    <row r="186" spans="1:5" s="506" customFormat="1" ht="25.5">
      <c r="A186" s="512">
        <v>2</v>
      </c>
      <c r="B186" s="511" t="s">
        <v>942</v>
      </c>
      <c r="C186" s="513">
        <v>87299529</v>
      </c>
      <c r="D186" s="513">
        <v>89650520</v>
      </c>
      <c r="E186" s="514">
        <f>D186-C186</f>
        <v>2350991</v>
      </c>
    </row>
    <row r="187" spans="1:5" s="506" customFormat="1" ht="12.75">
      <c r="A187" s="512"/>
      <c r="B187" s="511" t="s">
        <v>790</v>
      </c>
      <c r="C187" s="510"/>
      <c r="D187" s="510"/>
      <c r="E187" s="511"/>
    </row>
    <row r="188" spans="1:5" s="506" customFormat="1" ht="12.75">
      <c r="A188" s="512">
        <v>3</v>
      </c>
      <c r="B188" s="511" t="s">
        <v>874</v>
      </c>
      <c r="C188" s="546">
        <f>+C185-C186</f>
        <v>149828883</v>
      </c>
      <c r="D188" s="546">
        <f>+D185-D186</f>
        <v>185714877</v>
      </c>
      <c r="E188" s="514">
        <f aca="true" t="shared" si="22" ref="E188:E197">D188-C188</f>
        <v>35885994</v>
      </c>
    </row>
    <row r="189" spans="1:5" s="506" customFormat="1" ht="12.75">
      <c r="A189" s="512">
        <v>4</v>
      </c>
      <c r="B189" s="511" t="s">
        <v>792</v>
      </c>
      <c r="C189" s="547">
        <f>IF(C185=0,0,+C188/C185)</f>
        <v>0.631847030629126</v>
      </c>
      <c r="D189" s="547">
        <f>IF(D185=0,0,+D188/D185)</f>
        <v>0.6744306983495097</v>
      </c>
      <c r="E189" s="523">
        <f t="shared" si="22"/>
        <v>0.0425836677203838</v>
      </c>
    </row>
    <row r="190" spans="1:5" s="506" customFormat="1" ht="12.75">
      <c r="A190" s="512">
        <v>5</v>
      </c>
      <c r="B190" s="511" t="s">
        <v>889</v>
      </c>
      <c r="C190" s="513">
        <v>0</v>
      </c>
      <c r="D190" s="513">
        <v>0</v>
      </c>
      <c r="E190" s="546">
        <f t="shared" si="22"/>
        <v>0</v>
      </c>
    </row>
    <row r="191" spans="1:5" s="506" customFormat="1" ht="12.75">
      <c r="A191" s="512">
        <v>6</v>
      </c>
      <c r="B191" s="511" t="s">
        <v>875</v>
      </c>
      <c r="C191" s="513">
        <v>0</v>
      </c>
      <c r="D191" s="513">
        <v>0</v>
      </c>
      <c r="E191" s="546">
        <f t="shared" si="22"/>
        <v>0</v>
      </c>
    </row>
    <row r="192" spans="1:5" ht="29.25">
      <c r="A192" s="512">
        <v>7</v>
      </c>
      <c r="B192" s="548" t="s">
        <v>943</v>
      </c>
      <c r="C192" s="513">
        <v>1605901</v>
      </c>
      <c r="D192" s="513">
        <v>1753777</v>
      </c>
      <c r="E192" s="546">
        <f t="shared" si="22"/>
        <v>147876</v>
      </c>
    </row>
    <row r="193" spans="1:5" s="506" customFormat="1" ht="12.75">
      <c r="A193" s="512">
        <v>8</v>
      </c>
      <c r="B193" s="511" t="s">
        <v>944</v>
      </c>
      <c r="C193" s="513">
        <v>2588984</v>
      </c>
      <c r="D193" s="513">
        <v>1809921</v>
      </c>
      <c r="E193" s="546">
        <f t="shared" si="22"/>
        <v>-779063</v>
      </c>
    </row>
    <row r="194" spans="1:5" s="506" customFormat="1" ht="12.75">
      <c r="A194" s="512">
        <v>9</v>
      </c>
      <c r="B194" s="511" t="s">
        <v>945</v>
      </c>
      <c r="C194" s="513">
        <v>17717523</v>
      </c>
      <c r="D194" s="513">
        <v>14319487</v>
      </c>
      <c r="E194" s="546">
        <f t="shared" si="22"/>
        <v>-3398036</v>
      </c>
    </row>
    <row r="195" spans="1:5" s="506" customFormat="1" ht="12.75">
      <c r="A195" s="512">
        <v>10</v>
      </c>
      <c r="B195" s="511" t="s">
        <v>946</v>
      </c>
      <c r="C195" s="513">
        <f>+C193+C194</f>
        <v>20306507</v>
      </c>
      <c r="D195" s="513">
        <f>+D193+D194</f>
        <v>16129408</v>
      </c>
      <c r="E195" s="549">
        <f t="shared" si="22"/>
        <v>-4177099</v>
      </c>
    </row>
    <row r="196" spans="1:5" s="506" customFormat="1" ht="12.75">
      <c r="A196" s="512">
        <v>11</v>
      </c>
      <c r="B196" s="511" t="s">
        <v>947</v>
      </c>
      <c r="C196" s="513">
        <v>237128412</v>
      </c>
      <c r="D196" s="513">
        <v>275365397</v>
      </c>
      <c r="E196" s="546">
        <f t="shared" si="22"/>
        <v>38236985</v>
      </c>
    </row>
    <row r="197" spans="1:5" s="506" customFormat="1" ht="12.75">
      <c r="A197" s="512">
        <v>12</v>
      </c>
      <c r="B197" s="511" t="s">
        <v>832</v>
      </c>
      <c r="C197" s="513">
        <v>227689900</v>
      </c>
      <c r="D197" s="513">
        <v>253532594</v>
      </c>
      <c r="E197" s="546">
        <f t="shared" si="22"/>
        <v>25842694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301</v>
      </c>
      <c r="B199" s="550" t="s">
        <v>948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171</v>
      </c>
      <c r="B201" s="509" t="s">
        <v>949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778</v>
      </c>
      <c r="C203" s="553">
        <v>5893.334999999999</v>
      </c>
      <c r="D203" s="553">
        <v>5852.4726</v>
      </c>
      <c r="E203" s="554">
        <f aca="true" t="shared" si="23" ref="E203:E211">D203-C203</f>
        <v>-40.86239999999907</v>
      </c>
    </row>
    <row r="204" spans="1:5" s="506" customFormat="1" ht="12.75">
      <c r="A204" s="512">
        <v>2</v>
      </c>
      <c r="B204" s="511" t="s">
        <v>757</v>
      </c>
      <c r="C204" s="553">
        <v>10384.7856</v>
      </c>
      <c r="D204" s="553">
        <v>10346.1792</v>
      </c>
      <c r="E204" s="554">
        <f t="shared" si="23"/>
        <v>-38.60639999999876</v>
      </c>
    </row>
    <row r="205" spans="1:5" s="506" customFormat="1" ht="12.75">
      <c r="A205" s="512">
        <v>3</v>
      </c>
      <c r="B205" s="511" t="s">
        <v>903</v>
      </c>
      <c r="C205" s="553">
        <f>C206+C207</f>
        <v>3234.7974</v>
      </c>
      <c r="D205" s="553">
        <f>D206+D207</f>
        <v>5059.0357</v>
      </c>
      <c r="E205" s="554">
        <f t="shared" si="23"/>
        <v>1824.2383000000004</v>
      </c>
    </row>
    <row r="206" spans="1:5" s="506" customFormat="1" ht="12.75">
      <c r="A206" s="512">
        <v>4</v>
      </c>
      <c r="B206" s="511" t="s">
        <v>271</v>
      </c>
      <c r="C206" s="553">
        <v>2675.946</v>
      </c>
      <c r="D206" s="553">
        <v>4457.3269</v>
      </c>
      <c r="E206" s="554">
        <f t="shared" si="23"/>
        <v>1781.3809</v>
      </c>
    </row>
    <row r="207" spans="1:5" s="506" customFormat="1" ht="12.75">
      <c r="A207" s="512">
        <v>5</v>
      </c>
      <c r="B207" s="511" t="s">
        <v>870</v>
      </c>
      <c r="C207" s="553">
        <v>558.8514</v>
      </c>
      <c r="D207" s="553">
        <v>601.7088</v>
      </c>
      <c r="E207" s="554">
        <f t="shared" si="23"/>
        <v>42.857399999999984</v>
      </c>
    </row>
    <row r="208" spans="1:5" s="506" customFormat="1" ht="12.75">
      <c r="A208" s="512">
        <v>6</v>
      </c>
      <c r="B208" s="511" t="s">
        <v>575</v>
      </c>
      <c r="C208" s="553">
        <v>15.9528</v>
      </c>
      <c r="D208" s="553">
        <v>24.9015</v>
      </c>
      <c r="E208" s="554">
        <f t="shared" si="23"/>
        <v>8.948699999999999</v>
      </c>
    </row>
    <row r="209" spans="1:5" s="506" customFormat="1" ht="12.75">
      <c r="A209" s="512">
        <v>7</v>
      </c>
      <c r="B209" s="511" t="s">
        <v>885</v>
      </c>
      <c r="C209" s="553">
        <v>374.865</v>
      </c>
      <c r="D209" s="553">
        <v>303.849</v>
      </c>
      <c r="E209" s="554">
        <f t="shared" si="23"/>
        <v>-71.01600000000002</v>
      </c>
    </row>
    <row r="210" spans="1:5" s="506" customFormat="1" ht="12.75">
      <c r="A210" s="512"/>
      <c r="B210" s="516" t="s">
        <v>950</v>
      </c>
      <c r="C210" s="555">
        <f>C204+C205+C208</f>
        <v>13635.535799999998</v>
      </c>
      <c r="D210" s="555">
        <f>D204+D205+D208</f>
        <v>15430.1164</v>
      </c>
      <c r="E210" s="556">
        <f t="shared" si="23"/>
        <v>1794.580600000003</v>
      </c>
    </row>
    <row r="211" spans="1:5" s="506" customFormat="1" ht="12.75">
      <c r="A211" s="512"/>
      <c r="B211" s="516" t="s">
        <v>849</v>
      </c>
      <c r="C211" s="555">
        <f>C210+C203</f>
        <v>19528.870799999997</v>
      </c>
      <c r="D211" s="555">
        <f>D210+D203</f>
        <v>21282.589</v>
      </c>
      <c r="E211" s="556">
        <f t="shared" si="23"/>
        <v>1753.718200000003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183</v>
      </c>
      <c r="B213" s="509" t="s">
        <v>951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778</v>
      </c>
      <c r="C215" s="557">
        <f>IF(C14*C137=0,0,C25/C14*C137)</f>
        <v>4832.9513642495385</v>
      </c>
      <c r="D215" s="557">
        <f>IF(D14*D137=0,0,D25/D14*D137)</f>
        <v>4322.765339624672</v>
      </c>
      <c r="E215" s="557">
        <f aca="true" t="shared" si="24" ref="E215:E223">D215-C215</f>
        <v>-510.18602462486615</v>
      </c>
    </row>
    <row r="216" spans="1:5" s="506" customFormat="1" ht="12.75">
      <c r="A216" s="512">
        <v>2</v>
      </c>
      <c r="B216" s="511" t="s">
        <v>757</v>
      </c>
      <c r="C216" s="557">
        <f>IF(C15*C138=0,0,C26/C15*C138)</f>
        <v>2084.2000458729344</v>
      </c>
      <c r="D216" s="557">
        <f>IF(D15*D138=0,0,D26/D15*D138)</f>
        <v>2076.6350710367024</v>
      </c>
      <c r="E216" s="557">
        <f t="shared" si="24"/>
        <v>-7.564974836232068</v>
      </c>
    </row>
    <row r="217" spans="1:5" s="506" customFormat="1" ht="12.75">
      <c r="A217" s="512">
        <v>3</v>
      </c>
      <c r="B217" s="511" t="s">
        <v>903</v>
      </c>
      <c r="C217" s="557">
        <f>C218+C219</f>
        <v>2704.0136027853628</v>
      </c>
      <c r="D217" s="557">
        <f>D218+D219</f>
        <v>2568.0390869259004</v>
      </c>
      <c r="E217" s="557">
        <f t="shared" si="24"/>
        <v>-135.97451585946237</v>
      </c>
    </row>
    <row r="218" spans="1:5" s="506" customFormat="1" ht="12.75">
      <c r="A218" s="512">
        <v>4</v>
      </c>
      <c r="B218" s="511" t="s">
        <v>271</v>
      </c>
      <c r="C218" s="557">
        <f aca="true" t="shared" si="25" ref="C218:D221">IF(C17*C140=0,0,C28/C17*C140)</f>
        <v>2295.3050628759497</v>
      </c>
      <c r="D218" s="557">
        <f t="shared" si="25"/>
        <v>2152.158102383471</v>
      </c>
      <c r="E218" s="557">
        <f t="shared" si="24"/>
        <v>-143.14696049247868</v>
      </c>
    </row>
    <row r="219" spans="1:5" s="506" customFormat="1" ht="12.75">
      <c r="A219" s="512">
        <v>5</v>
      </c>
      <c r="B219" s="511" t="s">
        <v>870</v>
      </c>
      <c r="C219" s="557">
        <f t="shared" si="25"/>
        <v>408.7085399094132</v>
      </c>
      <c r="D219" s="557">
        <f t="shared" si="25"/>
        <v>415.88098454242925</v>
      </c>
      <c r="E219" s="557">
        <f t="shared" si="24"/>
        <v>7.172444633016028</v>
      </c>
    </row>
    <row r="220" spans="1:5" s="506" customFormat="1" ht="12.75">
      <c r="A220" s="512">
        <v>6</v>
      </c>
      <c r="B220" s="511" t="s">
        <v>575</v>
      </c>
      <c r="C220" s="557">
        <f t="shared" si="25"/>
        <v>13.887313905030656</v>
      </c>
      <c r="D220" s="557">
        <f t="shared" si="25"/>
        <v>8.665312598068272</v>
      </c>
      <c r="E220" s="557">
        <f t="shared" si="24"/>
        <v>-5.222001306962383</v>
      </c>
    </row>
    <row r="221" spans="1:5" s="506" customFormat="1" ht="12.75">
      <c r="A221" s="512">
        <v>7</v>
      </c>
      <c r="B221" s="511" t="s">
        <v>885</v>
      </c>
      <c r="C221" s="557">
        <f t="shared" si="25"/>
        <v>379.3958675257395</v>
      </c>
      <c r="D221" s="557">
        <f t="shared" si="25"/>
        <v>332.6172845061502</v>
      </c>
      <c r="E221" s="557">
        <f t="shared" si="24"/>
        <v>-46.77858301958929</v>
      </c>
    </row>
    <row r="222" spans="1:5" s="506" customFormat="1" ht="12.75">
      <c r="A222" s="512"/>
      <c r="B222" s="516" t="s">
        <v>952</v>
      </c>
      <c r="C222" s="558">
        <f>C216+C218+C219+C220</f>
        <v>4802.100962563329</v>
      </c>
      <c r="D222" s="558">
        <f>D216+D218+D219+D220</f>
        <v>4653.3394705606715</v>
      </c>
      <c r="E222" s="558">
        <f t="shared" si="24"/>
        <v>-148.76149200265718</v>
      </c>
    </row>
    <row r="223" spans="1:5" s="506" customFormat="1" ht="12.75">
      <c r="A223" s="512"/>
      <c r="B223" s="516" t="s">
        <v>953</v>
      </c>
      <c r="C223" s="558">
        <f>C215+C222</f>
        <v>9635.052326812867</v>
      </c>
      <c r="D223" s="558">
        <f>D215+D222</f>
        <v>8976.104810185345</v>
      </c>
      <c r="E223" s="558">
        <f t="shared" si="24"/>
        <v>-658.9475166275224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193</v>
      </c>
      <c r="B225" s="509" t="s">
        <v>954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778</v>
      </c>
      <c r="C227" s="560">
        <f aca="true" t="shared" si="26" ref="C227:D235">IF(C203=0,0,C47/C203)</f>
        <v>7931.893062247438</v>
      </c>
      <c r="D227" s="560">
        <f t="shared" si="26"/>
        <v>8821.213105722187</v>
      </c>
      <c r="E227" s="560">
        <f aca="true" t="shared" si="27" ref="E227:E235">D227-C227</f>
        <v>889.3200434747487</v>
      </c>
    </row>
    <row r="228" spans="1:5" s="506" customFormat="1" ht="12.75">
      <c r="A228" s="512">
        <v>2</v>
      </c>
      <c r="B228" s="511" t="s">
        <v>757</v>
      </c>
      <c r="C228" s="560">
        <f t="shared" si="26"/>
        <v>7433.652168996152</v>
      </c>
      <c r="D228" s="560">
        <f t="shared" si="26"/>
        <v>8246.183479984573</v>
      </c>
      <c r="E228" s="560">
        <f t="shared" si="27"/>
        <v>812.531310988421</v>
      </c>
    </row>
    <row r="229" spans="1:5" s="506" customFormat="1" ht="12.75">
      <c r="A229" s="512">
        <v>3</v>
      </c>
      <c r="B229" s="511" t="s">
        <v>903</v>
      </c>
      <c r="C229" s="560">
        <f t="shared" si="26"/>
        <v>3993.5137823469254</v>
      </c>
      <c r="D229" s="560">
        <f t="shared" si="26"/>
        <v>2695.526540759536</v>
      </c>
      <c r="E229" s="560">
        <f t="shared" si="27"/>
        <v>-1297.9872415873892</v>
      </c>
    </row>
    <row r="230" spans="1:5" s="506" customFormat="1" ht="12.75">
      <c r="A230" s="512">
        <v>4</v>
      </c>
      <c r="B230" s="511" t="s">
        <v>271</v>
      </c>
      <c r="C230" s="560">
        <f t="shared" si="26"/>
        <v>4397.907132655143</v>
      </c>
      <c r="D230" s="560">
        <f t="shared" si="26"/>
        <v>2714.271192449448</v>
      </c>
      <c r="E230" s="560">
        <f t="shared" si="27"/>
        <v>-1683.635940205695</v>
      </c>
    </row>
    <row r="231" spans="1:5" s="506" customFormat="1" ht="12.75">
      <c r="A231" s="512">
        <v>5</v>
      </c>
      <c r="B231" s="511" t="s">
        <v>870</v>
      </c>
      <c r="C231" s="560">
        <f t="shared" si="26"/>
        <v>2057.1586650762615</v>
      </c>
      <c r="D231" s="560">
        <f t="shared" si="26"/>
        <v>2556.6702697384517</v>
      </c>
      <c r="E231" s="560">
        <f t="shared" si="27"/>
        <v>499.51160466219017</v>
      </c>
    </row>
    <row r="232" spans="1:5" s="506" customFormat="1" ht="12.75">
      <c r="A232" s="512">
        <v>6</v>
      </c>
      <c r="B232" s="511" t="s">
        <v>575</v>
      </c>
      <c r="C232" s="560">
        <f t="shared" si="26"/>
        <v>4258.56276014242</v>
      </c>
      <c r="D232" s="560">
        <f t="shared" si="26"/>
        <v>4296.086581129651</v>
      </c>
      <c r="E232" s="560">
        <f t="shared" si="27"/>
        <v>37.523820987230465</v>
      </c>
    </row>
    <row r="233" spans="1:5" s="506" customFormat="1" ht="12.75">
      <c r="A233" s="512">
        <v>7</v>
      </c>
      <c r="B233" s="511" t="s">
        <v>885</v>
      </c>
      <c r="C233" s="560">
        <f t="shared" si="26"/>
        <v>886.9246261987648</v>
      </c>
      <c r="D233" s="560">
        <f t="shared" si="26"/>
        <v>3394.0707390842163</v>
      </c>
      <c r="E233" s="560">
        <f t="shared" si="27"/>
        <v>2507.1461128854517</v>
      </c>
    </row>
    <row r="234" spans="1:5" ht="12.75">
      <c r="A234" s="512"/>
      <c r="B234" s="516" t="s">
        <v>955</v>
      </c>
      <c r="C234" s="561">
        <f t="shared" si="26"/>
        <v>6613.823565334339</v>
      </c>
      <c r="D234" s="561">
        <f t="shared" si="26"/>
        <v>6419.927979286014</v>
      </c>
      <c r="E234" s="561">
        <f t="shared" si="27"/>
        <v>-193.89558604832473</v>
      </c>
    </row>
    <row r="235" spans="1:5" s="506" customFormat="1" ht="12.75">
      <c r="A235" s="512"/>
      <c r="B235" s="516" t="s">
        <v>956</v>
      </c>
      <c r="C235" s="561">
        <f t="shared" si="26"/>
        <v>7011.584663666269</v>
      </c>
      <c r="D235" s="561">
        <f t="shared" si="26"/>
        <v>7080.25438070528</v>
      </c>
      <c r="E235" s="561">
        <f t="shared" si="27"/>
        <v>68.66971703901072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478</v>
      </c>
      <c r="B237" s="509" t="s">
        <v>957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778</v>
      </c>
      <c r="C239" s="560">
        <f aca="true" t="shared" si="28" ref="C239:D247">IF(C215=0,0,C58/C215)</f>
        <v>8243.77962805894</v>
      </c>
      <c r="D239" s="560">
        <f t="shared" si="28"/>
        <v>9690.964396331836</v>
      </c>
      <c r="E239" s="562">
        <f aca="true" t="shared" si="29" ref="E239:E247">D239-C239</f>
        <v>1447.1847682728967</v>
      </c>
    </row>
    <row r="240" spans="1:5" s="506" customFormat="1" ht="12.75">
      <c r="A240" s="512">
        <v>2</v>
      </c>
      <c r="B240" s="511" t="s">
        <v>757</v>
      </c>
      <c r="C240" s="560">
        <f t="shared" si="28"/>
        <v>8507.378183351693</v>
      </c>
      <c r="D240" s="560">
        <f t="shared" si="28"/>
        <v>9681.784383022517</v>
      </c>
      <c r="E240" s="562">
        <f t="shared" si="29"/>
        <v>1174.4061996708242</v>
      </c>
    </row>
    <row r="241" spans="1:5" ht="12.75">
      <c r="A241" s="512">
        <v>3</v>
      </c>
      <c r="B241" s="511" t="s">
        <v>903</v>
      </c>
      <c r="C241" s="560">
        <f t="shared" si="28"/>
        <v>3289.582563799723</v>
      </c>
      <c r="D241" s="560">
        <f t="shared" si="28"/>
        <v>4254.700427118254</v>
      </c>
      <c r="E241" s="562">
        <f t="shared" si="29"/>
        <v>965.1178633185309</v>
      </c>
    </row>
    <row r="242" spans="1:5" ht="12.75">
      <c r="A242" s="512">
        <v>4</v>
      </c>
      <c r="B242" s="511" t="s">
        <v>271</v>
      </c>
      <c r="C242" s="560">
        <f t="shared" si="28"/>
        <v>3395.495059046629</v>
      </c>
      <c r="D242" s="560">
        <f t="shared" si="28"/>
        <v>4425.869079716341</v>
      </c>
      <c r="E242" s="562">
        <f t="shared" si="29"/>
        <v>1030.3740206697116</v>
      </c>
    </row>
    <row r="243" spans="1:5" ht="12.75">
      <c r="A243" s="512">
        <v>5</v>
      </c>
      <c r="B243" s="511" t="s">
        <v>870</v>
      </c>
      <c r="C243" s="560">
        <f t="shared" si="28"/>
        <v>2694.7785339746297</v>
      </c>
      <c r="D243" s="560">
        <f t="shared" si="28"/>
        <v>3368.9133479894886</v>
      </c>
      <c r="E243" s="562">
        <f t="shared" si="29"/>
        <v>674.1348140148589</v>
      </c>
    </row>
    <row r="244" spans="1:5" ht="12.75">
      <c r="A244" s="512">
        <v>6</v>
      </c>
      <c r="B244" s="511" t="s">
        <v>575</v>
      </c>
      <c r="C244" s="560">
        <f t="shared" si="28"/>
        <v>6435.585787948869</v>
      </c>
      <c r="D244" s="560">
        <f t="shared" si="28"/>
        <v>15922.79544892108</v>
      </c>
      <c r="E244" s="562">
        <f t="shared" si="29"/>
        <v>9487.20966097221</v>
      </c>
    </row>
    <row r="245" spans="1:5" ht="12.75">
      <c r="A245" s="512">
        <v>7</v>
      </c>
      <c r="B245" s="511" t="s">
        <v>885</v>
      </c>
      <c r="C245" s="560">
        <f t="shared" si="28"/>
        <v>1919.9233896520554</v>
      </c>
      <c r="D245" s="560">
        <f t="shared" si="28"/>
        <v>10950.540364755614</v>
      </c>
      <c r="E245" s="562">
        <f t="shared" si="29"/>
        <v>9030.61697510356</v>
      </c>
    </row>
    <row r="246" spans="1:5" ht="25.5">
      <c r="A246" s="512"/>
      <c r="B246" s="516" t="s">
        <v>958</v>
      </c>
      <c r="C246" s="561">
        <f t="shared" si="28"/>
        <v>5563.299732402843</v>
      </c>
      <c r="D246" s="561">
        <f t="shared" si="28"/>
        <v>6698.360649850551</v>
      </c>
      <c r="E246" s="563">
        <f t="shared" si="29"/>
        <v>1135.0609174477086</v>
      </c>
    </row>
    <row r="247" spans="1:5" ht="12.75">
      <c r="A247" s="512"/>
      <c r="B247" s="516" t="s">
        <v>959</v>
      </c>
      <c r="C247" s="561">
        <f t="shared" si="28"/>
        <v>6907.830984454671</v>
      </c>
      <c r="D247" s="561">
        <f t="shared" si="28"/>
        <v>8139.5563604711715</v>
      </c>
      <c r="E247" s="563">
        <f t="shared" si="29"/>
        <v>1231.7253760165004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887</v>
      </c>
      <c r="B249" s="550" t="s">
        <v>884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271</v>
      </c>
      <c r="C251" s="546">
        <f>((IF((IF(C15=0,0,C26/C15)*C138)=0,0,C59/(IF(C15=0,0,C26/C15)*C138)))-(IF((IF(C17=0,0,C28/C17)*C140)=0,0,C61/(IF(C17=0,0,C28/C17)*C140))))*(IF(C17=0,0,C28/C17)*C140)</f>
        <v>11733331.216047542</v>
      </c>
      <c r="D251" s="546">
        <f>((IF((IF(D15=0,0,D26/D15)*D138)=0,0,D59/(IF(D15=0,0,D26/D15)*D138)))-(IF((IF(D17=0,0,D28/D17)*D140)=0,0,D61/(IF(D17=0,0,D28/D17)*D140))))*(IF(D17=0,0,D28/D17)*D140)</f>
        <v>11311560.705451667</v>
      </c>
      <c r="E251" s="546">
        <f>D251-C251</f>
        <v>-421770.51059587486</v>
      </c>
    </row>
    <row r="252" spans="1:5" ht="12.75">
      <c r="A252" s="512">
        <v>2</v>
      </c>
      <c r="B252" s="511" t="s">
        <v>870</v>
      </c>
      <c r="C252" s="546">
        <f>IF(C231=0,0,(C228-C231)*C207)+IF(C243=0,0,(C240-C243)*C219)</f>
        <v>5380320.037531403</v>
      </c>
      <c r="D252" s="546">
        <f>IF(D231=0,0,(D228-D231)*D207)+IF(D243=0,0,(D240-D243)*D219)</f>
        <v>6048833.187660262</v>
      </c>
      <c r="E252" s="546">
        <f>D252-C252</f>
        <v>668513.1501288591</v>
      </c>
    </row>
    <row r="253" spans="1:5" ht="12.75">
      <c r="A253" s="512">
        <v>3</v>
      </c>
      <c r="B253" s="511" t="s">
        <v>885</v>
      </c>
      <c r="C253" s="546">
        <f>IF(C233=0,0,(C228-C233)*C209+IF(C221=0,0,(C240-C245)*C221))</f>
        <v>4953392.146573008</v>
      </c>
      <c r="D253" s="546">
        <f>IF(D233=0,0,(D228-D233)*D209+IF(D221=0,0,(D240-D245)*D221))</f>
        <v>1052299.434864835</v>
      </c>
      <c r="E253" s="546">
        <f>D253-C253</f>
        <v>-3901092.711708173</v>
      </c>
    </row>
    <row r="254" spans="1:5" ht="15" customHeight="1">
      <c r="A254" s="512"/>
      <c r="B254" s="516" t="s">
        <v>886</v>
      </c>
      <c r="C254" s="564">
        <f>+C251+C252+C253</f>
        <v>22067043.400151953</v>
      </c>
      <c r="D254" s="564">
        <f>+D251+D252+D253</f>
        <v>18412693.327976763</v>
      </c>
      <c r="E254" s="564">
        <f>D254-C254</f>
        <v>-3654350.07217519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960</v>
      </c>
      <c r="B256" s="550" t="s">
        <v>961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852</v>
      </c>
      <c r="C258" s="546">
        <f>+C44</f>
        <v>709569118</v>
      </c>
      <c r="D258" s="549">
        <f>+D44</f>
        <v>844914267</v>
      </c>
      <c r="E258" s="546">
        <f aca="true" t="shared" si="30" ref="E258:E271">D258-C258</f>
        <v>135345149</v>
      </c>
    </row>
    <row r="259" spans="1:5" ht="12.75">
      <c r="A259" s="512">
        <v>2</v>
      </c>
      <c r="B259" s="511" t="s">
        <v>869</v>
      </c>
      <c r="C259" s="546">
        <f>+(C43-C76)</f>
        <v>335948086</v>
      </c>
      <c r="D259" s="549">
        <f>+(D43-D76)</f>
        <v>419322325</v>
      </c>
      <c r="E259" s="546">
        <f t="shared" si="30"/>
        <v>83374239</v>
      </c>
    </row>
    <row r="260" spans="1:5" ht="12.75">
      <c r="A260" s="512">
        <v>3</v>
      </c>
      <c r="B260" s="511" t="s">
        <v>873</v>
      </c>
      <c r="C260" s="546">
        <f>C195</f>
        <v>20306507</v>
      </c>
      <c r="D260" s="546">
        <f>D195</f>
        <v>16129408</v>
      </c>
      <c r="E260" s="546">
        <f t="shared" si="30"/>
        <v>-4177099</v>
      </c>
    </row>
    <row r="261" spans="1:5" ht="12.75">
      <c r="A261" s="512">
        <v>4</v>
      </c>
      <c r="B261" s="511" t="s">
        <v>874</v>
      </c>
      <c r="C261" s="546">
        <f>C188</f>
        <v>149828883</v>
      </c>
      <c r="D261" s="546">
        <f>D188</f>
        <v>185714877</v>
      </c>
      <c r="E261" s="546">
        <f t="shared" si="30"/>
        <v>35885994</v>
      </c>
    </row>
    <row r="262" spans="1:5" ht="12.75">
      <c r="A262" s="512">
        <v>5</v>
      </c>
      <c r="B262" s="511" t="s">
        <v>875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ht="12.75">
      <c r="A263" s="512">
        <v>6</v>
      </c>
      <c r="B263" s="511" t="s">
        <v>876</v>
      </c>
      <c r="C263" s="546">
        <f>+C259+C260+C261+C262</f>
        <v>506083476</v>
      </c>
      <c r="D263" s="546">
        <f>+D259+D260+D261+D262</f>
        <v>621166610</v>
      </c>
      <c r="E263" s="546">
        <f t="shared" si="30"/>
        <v>115083134</v>
      </c>
    </row>
    <row r="264" spans="1:5" ht="12.75">
      <c r="A264" s="512">
        <v>7</v>
      </c>
      <c r="B264" s="511" t="s">
        <v>776</v>
      </c>
      <c r="C264" s="546">
        <f>+C258-C263</f>
        <v>203485642</v>
      </c>
      <c r="D264" s="546">
        <f>+D258-D263</f>
        <v>223747657</v>
      </c>
      <c r="E264" s="546">
        <f t="shared" si="30"/>
        <v>20262015</v>
      </c>
    </row>
    <row r="265" spans="1:5" ht="12.75">
      <c r="A265" s="512">
        <v>8</v>
      </c>
      <c r="B265" s="511" t="s">
        <v>962</v>
      </c>
      <c r="C265" s="565">
        <f>C192</f>
        <v>1605901</v>
      </c>
      <c r="D265" s="565">
        <f>D192</f>
        <v>1753777</v>
      </c>
      <c r="E265" s="546">
        <f t="shared" si="30"/>
        <v>147876</v>
      </c>
    </row>
    <row r="266" spans="1:5" ht="12.75">
      <c r="A266" s="512">
        <v>9</v>
      </c>
      <c r="B266" s="511" t="s">
        <v>963</v>
      </c>
      <c r="C266" s="546">
        <f>+C264+C265</f>
        <v>205091543</v>
      </c>
      <c r="D266" s="546">
        <f>+D264+D265</f>
        <v>225501434</v>
      </c>
      <c r="E266" s="565">
        <f t="shared" si="30"/>
        <v>20409891</v>
      </c>
    </row>
    <row r="267" spans="1:5" ht="12.75">
      <c r="A267" s="512">
        <v>10</v>
      </c>
      <c r="B267" s="511" t="s">
        <v>964</v>
      </c>
      <c r="C267" s="566">
        <f>IF(C258=0,0,C266/C258)</f>
        <v>0.28903673764449256</v>
      </c>
      <c r="D267" s="566">
        <f>IF(D258=0,0,D266/D258)</f>
        <v>0.2668926810771915</v>
      </c>
      <c r="E267" s="567">
        <f t="shared" si="30"/>
        <v>-0.022144056567301063</v>
      </c>
    </row>
    <row r="268" spans="1:5" ht="12.75">
      <c r="A268" s="512">
        <v>11</v>
      </c>
      <c r="B268" s="511" t="s">
        <v>838</v>
      </c>
      <c r="C268" s="546">
        <f>+C260*C267</f>
        <v>5869326.536235051</v>
      </c>
      <c r="D268" s="568">
        <f>+D260*D267</f>
        <v>4304820.945307901</v>
      </c>
      <c r="E268" s="546">
        <f t="shared" si="30"/>
        <v>-1564505.59092715</v>
      </c>
    </row>
    <row r="269" spans="1:5" ht="12.75">
      <c r="A269" s="512">
        <v>12</v>
      </c>
      <c r="B269" s="511" t="s">
        <v>965</v>
      </c>
      <c r="C269" s="546">
        <f>((C17+C18+C28+C29)*C267)-(C50+C51+C61+C62)</f>
        <v>12731086.506987087</v>
      </c>
      <c r="D269" s="568">
        <f>((D17+D18+D28+D29)*D267)-(D50+D51+D61+D62)</f>
        <v>13751722.165912598</v>
      </c>
      <c r="E269" s="546">
        <f t="shared" si="30"/>
        <v>1020635.658925511</v>
      </c>
    </row>
    <row r="270" spans="1:5" s="569" customFormat="1" ht="12.75">
      <c r="A270" s="570">
        <v>13</v>
      </c>
      <c r="B270" s="571" t="s">
        <v>966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967</v>
      </c>
      <c r="C271" s="546">
        <f>+C268+C269+C270</f>
        <v>18600413.043222137</v>
      </c>
      <c r="D271" s="546">
        <f>+D268+D269+D270</f>
        <v>18056543.1112205</v>
      </c>
      <c r="E271" s="549">
        <f t="shared" si="30"/>
        <v>-543869.9320016354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968</v>
      </c>
      <c r="B273" s="550" t="s">
        <v>969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171</v>
      </c>
      <c r="B275" s="509" t="s">
        <v>970</v>
      </c>
      <c r="C275" s="340"/>
      <c r="D275" s="340"/>
      <c r="E275" s="520"/>
    </row>
    <row r="276" spans="1:5" ht="12.75">
      <c r="A276" s="512">
        <v>1</v>
      </c>
      <c r="B276" s="511" t="s">
        <v>778</v>
      </c>
      <c r="C276" s="547">
        <f aca="true" t="shared" si="31" ref="C276:D284">IF(C14=0,0,+C47/C14)</f>
        <v>0.36015209792110336</v>
      </c>
      <c r="D276" s="547">
        <f t="shared" si="31"/>
        <v>0.34180235711234397</v>
      </c>
      <c r="E276" s="574">
        <f aca="true" t="shared" si="32" ref="E276:E284">D276-C276</f>
        <v>-0.018349740808759396</v>
      </c>
    </row>
    <row r="277" spans="1:5" ht="12.75">
      <c r="A277" s="512">
        <v>2</v>
      </c>
      <c r="B277" s="511" t="s">
        <v>757</v>
      </c>
      <c r="C277" s="547">
        <f t="shared" si="31"/>
        <v>0.30564885238674866</v>
      </c>
      <c r="D277" s="547">
        <f t="shared" si="31"/>
        <v>0.2781885684121761</v>
      </c>
      <c r="E277" s="574">
        <f t="shared" si="32"/>
        <v>-0.027460283974572564</v>
      </c>
    </row>
    <row r="278" spans="1:5" ht="12.75">
      <c r="A278" s="512">
        <v>3</v>
      </c>
      <c r="B278" s="511" t="s">
        <v>903</v>
      </c>
      <c r="C278" s="547">
        <f t="shared" si="31"/>
        <v>0.1989700485434127</v>
      </c>
      <c r="D278" s="547">
        <f t="shared" si="31"/>
        <v>0.17882036452471706</v>
      </c>
      <c r="E278" s="574">
        <f t="shared" si="32"/>
        <v>-0.02014968401869563</v>
      </c>
    </row>
    <row r="279" spans="1:5" ht="12.75">
      <c r="A279" s="512">
        <v>4</v>
      </c>
      <c r="B279" s="511" t="s">
        <v>271</v>
      </c>
      <c r="C279" s="547">
        <f t="shared" si="31"/>
        <v>0.23153110218415004</v>
      </c>
      <c r="D279" s="547">
        <f t="shared" si="31"/>
        <v>0.2149734222929703</v>
      </c>
      <c r="E279" s="574">
        <f t="shared" si="32"/>
        <v>-0.016557679891179733</v>
      </c>
    </row>
    <row r="280" spans="1:5" ht="12.75">
      <c r="A280" s="512">
        <v>5</v>
      </c>
      <c r="B280" s="511" t="s">
        <v>870</v>
      </c>
      <c r="C280" s="547">
        <f t="shared" si="31"/>
        <v>0.08155774739931575</v>
      </c>
      <c r="D280" s="547">
        <f t="shared" si="31"/>
        <v>0.07699162274915122</v>
      </c>
      <c r="E280" s="574">
        <f t="shared" si="32"/>
        <v>-0.004566124650164524</v>
      </c>
    </row>
    <row r="281" spans="1:5" ht="12.75">
      <c r="A281" s="512">
        <v>6</v>
      </c>
      <c r="B281" s="511" t="s">
        <v>575</v>
      </c>
      <c r="C281" s="547">
        <f t="shared" si="31"/>
        <v>0.24704539008123813</v>
      </c>
      <c r="D281" s="547">
        <f t="shared" si="31"/>
        <v>0.13322216853546398</v>
      </c>
      <c r="E281" s="574">
        <f t="shared" si="32"/>
        <v>-0.11382322154577415</v>
      </c>
    </row>
    <row r="282" spans="1:5" ht="12.75">
      <c r="A282" s="512">
        <v>7</v>
      </c>
      <c r="B282" s="511" t="s">
        <v>885</v>
      </c>
      <c r="C282" s="547">
        <f t="shared" si="31"/>
        <v>0.036185215820291244</v>
      </c>
      <c r="D282" s="547">
        <f t="shared" si="31"/>
        <v>0.11630559867409915</v>
      </c>
      <c r="E282" s="574">
        <f t="shared" si="32"/>
        <v>0.0801203828538079</v>
      </c>
    </row>
    <row r="283" spans="1:5" ht="29.25" customHeight="1">
      <c r="A283" s="512"/>
      <c r="B283" s="516" t="s">
        <v>971</v>
      </c>
      <c r="C283" s="575">
        <f t="shared" si="31"/>
        <v>0.2838018225482223</v>
      </c>
      <c r="D283" s="575">
        <f t="shared" si="31"/>
        <v>0.2581384876435855</v>
      </c>
      <c r="E283" s="576">
        <f t="shared" si="32"/>
        <v>-0.025663334904636792</v>
      </c>
    </row>
    <row r="284" spans="1:5" ht="12.75">
      <c r="A284" s="512"/>
      <c r="B284" s="516" t="s">
        <v>972</v>
      </c>
      <c r="C284" s="575">
        <f t="shared" si="31"/>
        <v>0.3059435018802282</v>
      </c>
      <c r="D284" s="575">
        <f t="shared" si="31"/>
        <v>0.2817676547889196</v>
      </c>
      <c r="E284" s="576">
        <f t="shared" si="32"/>
        <v>-0.0241758470913086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183</v>
      </c>
      <c r="B286" s="509" t="s">
        <v>973</v>
      </c>
      <c r="C286" s="520"/>
      <c r="D286" s="520"/>
      <c r="E286" s="520"/>
    </row>
    <row r="287" spans="1:5" ht="12.75">
      <c r="A287" s="512">
        <v>1</v>
      </c>
      <c r="B287" s="511" t="s">
        <v>778</v>
      </c>
      <c r="C287" s="547">
        <f aca="true" t="shared" si="33" ref="C287:D295">IF(C25=0,0,+C58/C25)</f>
        <v>0.3138897141517814</v>
      </c>
      <c r="D287" s="547">
        <f t="shared" si="33"/>
        <v>0.2902665188469268</v>
      </c>
      <c r="E287" s="574">
        <f aca="true" t="shared" si="34" ref="E287:E295">D287-C287</f>
        <v>-0.023623195304854627</v>
      </c>
    </row>
    <row r="288" spans="1:5" ht="12.75">
      <c r="A288" s="512">
        <v>2</v>
      </c>
      <c r="B288" s="511" t="s">
        <v>757</v>
      </c>
      <c r="C288" s="547">
        <f t="shared" si="33"/>
        <v>0.22116663809428963</v>
      </c>
      <c r="D288" s="547">
        <f t="shared" si="33"/>
        <v>0.2050726352505894</v>
      </c>
      <c r="E288" s="574">
        <f t="shared" si="34"/>
        <v>-0.016094002843700217</v>
      </c>
    </row>
    <row r="289" spans="1:5" ht="12.75">
      <c r="A289" s="512">
        <v>3</v>
      </c>
      <c r="B289" s="511" t="s">
        <v>903</v>
      </c>
      <c r="C289" s="547">
        <f t="shared" si="33"/>
        <v>0.1629429916345105</v>
      </c>
      <c r="D289" s="547">
        <f t="shared" si="33"/>
        <v>0.1623537104217365</v>
      </c>
      <c r="E289" s="574">
        <f t="shared" si="34"/>
        <v>-0.0005892812127740177</v>
      </c>
    </row>
    <row r="290" spans="1:5" ht="12.75">
      <c r="A290" s="512">
        <v>4</v>
      </c>
      <c r="B290" s="511" t="s">
        <v>271</v>
      </c>
      <c r="C290" s="547">
        <f t="shared" si="33"/>
        <v>0.18236928248375558</v>
      </c>
      <c r="D290" s="547">
        <f t="shared" si="33"/>
        <v>0.1858314994709213</v>
      </c>
      <c r="E290" s="574">
        <f t="shared" si="34"/>
        <v>0.0034622169871657282</v>
      </c>
    </row>
    <row r="291" spans="1:5" ht="12.75">
      <c r="A291" s="512">
        <v>5</v>
      </c>
      <c r="B291" s="511" t="s">
        <v>870</v>
      </c>
      <c r="C291" s="547">
        <f t="shared" si="33"/>
        <v>0.09290956742154248</v>
      </c>
      <c r="D291" s="547">
        <f t="shared" si="33"/>
        <v>0.08733774796952563</v>
      </c>
      <c r="E291" s="574">
        <f t="shared" si="34"/>
        <v>-0.005571819452016846</v>
      </c>
    </row>
    <row r="292" spans="1:5" ht="12.75">
      <c r="A292" s="512">
        <v>6</v>
      </c>
      <c r="B292" s="511" t="s">
        <v>575</v>
      </c>
      <c r="C292" s="547">
        <f t="shared" si="33"/>
        <v>0.28083168889279925</v>
      </c>
      <c r="D292" s="547">
        <f t="shared" si="33"/>
        <v>0.29743258099980596</v>
      </c>
      <c r="E292" s="574">
        <f t="shared" si="34"/>
        <v>0.016600892107006715</v>
      </c>
    </row>
    <row r="293" spans="1:5" ht="12.75">
      <c r="A293" s="512">
        <v>7</v>
      </c>
      <c r="B293" s="511" t="s">
        <v>885</v>
      </c>
      <c r="C293" s="547">
        <f t="shared" si="33"/>
        <v>0.07000003651786406</v>
      </c>
      <c r="D293" s="547">
        <f t="shared" si="33"/>
        <v>0.3272678508131741</v>
      </c>
      <c r="E293" s="574">
        <f t="shared" si="34"/>
        <v>0.25726781429531004</v>
      </c>
    </row>
    <row r="294" spans="1:5" ht="29.25" customHeight="1">
      <c r="A294" s="512"/>
      <c r="B294" s="516" t="s">
        <v>974</v>
      </c>
      <c r="C294" s="575">
        <f t="shared" si="33"/>
        <v>0.19777701685695442</v>
      </c>
      <c r="D294" s="575">
        <f t="shared" si="33"/>
        <v>0.18799164482811592</v>
      </c>
      <c r="E294" s="576">
        <f t="shared" si="34"/>
        <v>-0.009785372028838502</v>
      </c>
    </row>
    <row r="295" spans="1:5" ht="12.75">
      <c r="A295" s="512"/>
      <c r="B295" s="516" t="s">
        <v>975</v>
      </c>
      <c r="C295" s="575">
        <f t="shared" si="33"/>
        <v>0.25402752066492923</v>
      </c>
      <c r="D295" s="575">
        <f t="shared" si="33"/>
        <v>0.23558683072474734</v>
      </c>
      <c r="E295" s="576">
        <f t="shared" si="34"/>
        <v>-0.018440689940181887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976</v>
      </c>
      <c r="B297" s="501" t="s">
        <v>977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171</v>
      </c>
      <c r="B299" s="509" t="s">
        <v>0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776</v>
      </c>
      <c r="C301" s="514">
        <f>+C48+C47+C50+C51+C52+C59+C58+C61+C62+C63</f>
        <v>203485644</v>
      </c>
      <c r="D301" s="514">
        <f>+D48+D47+D50+D51+D52+D59+D58+D61+D62+D63</f>
        <v>223747655</v>
      </c>
      <c r="E301" s="514">
        <f>D301-C301</f>
        <v>20262011</v>
      </c>
    </row>
    <row r="302" spans="1:5" ht="25.5">
      <c r="A302" s="512">
        <v>2</v>
      </c>
      <c r="B302" s="511" t="s">
        <v>1</v>
      </c>
      <c r="C302" s="546">
        <f>C265</f>
        <v>1605901</v>
      </c>
      <c r="D302" s="546">
        <f>D265</f>
        <v>1753777</v>
      </c>
      <c r="E302" s="514">
        <f>D302-C302</f>
        <v>147876</v>
      </c>
    </row>
    <row r="303" spans="1:5" ht="12.75">
      <c r="A303" s="512"/>
      <c r="B303" s="516" t="s">
        <v>2</v>
      </c>
      <c r="C303" s="517">
        <f>+C301+C302</f>
        <v>205091545</v>
      </c>
      <c r="D303" s="517">
        <f>+D301+D302</f>
        <v>225501432</v>
      </c>
      <c r="E303" s="517">
        <f>D303-C303</f>
        <v>20409887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3</v>
      </c>
      <c r="C305" s="513">
        <v>17864548</v>
      </c>
      <c r="D305" s="578">
        <v>14427091</v>
      </c>
      <c r="E305" s="579">
        <f>D305-C305</f>
        <v>-3437457</v>
      </c>
    </row>
    <row r="306" spans="1:5" ht="12.75">
      <c r="A306" s="512">
        <v>4</v>
      </c>
      <c r="B306" s="516" t="s">
        <v>4</v>
      </c>
      <c r="C306" s="580">
        <f>+C303+C305+C194+C190-C191</f>
        <v>240673616</v>
      </c>
      <c r="D306" s="580">
        <f>+D303+D305</f>
        <v>239928523</v>
      </c>
      <c r="E306" s="580">
        <f>D306-C306</f>
        <v>-745093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5</v>
      </c>
      <c r="C308" s="513">
        <v>222956090</v>
      </c>
      <c r="D308" s="513">
        <v>239928524</v>
      </c>
      <c r="E308" s="514">
        <f>D308-C308</f>
        <v>16972434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6</v>
      </c>
      <c r="C310" s="581">
        <f>C306-C308</f>
        <v>17717526</v>
      </c>
      <c r="D310" s="582">
        <f>D306-D308</f>
        <v>-1</v>
      </c>
      <c r="E310" s="580">
        <f>D310-C310</f>
        <v>-17717527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183</v>
      </c>
      <c r="B312" s="509" t="s">
        <v>7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8</v>
      </c>
      <c r="C314" s="514">
        <f>+C14+C15+C16+C19+C25+C26+C27+C30</f>
        <v>709569118</v>
      </c>
      <c r="D314" s="514">
        <f>+D14+D15+D16+D19+D25+D26+D27+D30</f>
        <v>844914267</v>
      </c>
      <c r="E314" s="514">
        <f>D314-C314</f>
        <v>135345149</v>
      </c>
    </row>
    <row r="315" spans="1:5" ht="12.75">
      <c r="A315" s="512">
        <v>2</v>
      </c>
      <c r="B315" s="583" t="s">
        <v>9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10</v>
      </c>
      <c r="C316" s="581">
        <f>C314+C315</f>
        <v>709569118</v>
      </c>
      <c r="D316" s="581">
        <f>D314+D315</f>
        <v>844914267</v>
      </c>
      <c r="E316" s="517">
        <f>D316-C316</f>
        <v>135345149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11</v>
      </c>
      <c r="C318" s="513">
        <v>709569118</v>
      </c>
      <c r="D318" s="513">
        <v>844914262</v>
      </c>
      <c r="E318" s="514">
        <f>D318-C318</f>
        <v>135345144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6</v>
      </c>
      <c r="C320" s="581">
        <f>C316-C318</f>
        <v>0</v>
      </c>
      <c r="D320" s="581">
        <f>D316-D318</f>
        <v>5</v>
      </c>
      <c r="E320" s="517">
        <f>D320-C320</f>
        <v>5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193</v>
      </c>
      <c r="B322" s="509" t="s">
        <v>12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13</v>
      </c>
      <c r="C324" s="513">
        <f>+C193+C194</f>
        <v>20306507</v>
      </c>
      <c r="D324" s="513">
        <f>+D193+D194</f>
        <v>16129408</v>
      </c>
      <c r="E324" s="514">
        <f>D324-C324</f>
        <v>-4177099</v>
      </c>
    </row>
    <row r="325" spans="1:5" ht="12.75">
      <c r="A325" s="512">
        <v>2</v>
      </c>
      <c r="B325" s="511" t="s">
        <v>14</v>
      </c>
      <c r="C325" s="513">
        <v>1367749</v>
      </c>
      <c r="D325" s="513">
        <v>1463750</v>
      </c>
      <c r="E325" s="514">
        <f>D325-C325</f>
        <v>96001</v>
      </c>
    </row>
    <row r="326" spans="1:5" ht="12.75">
      <c r="A326" s="512"/>
      <c r="B326" s="516" t="s">
        <v>15</v>
      </c>
      <c r="C326" s="581">
        <f>C324+C325</f>
        <v>21674256</v>
      </c>
      <c r="D326" s="581">
        <f>D324+D325</f>
        <v>17593158</v>
      </c>
      <c r="E326" s="517">
        <f>D326-C326</f>
        <v>-4081098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16</v>
      </c>
      <c r="C328" s="513">
        <v>21674256</v>
      </c>
      <c r="D328" s="513">
        <v>17593158</v>
      </c>
      <c r="E328" s="514">
        <f>D328-C328</f>
        <v>-4081098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17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FILING&amp;RWATERBURY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157</v>
      </c>
      <c r="B2" s="705"/>
      <c r="C2" s="705"/>
      <c r="D2" s="585"/>
    </row>
    <row r="3" spans="1:4" s="338" customFormat="1" ht="15.75" customHeight="1">
      <c r="A3" s="695" t="s">
        <v>748</v>
      </c>
      <c r="B3" s="696"/>
      <c r="C3" s="697"/>
      <c r="D3" s="585"/>
    </row>
    <row r="4" spans="1:4" s="338" customFormat="1" ht="15.75" customHeight="1">
      <c r="A4" s="695" t="s">
        <v>159</v>
      </c>
      <c r="B4" s="696"/>
      <c r="C4" s="697"/>
      <c r="D4" s="585"/>
    </row>
    <row r="5" spans="1:4" s="338" customFormat="1" ht="15.75" customHeight="1">
      <c r="A5" s="695" t="s">
        <v>18</v>
      </c>
      <c r="B5" s="696"/>
      <c r="C5" s="697"/>
      <c r="D5" s="585"/>
    </row>
    <row r="6" spans="1:4" s="338" customFormat="1" ht="15.75" customHeight="1">
      <c r="A6" s="695" t="s">
        <v>19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165</v>
      </c>
      <c r="B9" s="493" t="s">
        <v>166</v>
      </c>
      <c r="C9" s="494" t="s">
        <v>20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169</v>
      </c>
      <c r="B11" s="501" t="s">
        <v>21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171</v>
      </c>
      <c r="B13" s="509" t="s">
        <v>902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778</v>
      </c>
      <c r="C14" s="513">
        <v>151040234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757</v>
      </c>
      <c r="C15" s="515">
        <v>306685830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903</v>
      </c>
      <c r="C16" s="515">
        <v>76259575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271</v>
      </c>
      <c r="C17" s="515">
        <v>56278557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870</v>
      </c>
      <c r="C18" s="515">
        <v>19981018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575</v>
      </c>
      <c r="C19" s="515">
        <v>803012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885</v>
      </c>
      <c r="C20" s="515">
        <v>8867028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904</v>
      </c>
      <c r="C21" s="517">
        <f>SUM(C15+C16+C19)</f>
        <v>383748417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844</v>
      </c>
      <c r="C22" s="517">
        <f>SUM(C14+C21)</f>
        <v>534788651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183</v>
      </c>
      <c r="B24" s="509" t="s">
        <v>905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778</v>
      </c>
      <c r="C25" s="513">
        <v>144321726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757</v>
      </c>
      <c r="C26" s="515">
        <v>98041033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903</v>
      </c>
      <c r="C27" s="515">
        <v>67298967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271</v>
      </c>
      <c r="C28" s="515">
        <v>51257026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870</v>
      </c>
      <c r="C29" s="515">
        <v>16041941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575</v>
      </c>
      <c r="C30" s="515">
        <v>463890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885</v>
      </c>
      <c r="C31" s="518">
        <v>11129535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906</v>
      </c>
      <c r="C32" s="517">
        <f>SUM(C26+C27+C30)</f>
        <v>165803890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850</v>
      </c>
      <c r="C33" s="517">
        <f>SUM(C25+C32)</f>
        <v>310125616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193</v>
      </c>
      <c r="B35" s="509" t="s">
        <v>775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22</v>
      </c>
      <c r="C36" s="514">
        <f>SUM(C14+C25)</f>
        <v>295361960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23</v>
      </c>
      <c r="C37" s="518">
        <f>SUM(C21+C32)</f>
        <v>549552307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775</v>
      </c>
      <c r="C38" s="517">
        <f>SUM(+C36+C37)</f>
        <v>844914267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478</v>
      </c>
      <c r="B40" s="509" t="s">
        <v>915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778</v>
      </c>
      <c r="C41" s="513">
        <v>51625908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757</v>
      </c>
      <c r="C42" s="515">
        <v>85316492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903</v>
      </c>
      <c r="C43" s="515">
        <v>13636765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271</v>
      </c>
      <c r="C44" s="515">
        <v>12098394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870</v>
      </c>
      <c r="C45" s="515">
        <v>1538371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575</v>
      </c>
      <c r="C46" s="515">
        <v>106979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885</v>
      </c>
      <c r="C47" s="515">
        <v>1031285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916</v>
      </c>
      <c r="C48" s="517">
        <f>SUM(C42+C43+C46)</f>
        <v>99060236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845</v>
      </c>
      <c r="C49" s="517">
        <f>SUM(C41+C48)</f>
        <v>150686144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499</v>
      </c>
      <c r="B51" s="509" t="s">
        <v>917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778</v>
      </c>
      <c r="C52" s="513">
        <v>41891765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757</v>
      </c>
      <c r="C53" s="515">
        <v>20105533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903</v>
      </c>
      <c r="C54" s="515">
        <v>10926237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271</v>
      </c>
      <c r="C55" s="515">
        <v>9525170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870</v>
      </c>
      <c r="C56" s="515">
        <v>1401067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575</v>
      </c>
      <c r="C57" s="515">
        <v>137976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885</v>
      </c>
      <c r="C58" s="515">
        <v>3642339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918</v>
      </c>
      <c r="C59" s="517">
        <f>SUM(C53+C54+C57)</f>
        <v>31169746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851</v>
      </c>
      <c r="C60" s="517">
        <f>SUM(C52+C59)</f>
        <v>73061511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511</v>
      </c>
      <c r="B62" s="521" t="s">
        <v>776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24</v>
      </c>
      <c r="C63" s="514">
        <f>SUM(C41+C52)</f>
        <v>93517673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25</v>
      </c>
      <c r="C64" s="518">
        <f>SUM(C48+C59)</f>
        <v>130229982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776</v>
      </c>
      <c r="C65" s="517">
        <f>SUM(+C63+C64)</f>
        <v>223747655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201</v>
      </c>
      <c r="B67" s="501" t="s">
        <v>26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171</v>
      </c>
      <c r="B69" s="509" t="s">
        <v>27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778</v>
      </c>
      <c r="C70" s="530">
        <v>4524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757</v>
      </c>
      <c r="C71" s="530">
        <v>6496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903</v>
      </c>
      <c r="C72" s="530">
        <v>2881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271</v>
      </c>
      <c r="C73" s="530">
        <v>2363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870</v>
      </c>
      <c r="C74" s="530">
        <v>518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575</v>
      </c>
      <c r="C75" s="545">
        <v>15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885</v>
      </c>
      <c r="C76" s="545">
        <v>265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933</v>
      </c>
      <c r="C77" s="532">
        <f>SUM(C71+C72+C75)</f>
        <v>9392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847</v>
      </c>
      <c r="C78" s="596">
        <f>SUM(C70+C77)</f>
        <v>13916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183</v>
      </c>
      <c r="B80" s="509" t="s">
        <v>938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778</v>
      </c>
      <c r="C81" s="541">
        <v>1.29365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757</v>
      </c>
      <c r="C82" s="541">
        <v>1.5927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903</v>
      </c>
      <c r="C83" s="541">
        <f>((C73*C84)+(C74*C85))/(C73+C74)</f>
        <v>1.7559998958694898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271</v>
      </c>
      <c r="C84" s="541">
        <v>1.8863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870</v>
      </c>
      <c r="C85" s="541">
        <v>1.1616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575</v>
      </c>
      <c r="C86" s="541">
        <v>1.6601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885</v>
      </c>
      <c r="C87" s="541">
        <v>1.1466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939</v>
      </c>
      <c r="C88" s="543">
        <f>((C71*C82)+(C73*C84)+(C74*C85)+(C75*C86))/(C71+C73+C74+C75)</f>
        <v>1.6428999574105623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848</v>
      </c>
      <c r="C89" s="543">
        <f>((C70*C81)+(C71*C82)+(C73*C84)+(C74*C85)+(C75*C86))/(C70+C71+C73+C74+C75)</f>
        <v>1.5293610951422822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193</v>
      </c>
      <c r="B91" s="509" t="s">
        <v>940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941</v>
      </c>
      <c r="C92" s="513">
        <v>275365397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942</v>
      </c>
      <c r="C93" s="546">
        <v>89650520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790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874</v>
      </c>
      <c r="C95" s="513">
        <f>+C92-C93</f>
        <v>185714877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792</v>
      </c>
      <c r="C96" s="597">
        <f>(+C92-C93)/C92</f>
        <v>0.6744306983495097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889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875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28</v>
      </c>
      <c r="C101" s="513">
        <v>1753777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944</v>
      </c>
      <c r="C103" s="513">
        <v>1809921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945</v>
      </c>
      <c r="C104" s="513">
        <v>14319487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946</v>
      </c>
      <c r="C105" s="578">
        <f>+C103+C104</f>
        <v>16129408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947</v>
      </c>
      <c r="C107" s="513">
        <v>13073722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832</v>
      </c>
      <c r="C108" s="513">
        <v>253532594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292</v>
      </c>
      <c r="B110" s="501" t="s">
        <v>977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171</v>
      </c>
      <c r="B112" s="509" t="s">
        <v>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776</v>
      </c>
      <c r="C114" s="514">
        <f>+C65</f>
        <v>223747655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1</v>
      </c>
      <c r="C115" s="546">
        <f>+C101</f>
        <v>1753777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2</v>
      </c>
      <c r="C116" s="517">
        <f>+C114+C115</f>
        <v>225501432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3</v>
      </c>
      <c r="C118" s="578">
        <v>14427091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4</v>
      </c>
      <c r="C119" s="580">
        <f>+C116+C118</f>
        <v>239928523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5</v>
      </c>
      <c r="C121" s="513">
        <v>239928524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6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183</v>
      </c>
      <c r="B125" s="509" t="s">
        <v>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8</v>
      </c>
      <c r="C127" s="514">
        <f>+C38</f>
        <v>844914267</v>
      </c>
      <c r="D127" s="588"/>
      <c r="AR127" s="507"/>
    </row>
    <row r="128" spans="1:44" s="506" customFormat="1" ht="12.75">
      <c r="A128" s="512">
        <v>2</v>
      </c>
      <c r="B128" s="583" t="s">
        <v>9</v>
      </c>
      <c r="C128" s="513">
        <v>0</v>
      </c>
      <c r="D128" s="588"/>
      <c r="AR128" s="507"/>
    </row>
    <row r="129" spans="1:44" s="506" customFormat="1" ht="12.75">
      <c r="A129" s="512"/>
      <c r="B129" s="516" t="s">
        <v>10</v>
      </c>
      <c r="C129" s="581">
        <f>C127+C128</f>
        <v>844914267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11</v>
      </c>
      <c r="C131" s="513">
        <v>844914262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6</v>
      </c>
      <c r="C133" s="581">
        <f>C129-C131</f>
        <v>5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193</v>
      </c>
      <c r="B135" s="509" t="s">
        <v>12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13</v>
      </c>
      <c r="C137" s="513">
        <f>C105</f>
        <v>16129408</v>
      </c>
      <c r="D137" s="588"/>
      <c r="AR137" s="507"/>
    </row>
    <row r="138" spans="1:44" s="506" customFormat="1" ht="12.75">
      <c r="A138" s="512">
        <v>2</v>
      </c>
      <c r="B138" s="511" t="s">
        <v>29</v>
      </c>
      <c r="C138" s="513">
        <v>1463750</v>
      </c>
      <c r="D138" s="588"/>
      <c r="AR138" s="507"/>
    </row>
    <row r="139" spans="1:44" s="506" customFormat="1" ht="12.75">
      <c r="A139" s="512"/>
      <c r="B139" s="516" t="s">
        <v>15</v>
      </c>
      <c r="C139" s="581">
        <f>C137+C138</f>
        <v>17593158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30</v>
      </c>
      <c r="C141" s="513">
        <v>17593158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17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FILING&amp;RWATERBURY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157</v>
      </c>
      <c r="B2" s="715"/>
      <c r="C2" s="715"/>
      <c r="D2" s="715"/>
      <c r="E2" s="715"/>
      <c r="F2" s="716"/>
    </row>
    <row r="3" spans="1:6" ht="15.75" customHeight="1">
      <c r="A3" s="714" t="s">
        <v>748</v>
      </c>
      <c r="B3" s="715"/>
      <c r="C3" s="715"/>
      <c r="D3" s="715"/>
      <c r="E3" s="715"/>
      <c r="F3" s="716"/>
    </row>
    <row r="4" spans="1:6" ht="15.75" customHeight="1">
      <c r="A4" s="714" t="s">
        <v>749</v>
      </c>
      <c r="B4" s="715"/>
      <c r="C4" s="715"/>
      <c r="D4" s="715"/>
      <c r="E4" s="715"/>
      <c r="F4" s="716"/>
    </row>
    <row r="5" spans="1:6" ht="15.75" customHeight="1">
      <c r="A5" s="714" t="s">
        <v>31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752</v>
      </c>
      <c r="D8" s="35" t="s">
        <v>752</v>
      </c>
      <c r="E8" s="35" t="s">
        <v>163</v>
      </c>
      <c r="F8" s="35" t="s">
        <v>164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165</v>
      </c>
      <c r="B9" s="606" t="s">
        <v>166</v>
      </c>
      <c r="C9" s="607" t="s">
        <v>754</v>
      </c>
      <c r="D9" s="607" t="s">
        <v>755</v>
      </c>
      <c r="E9" s="605" t="s">
        <v>168</v>
      </c>
      <c r="F9" s="605" t="s">
        <v>168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171</v>
      </c>
      <c r="B11" s="606" t="s">
        <v>32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33</v>
      </c>
      <c r="C12" s="49">
        <v>501</v>
      </c>
      <c r="D12" s="49">
        <v>498</v>
      </c>
      <c r="E12" s="49">
        <f>+D12-C12</f>
        <v>-3</v>
      </c>
      <c r="F12" s="70">
        <f>IF(C12=0,0,+E12/C12)</f>
        <v>-0.005988023952095809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34</v>
      </c>
      <c r="C13" s="49">
        <v>385</v>
      </c>
      <c r="D13" s="49">
        <v>376</v>
      </c>
      <c r="E13" s="49">
        <f>+D13-C13</f>
        <v>-9</v>
      </c>
      <c r="F13" s="70">
        <f>IF(C13=0,0,+E13/C13)</f>
        <v>-0.023376623376623377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35</v>
      </c>
      <c r="C15" s="51">
        <v>2588984</v>
      </c>
      <c r="D15" s="51">
        <v>1809921</v>
      </c>
      <c r="E15" s="51">
        <f>+D15-C15</f>
        <v>-779063</v>
      </c>
      <c r="F15" s="70">
        <f>IF(C15=0,0,+E15/C15)</f>
        <v>-0.3009145672588166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36</v>
      </c>
      <c r="C16" s="27">
        <f>IF(C13=0,0,+C15/+C13)</f>
        <v>6724.633766233766</v>
      </c>
      <c r="D16" s="27">
        <f>IF(D13=0,0,+D15/+D13)</f>
        <v>4813.619680851064</v>
      </c>
      <c r="E16" s="27">
        <f>+D16-C16</f>
        <v>-1911.0140853827024</v>
      </c>
      <c r="F16" s="28">
        <f>IF(C16=0,0,+E16/C16)</f>
        <v>-0.2841811393474585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37</v>
      </c>
      <c r="C18" s="210">
        <v>0.323012</v>
      </c>
      <c r="D18" s="210">
        <v>0.31469</v>
      </c>
      <c r="E18" s="210">
        <f>+D18-C18</f>
        <v>-0.008321999999999996</v>
      </c>
      <c r="F18" s="70">
        <f>IF(C18=0,0,+E18/C18)</f>
        <v>-0.025763748715217995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38</v>
      </c>
      <c r="C19" s="27">
        <f>+C15*C18</f>
        <v>836272.8998080001</v>
      </c>
      <c r="D19" s="27">
        <f>+D15*D18</f>
        <v>569564.03949</v>
      </c>
      <c r="E19" s="27">
        <f>+D19-C19</f>
        <v>-266708.8603180001</v>
      </c>
      <c r="F19" s="28">
        <f>IF(C19=0,0,+E19/C19)</f>
        <v>-0.31892562867842994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39</v>
      </c>
      <c r="C20" s="27">
        <f>IF(C13=0,0,+C19/C13)</f>
        <v>2172.1374020987014</v>
      </c>
      <c r="D20" s="27">
        <f>IF(D13=0,0,+D19/D13)</f>
        <v>1514.7979773670213</v>
      </c>
      <c r="E20" s="27">
        <f>+D20-C20</f>
        <v>-657.3394247316801</v>
      </c>
      <c r="F20" s="28">
        <f>IF(C20=0,0,+E20/C20)</f>
        <v>-0.3026233165989242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40</v>
      </c>
      <c r="C22" s="51">
        <v>1942042</v>
      </c>
      <c r="D22" s="51">
        <v>1222220</v>
      </c>
      <c r="E22" s="51">
        <f>+D22-C22</f>
        <v>-719822</v>
      </c>
      <c r="F22" s="70">
        <f>IF(C22=0,0,+E22/C22)</f>
        <v>-0.37065212801782865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41</v>
      </c>
      <c r="C23" s="49">
        <v>330966</v>
      </c>
      <c r="D23" s="49">
        <v>203011</v>
      </c>
      <c r="E23" s="49">
        <f>+D23-C23</f>
        <v>-127955</v>
      </c>
      <c r="F23" s="70">
        <f>IF(C23=0,0,+E23/C23)</f>
        <v>-0.38661070925714425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42</v>
      </c>
      <c r="C24" s="49">
        <v>315976</v>
      </c>
      <c r="D24" s="49">
        <v>384690</v>
      </c>
      <c r="E24" s="49">
        <f>+D24-C24</f>
        <v>68714</v>
      </c>
      <c r="F24" s="70">
        <f>IF(C24=0,0,+E24/C24)</f>
        <v>0.21746588348482163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35</v>
      </c>
      <c r="C25" s="27">
        <f>+C22+C23+C24</f>
        <v>2588984</v>
      </c>
      <c r="D25" s="27">
        <f>+D22+D23+D24</f>
        <v>1809921</v>
      </c>
      <c r="E25" s="27">
        <f>+E22+E23+E24</f>
        <v>-779063</v>
      </c>
      <c r="F25" s="28">
        <f>IF(C25=0,0,+E25/C25)</f>
        <v>-0.3009145672588166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43</v>
      </c>
      <c r="C27" s="49">
        <v>808</v>
      </c>
      <c r="D27" s="49">
        <v>385</v>
      </c>
      <c r="E27" s="49">
        <f>+D27-C27</f>
        <v>-423</v>
      </c>
      <c r="F27" s="70">
        <f>IF(C27=0,0,+E27/C27)</f>
        <v>-0.5235148514851485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44</v>
      </c>
      <c r="C28" s="49">
        <v>180</v>
      </c>
      <c r="D28" s="49">
        <v>167</v>
      </c>
      <c r="E28" s="49">
        <f>+D28-C28</f>
        <v>-13</v>
      </c>
      <c r="F28" s="70">
        <f>IF(C28=0,0,+E28/C28)</f>
        <v>-0.07222222222222222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45</v>
      </c>
      <c r="C29" s="49">
        <v>251</v>
      </c>
      <c r="D29" s="49">
        <v>322</v>
      </c>
      <c r="E29" s="49">
        <f>+D29-C29</f>
        <v>71</v>
      </c>
      <c r="F29" s="70">
        <f>IF(C29=0,0,+E29/C29)</f>
        <v>0.28286852589641437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46</v>
      </c>
      <c r="C30" s="49">
        <v>335</v>
      </c>
      <c r="D30" s="49">
        <v>242</v>
      </c>
      <c r="E30" s="49">
        <f>+D30-C30</f>
        <v>-93</v>
      </c>
      <c r="F30" s="70">
        <f>IF(C30=0,0,+E30/C30)</f>
        <v>-0.27761194029850744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183</v>
      </c>
      <c r="B32" s="606" t="s">
        <v>47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48</v>
      </c>
      <c r="C33" s="51">
        <v>8327236</v>
      </c>
      <c r="D33" s="51">
        <v>7302938</v>
      </c>
      <c r="E33" s="51">
        <f>+D33-C33</f>
        <v>-1024298</v>
      </c>
      <c r="F33" s="70">
        <f>IF(C33=0,0,+E33/C33)</f>
        <v>-0.12300576085510247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49</v>
      </c>
      <c r="C34" s="49">
        <v>2629280</v>
      </c>
      <c r="D34" s="49">
        <v>2455792</v>
      </c>
      <c r="E34" s="49">
        <f>+D34-C34</f>
        <v>-173488</v>
      </c>
      <c r="F34" s="70">
        <f>IF(C34=0,0,+E34/C34)</f>
        <v>-0.06598308282115256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50</v>
      </c>
      <c r="C35" s="49">
        <v>6761007</v>
      </c>
      <c r="D35" s="49">
        <v>4560757</v>
      </c>
      <c r="E35" s="49">
        <f>+D35-C35</f>
        <v>-2200250</v>
      </c>
      <c r="F35" s="70">
        <f>IF(C35=0,0,+E35/C35)</f>
        <v>-0.3254322913731638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51</v>
      </c>
      <c r="C36" s="27">
        <f>+C33+C34+C35</f>
        <v>17717523</v>
      </c>
      <c r="D36" s="27">
        <f>+D33+D34+D35</f>
        <v>14319487</v>
      </c>
      <c r="E36" s="27">
        <f>+E33+E34+E35</f>
        <v>-3398036</v>
      </c>
      <c r="F36" s="28">
        <f>IF(C36=0,0,+E36/C36)</f>
        <v>-0.19178956336052166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193</v>
      </c>
      <c r="B38" s="606" t="s">
        <v>52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53</v>
      </c>
      <c r="C39" s="51">
        <f>+C25</f>
        <v>2588984</v>
      </c>
      <c r="D39" s="51">
        <f>+D25</f>
        <v>1809921</v>
      </c>
      <c r="E39" s="51">
        <f>+D39-C39</f>
        <v>-779063</v>
      </c>
      <c r="F39" s="70">
        <f>IF(C39=0,0,+E39/C39)</f>
        <v>-0.3009145672588166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54</v>
      </c>
      <c r="C40" s="49">
        <f>+C36</f>
        <v>17717523</v>
      </c>
      <c r="D40" s="49">
        <f>+D36</f>
        <v>14319487</v>
      </c>
      <c r="E40" s="49">
        <f>+D40-C40</f>
        <v>-3398036</v>
      </c>
      <c r="F40" s="70">
        <f>IF(C40=0,0,+E40/C40)</f>
        <v>-0.19178956336052166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55</v>
      </c>
      <c r="C41" s="27">
        <f>+C39+C40</f>
        <v>20306507</v>
      </c>
      <c r="D41" s="27">
        <f>+D39+D40</f>
        <v>16129408</v>
      </c>
      <c r="E41" s="27">
        <f>+E39+E40</f>
        <v>-4177099</v>
      </c>
      <c r="F41" s="28">
        <f>IF(C41=0,0,+E41/C41)</f>
        <v>-0.20570248738495497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56</v>
      </c>
      <c r="C43" s="51">
        <f aca="true" t="shared" si="0" ref="C43:D45">+C22+C33</f>
        <v>10269278</v>
      </c>
      <c r="D43" s="51">
        <f t="shared" si="0"/>
        <v>8525158</v>
      </c>
      <c r="E43" s="51">
        <f>+D43-C43</f>
        <v>-1744120</v>
      </c>
      <c r="F43" s="70">
        <f>IF(C43=0,0,+E43/C43)</f>
        <v>-0.16983861961863336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57</v>
      </c>
      <c r="C44" s="49">
        <f t="shared" si="0"/>
        <v>2960246</v>
      </c>
      <c r="D44" s="49">
        <f t="shared" si="0"/>
        <v>2658803</v>
      </c>
      <c r="E44" s="49">
        <f>+D44-C44</f>
        <v>-301443</v>
      </c>
      <c r="F44" s="70">
        <f>IF(C44=0,0,+E44/C44)</f>
        <v>-0.10183038842042182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58</v>
      </c>
      <c r="C45" s="49">
        <f t="shared" si="0"/>
        <v>7076983</v>
      </c>
      <c r="D45" s="49">
        <f t="shared" si="0"/>
        <v>4945447</v>
      </c>
      <c r="E45" s="49">
        <f>+D45-C45</f>
        <v>-2131536</v>
      </c>
      <c r="F45" s="70">
        <f>IF(C45=0,0,+E45/C45)</f>
        <v>-0.30119275403091966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55</v>
      </c>
      <c r="C46" s="27">
        <f>+C43+C44+C45</f>
        <v>20306507</v>
      </c>
      <c r="D46" s="27">
        <f>+D43+D44+D45</f>
        <v>16129408</v>
      </c>
      <c r="E46" s="27">
        <f>+E43+E44+E45</f>
        <v>-4177099</v>
      </c>
      <c r="F46" s="28">
        <f>IF(C46=0,0,+E46/C46)</f>
        <v>-0.20570248738495497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59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FILING&amp;RWATERBURY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157</v>
      </c>
      <c r="B2" s="715"/>
      <c r="C2" s="715"/>
      <c r="D2" s="715"/>
      <c r="E2" s="715"/>
      <c r="F2" s="716"/>
    </row>
    <row r="3" spans="1:6" ht="15.75" customHeight="1">
      <c r="A3" s="714" t="s">
        <v>748</v>
      </c>
      <c r="B3" s="715"/>
      <c r="C3" s="715"/>
      <c r="D3" s="715"/>
      <c r="E3" s="715"/>
      <c r="F3" s="716"/>
    </row>
    <row r="4" spans="1:6" ht="15.75" customHeight="1">
      <c r="A4" s="714" t="s">
        <v>749</v>
      </c>
      <c r="B4" s="715"/>
      <c r="C4" s="715"/>
      <c r="D4" s="715"/>
      <c r="E4" s="715"/>
      <c r="F4" s="716"/>
    </row>
    <row r="5" spans="1:6" ht="15.75" customHeight="1">
      <c r="A5" s="714" t="s">
        <v>60</v>
      </c>
      <c r="B5" s="715"/>
      <c r="C5" s="715"/>
      <c r="D5" s="715"/>
      <c r="E5" s="715"/>
      <c r="F5" s="716"/>
    </row>
    <row r="6" spans="1:6" ht="15.75" customHeight="1">
      <c r="A6" s="714" t="s">
        <v>61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754</v>
      </c>
      <c r="D9" s="35" t="s">
        <v>755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62</v>
      </c>
      <c r="D10" s="35" t="s">
        <v>62</v>
      </c>
      <c r="E10" s="35" t="s">
        <v>163</v>
      </c>
      <c r="F10" s="35" t="s">
        <v>164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165</v>
      </c>
      <c r="B11" s="606" t="s">
        <v>166</v>
      </c>
      <c r="C11" s="605" t="s">
        <v>63</v>
      </c>
      <c r="D11" s="605" t="s">
        <v>63</v>
      </c>
      <c r="E11" s="605" t="s">
        <v>168</v>
      </c>
      <c r="F11" s="605" t="s">
        <v>168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64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482</v>
      </c>
      <c r="C15" s="51">
        <v>237128412</v>
      </c>
      <c r="D15" s="51">
        <v>275365397</v>
      </c>
      <c r="E15" s="51">
        <f>+D15-C15</f>
        <v>38236985</v>
      </c>
      <c r="F15" s="70">
        <f>+E15/C15</f>
        <v>0.16125012046215703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661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65</v>
      </c>
      <c r="C17" s="51">
        <v>149828883</v>
      </c>
      <c r="D17" s="51">
        <v>185714877</v>
      </c>
      <c r="E17" s="51">
        <f>+D17-C17</f>
        <v>35885994</v>
      </c>
      <c r="F17" s="70">
        <f>+E17/C17</f>
        <v>0.23951319185900893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66</v>
      </c>
      <c r="C19" s="27">
        <f>+C15-C17</f>
        <v>87299529</v>
      </c>
      <c r="D19" s="27">
        <f>+D15-D17</f>
        <v>89650520</v>
      </c>
      <c r="E19" s="27">
        <f>+D19-C19</f>
        <v>2350991</v>
      </c>
      <c r="F19" s="28">
        <f>+E19/C19</f>
        <v>0.026930168202854793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67</v>
      </c>
      <c r="C21" s="628">
        <f>+C17/C15</f>
        <v>0.631847030629126</v>
      </c>
      <c r="D21" s="628">
        <f>+D17/D15</f>
        <v>0.6744306983495097</v>
      </c>
      <c r="E21" s="628">
        <f>+D21-C21</f>
        <v>0.0425836677203838</v>
      </c>
      <c r="F21" s="28">
        <f>+E21/C21</f>
        <v>0.06739553350117594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661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661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661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661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68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 r:id="rId1"/>
  <headerFooter alignWithMargins="0">
    <oddHeader>&amp;L&amp;12OFFICE OF HEALTH CARE ACCESS&amp;C&amp;12TWELVE MONTHS ACTUAL FILING&amp;R&amp;12WATERBURY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157</v>
      </c>
      <c r="B1" s="718"/>
      <c r="C1" s="718"/>
      <c r="D1" s="718"/>
      <c r="E1" s="718"/>
      <c r="F1" s="630"/>
    </row>
    <row r="2" spans="1:6" ht="25.5" customHeight="1">
      <c r="A2" s="718" t="s">
        <v>158</v>
      </c>
      <c r="B2" s="718"/>
      <c r="C2" s="718"/>
      <c r="D2" s="718"/>
      <c r="E2" s="718"/>
      <c r="F2" s="630"/>
    </row>
    <row r="3" spans="1:6" ht="25.5" customHeight="1">
      <c r="A3" s="718" t="s">
        <v>159</v>
      </c>
      <c r="B3" s="718"/>
      <c r="C3" s="718"/>
      <c r="D3" s="718"/>
      <c r="E3" s="718"/>
      <c r="F3" s="630"/>
    </row>
    <row r="4" spans="1:6" ht="25.5" customHeight="1">
      <c r="A4" s="718" t="s">
        <v>69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70</v>
      </c>
      <c r="B6" s="632" t="s">
        <v>71</v>
      </c>
      <c r="C6" s="632" t="s">
        <v>72</v>
      </c>
      <c r="D6" s="632" t="s">
        <v>73</v>
      </c>
      <c r="E6" s="632" t="s">
        <v>74</v>
      </c>
    </row>
    <row r="7" spans="1:5" ht="37.5" customHeight="1">
      <c r="A7" s="633" t="s">
        <v>165</v>
      </c>
      <c r="B7" s="634" t="s">
        <v>75</v>
      </c>
      <c r="C7" s="631" t="s">
        <v>76</v>
      </c>
      <c r="D7" s="631" t="s">
        <v>77</v>
      </c>
      <c r="E7" s="631" t="s">
        <v>78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171</v>
      </c>
      <c r="B9" s="637" t="s">
        <v>79</v>
      </c>
      <c r="C9" s="638"/>
      <c r="D9" s="638"/>
      <c r="E9" s="638"/>
    </row>
    <row r="10" spans="1:5" ht="25.5" customHeight="1">
      <c r="A10" s="639">
        <v>1</v>
      </c>
      <c r="B10" s="640" t="s">
        <v>80</v>
      </c>
      <c r="C10" s="641">
        <v>412787592</v>
      </c>
      <c r="D10" s="641">
        <v>447560841</v>
      </c>
      <c r="E10" s="641">
        <v>534788651</v>
      </c>
    </row>
    <row r="11" spans="1:5" ht="25.5" customHeight="1">
      <c r="A11" s="639">
        <v>2</v>
      </c>
      <c r="B11" s="640" t="s">
        <v>81</v>
      </c>
      <c r="C11" s="641">
        <v>248612781</v>
      </c>
      <c r="D11" s="641">
        <v>262008277</v>
      </c>
      <c r="E11" s="641">
        <v>310125616</v>
      </c>
    </row>
    <row r="12" spans="1:5" ht="25.5" customHeight="1">
      <c r="A12" s="639">
        <v>3</v>
      </c>
      <c r="B12" s="640" t="s">
        <v>228</v>
      </c>
      <c r="C12" s="641">
        <f>+C11+C10</f>
        <v>661400373</v>
      </c>
      <c r="D12" s="641">
        <f>+D11+D10</f>
        <v>709569118</v>
      </c>
      <c r="E12" s="641">
        <f>+E11+E10</f>
        <v>844914267</v>
      </c>
    </row>
    <row r="13" spans="1:5" ht="25.5" customHeight="1">
      <c r="A13" s="639">
        <v>4</v>
      </c>
      <c r="B13" s="640" t="s">
        <v>641</v>
      </c>
      <c r="C13" s="641">
        <v>222219540</v>
      </c>
      <c r="D13" s="641">
        <v>221441319</v>
      </c>
      <c r="E13" s="641">
        <v>239928524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183</v>
      </c>
      <c r="B15" s="642" t="s">
        <v>481</v>
      </c>
      <c r="C15" s="641"/>
      <c r="D15" s="641"/>
      <c r="E15" s="641"/>
    </row>
    <row r="16" spans="1:5" ht="25.5" customHeight="1">
      <c r="A16" s="639">
        <v>1</v>
      </c>
      <c r="B16" s="640" t="s">
        <v>82</v>
      </c>
      <c r="C16" s="641">
        <v>240315931</v>
      </c>
      <c r="D16" s="641">
        <v>245407419</v>
      </c>
      <c r="E16" s="641">
        <v>253532594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193</v>
      </c>
      <c r="B18" s="642" t="s">
        <v>83</v>
      </c>
      <c r="C18" s="643"/>
      <c r="D18" s="643"/>
      <c r="E18" s="641"/>
    </row>
    <row r="19" spans="1:5" ht="25.5" customHeight="1">
      <c r="A19" s="639">
        <v>1</v>
      </c>
      <c r="B19" s="640" t="s">
        <v>529</v>
      </c>
      <c r="C19" s="644">
        <v>71532</v>
      </c>
      <c r="D19" s="644">
        <v>70997</v>
      </c>
      <c r="E19" s="644">
        <v>67682</v>
      </c>
    </row>
    <row r="20" spans="1:5" ht="25.5" customHeight="1">
      <c r="A20" s="639">
        <v>2</v>
      </c>
      <c r="B20" s="640" t="s">
        <v>530</v>
      </c>
      <c r="C20" s="645">
        <v>14584</v>
      </c>
      <c r="D20" s="645">
        <v>14736</v>
      </c>
      <c r="E20" s="645">
        <v>13916</v>
      </c>
    </row>
    <row r="21" spans="1:5" ht="25.5" customHeight="1">
      <c r="A21" s="639">
        <v>3</v>
      </c>
      <c r="B21" s="640" t="s">
        <v>84</v>
      </c>
      <c r="C21" s="646">
        <f>IF(C20=0,0,+C19/C20)</f>
        <v>4.904827207899068</v>
      </c>
      <c r="D21" s="646">
        <f>IF(D20=0,0,+D19/D20)</f>
        <v>4.81792888165038</v>
      </c>
      <c r="E21" s="646">
        <f>IF(E20=0,0,+E19/E20)</f>
        <v>4.863610232825525</v>
      </c>
    </row>
    <row r="22" spans="1:5" ht="25.5" customHeight="1">
      <c r="A22" s="639">
        <v>4</v>
      </c>
      <c r="B22" s="640" t="s">
        <v>85</v>
      </c>
      <c r="C22" s="645">
        <f>IF(C10=0,0,C19*(C12/C10))</f>
        <v>114614.13181585168</v>
      </c>
      <c r="D22" s="645">
        <f>IF(D10=0,0,D19*(D12/D10))</f>
        <v>112559.62107427981</v>
      </c>
      <c r="E22" s="645">
        <f>IF(E10=0,0,E19*(E12/E10))</f>
        <v>106931.00407453111</v>
      </c>
    </row>
    <row r="23" spans="1:5" ht="25.5" customHeight="1">
      <c r="A23" s="639">
        <v>0</v>
      </c>
      <c r="B23" s="640" t="s">
        <v>86</v>
      </c>
      <c r="C23" s="645">
        <f>IF(C10=0,0,C20*(C12/C10))</f>
        <v>23367.618665805247</v>
      </c>
      <c r="D23" s="645">
        <f>IF(D10=0,0,D20*(D12/D10))</f>
        <v>23362.657241159308</v>
      </c>
      <c r="E23" s="645">
        <f>IF(E10=0,0,E20*(E12/E10))</f>
        <v>21985.93204546519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478</v>
      </c>
      <c r="B25" s="642" t="s">
        <v>87</v>
      </c>
      <c r="C25" s="645"/>
      <c r="D25" s="645"/>
      <c r="E25" s="645"/>
    </row>
    <row r="26" spans="1:5" ht="25.5" customHeight="1">
      <c r="A26" s="639">
        <v>1</v>
      </c>
      <c r="B26" s="640" t="s">
        <v>579</v>
      </c>
      <c r="C26" s="647">
        <v>1.2249698505211193</v>
      </c>
      <c r="D26" s="647">
        <v>1.3252491042345276</v>
      </c>
      <c r="E26" s="647">
        <v>1.5293610951422822</v>
      </c>
    </row>
    <row r="27" spans="1:5" ht="25.5" customHeight="1">
      <c r="A27" s="639">
        <v>2</v>
      </c>
      <c r="B27" s="640" t="s">
        <v>88</v>
      </c>
      <c r="C27" s="645">
        <f>C19*C26</f>
        <v>87624.5433474767</v>
      </c>
      <c r="D27" s="645">
        <f>D19*D26</f>
        <v>94088.71065333876</v>
      </c>
      <c r="E27" s="645">
        <f>E19*E26</f>
        <v>103510.21764141995</v>
      </c>
    </row>
    <row r="28" spans="1:5" ht="25.5" customHeight="1">
      <c r="A28" s="639">
        <v>3</v>
      </c>
      <c r="B28" s="640" t="s">
        <v>89</v>
      </c>
      <c r="C28" s="645">
        <f>C20*C26</f>
        <v>17864.960300000002</v>
      </c>
      <c r="D28" s="645">
        <f>D20*D26</f>
        <v>19528.870799999997</v>
      </c>
      <c r="E28" s="645">
        <f>E20*E26</f>
        <v>21282.589</v>
      </c>
    </row>
    <row r="29" spans="1:5" ht="25.5" customHeight="1">
      <c r="A29" s="639">
        <v>4</v>
      </c>
      <c r="B29" s="640" t="s">
        <v>90</v>
      </c>
      <c r="C29" s="645">
        <f>C22*C26</f>
        <v>140398.8559180717</v>
      </c>
      <c r="D29" s="645">
        <f>D22*D26</f>
        <v>149169.53700166717</v>
      </c>
      <c r="E29" s="645">
        <f>E22*E26</f>
        <v>163536.11749608876</v>
      </c>
    </row>
    <row r="30" spans="1:5" ht="25.5" customHeight="1">
      <c r="A30" s="639">
        <v>5</v>
      </c>
      <c r="B30" s="640" t="s">
        <v>91</v>
      </c>
      <c r="C30" s="645">
        <f>C23*C26</f>
        <v>28624.62834408597</v>
      </c>
      <c r="D30" s="645">
        <f>D23*D26</f>
        <v>30961.340581384673</v>
      </c>
      <c r="E30" s="645">
        <f>E23*E26</f>
        <v>33624.42911077644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499</v>
      </c>
      <c r="B32" s="634" t="s">
        <v>92</v>
      </c>
      <c r="C32" s="648"/>
      <c r="D32" s="648"/>
      <c r="E32" s="645"/>
    </row>
    <row r="33" spans="1:5" ht="25.5" customHeight="1">
      <c r="A33" s="639">
        <v>1</v>
      </c>
      <c r="B33" s="640" t="s">
        <v>93</v>
      </c>
      <c r="C33" s="641">
        <f>IF(C19=0,0,C12/C19)</f>
        <v>9246.216700218085</v>
      </c>
      <c r="D33" s="641">
        <f>IF(D19=0,0,D12/D19)</f>
        <v>9994.353536064904</v>
      </c>
      <c r="E33" s="641">
        <f>IF(E19=0,0,E12/E19)</f>
        <v>12483.588945362135</v>
      </c>
    </row>
    <row r="34" spans="1:5" ht="25.5" customHeight="1">
      <c r="A34" s="639">
        <v>2</v>
      </c>
      <c r="B34" s="640" t="s">
        <v>94</v>
      </c>
      <c r="C34" s="641">
        <f>IF(C20=0,0,C12/C20)</f>
        <v>45351.095241360395</v>
      </c>
      <c r="D34" s="641">
        <f>IF(D20=0,0,D12/D20)</f>
        <v>48152.0845548317</v>
      </c>
      <c r="E34" s="641">
        <f>IF(E20=0,0,E12/E20)</f>
        <v>60715.310937050876</v>
      </c>
    </row>
    <row r="35" spans="1:5" ht="25.5" customHeight="1">
      <c r="A35" s="639">
        <v>3</v>
      </c>
      <c r="B35" s="640" t="s">
        <v>95</v>
      </c>
      <c r="C35" s="641">
        <f>IF(C22=0,0,C12/C22)</f>
        <v>5770.670357322597</v>
      </c>
      <c r="D35" s="641">
        <f>IF(D22=0,0,D12/D22)</f>
        <v>6303.94018057101</v>
      </c>
      <c r="E35" s="641">
        <f>IF(E22=0,0,E12/E22)</f>
        <v>7901.49007121539</v>
      </c>
    </row>
    <row r="36" spans="1:5" ht="25.5" customHeight="1">
      <c r="A36" s="639">
        <v>4</v>
      </c>
      <c r="B36" s="640" t="s">
        <v>96</v>
      </c>
      <c r="C36" s="641">
        <f>IF(C23=0,0,C12/C23)</f>
        <v>28304.140976412506</v>
      </c>
      <c r="D36" s="641">
        <f>IF(D23=0,0,D12/D23)</f>
        <v>30371.935464169383</v>
      </c>
      <c r="E36" s="641">
        <f>IF(E23=0,0,E12/E23)</f>
        <v>38429.76796493246</v>
      </c>
    </row>
    <row r="37" spans="1:5" ht="25.5" customHeight="1">
      <c r="A37" s="639">
        <v>5</v>
      </c>
      <c r="B37" s="640" t="s">
        <v>97</v>
      </c>
      <c r="C37" s="641">
        <f>IF(C29=0,0,C12/C29)</f>
        <v>4710.867255114624</v>
      </c>
      <c r="D37" s="641">
        <f>IF(D29=0,0,D12/D29)</f>
        <v>4756.796409390677</v>
      </c>
      <c r="E37" s="641">
        <f>IF(E29=0,0,E12/E29)</f>
        <v>5166.530060371572</v>
      </c>
    </row>
    <row r="38" spans="1:5" ht="25.5" customHeight="1">
      <c r="A38" s="639">
        <v>6</v>
      </c>
      <c r="B38" s="640" t="s">
        <v>98</v>
      </c>
      <c r="C38" s="641">
        <f>IF(C30=0,0,C12/C30)</f>
        <v>23105.989885687006</v>
      </c>
      <c r="D38" s="641">
        <f>IF(D30=0,0,D12/D30)</f>
        <v>22917.906804934162</v>
      </c>
      <c r="E38" s="641">
        <f>IF(E30=0,0,E12/E30)</f>
        <v>25127.98846982386</v>
      </c>
    </row>
    <row r="39" spans="1:5" ht="25.5" customHeight="1">
      <c r="A39" s="639">
        <v>7</v>
      </c>
      <c r="B39" s="640" t="s">
        <v>99</v>
      </c>
      <c r="C39" s="641">
        <f>IF(C22=0,0,C10/C22)</f>
        <v>3601.541847066624</v>
      </c>
      <c r="D39" s="641">
        <f>IF(D22=0,0,D10/D22)</f>
        <v>3976.2113334110086</v>
      </c>
      <c r="E39" s="641">
        <f>IF(E22=0,0,E10/E22)</f>
        <v>5001.249690195103</v>
      </c>
    </row>
    <row r="40" spans="1:5" ht="25.5" customHeight="1">
      <c r="A40" s="639">
        <v>8</v>
      </c>
      <c r="B40" s="640" t="s">
        <v>100</v>
      </c>
      <c r="C40" s="641">
        <f>IF(C23=0,0,C10/C23)</f>
        <v>17664.94044187944</v>
      </c>
      <c r="D40" s="641">
        <f>IF(D23=0,0,D10/D23)</f>
        <v>19157.103422786466</v>
      </c>
      <c r="E40" s="641">
        <f>IF(E23=0,0,E10/E23)</f>
        <v>24324.129170148386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511</v>
      </c>
      <c r="B42" s="634" t="s">
        <v>101</v>
      </c>
      <c r="C42" s="641"/>
      <c r="D42" s="641"/>
      <c r="E42" s="641"/>
    </row>
    <row r="43" spans="1:5" ht="25.5" customHeight="1">
      <c r="A43" s="639">
        <v>1</v>
      </c>
      <c r="B43" s="640" t="s">
        <v>102</v>
      </c>
      <c r="C43" s="641">
        <f>IF(C19=0,0,C13/C19)</f>
        <v>3106.57523905385</v>
      </c>
      <c r="D43" s="641">
        <f>IF(D19=0,0,D13/D19)</f>
        <v>3119.023606631266</v>
      </c>
      <c r="E43" s="641">
        <f>IF(E19=0,0,E13/E19)</f>
        <v>3544.9384474454064</v>
      </c>
    </row>
    <row r="44" spans="1:5" ht="25.5" customHeight="1">
      <c r="A44" s="639">
        <v>2</v>
      </c>
      <c r="B44" s="640" t="s">
        <v>103</v>
      </c>
      <c r="C44" s="641">
        <f>IF(C20=0,0,C13/C20)</f>
        <v>15237.214755896874</v>
      </c>
      <c r="D44" s="641">
        <f>IF(D20=0,0,D13/D20)</f>
        <v>15027.23391693811</v>
      </c>
      <c r="E44" s="641">
        <f>IF(E20=0,0,E13/E20)</f>
        <v>17241.19890773211</v>
      </c>
    </row>
    <row r="45" spans="1:5" ht="25.5" customHeight="1">
      <c r="A45" s="639">
        <v>3</v>
      </c>
      <c r="B45" s="640" t="s">
        <v>104</v>
      </c>
      <c r="C45" s="641">
        <f>IF(C22=0,0,C13/C22)</f>
        <v>1938.8493938691247</v>
      </c>
      <c r="D45" s="641">
        <f>IF(D22=0,0,D13/D22)</f>
        <v>1967.32466657708</v>
      </c>
      <c r="E45" s="641">
        <f>IF(E22=0,0,E13/E22)</f>
        <v>2243.7694855345167</v>
      </c>
    </row>
    <row r="46" spans="1:5" ht="25.5" customHeight="1">
      <c r="A46" s="639">
        <v>4</v>
      </c>
      <c r="B46" s="640" t="s">
        <v>105</v>
      </c>
      <c r="C46" s="641">
        <f>IF(C23=0,0,C13/C23)</f>
        <v>9509.7212590679</v>
      </c>
      <c r="D46" s="641">
        <f>IF(D23=0,0,D13/D23)</f>
        <v>9478.430330684918</v>
      </c>
      <c r="E46" s="641">
        <f>IF(E23=0,0,E13/E23)</f>
        <v>10912.82022994734</v>
      </c>
    </row>
    <row r="47" spans="1:5" ht="25.5" customHeight="1">
      <c r="A47" s="639">
        <v>5</v>
      </c>
      <c r="B47" s="640" t="s">
        <v>106</v>
      </c>
      <c r="C47" s="641">
        <f>IF(C29=0,0,C13/C29)</f>
        <v>1582.7731540040036</v>
      </c>
      <c r="D47" s="641">
        <f>IF(D29=0,0,D13/D29)</f>
        <v>1484.4942436036729</v>
      </c>
      <c r="E47" s="641">
        <f>IF(E29=0,0,E13/E29)</f>
        <v>1467.1286543520778</v>
      </c>
    </row>
    <row r="48" spans="1:5" ht="25.5" customHeight="1">
      <c r="A48" s="639">
        <v>6</v>
      </c>
      <c r="B48" s="640" t="s">
        <v>107</v>
      </c>
      <c r="C48" s="641">
        <f>IF(C30=0,0,C13/C30)</f>
        <v>7763.228829691057</v>
      </c>
      <c r="D48" s="641">
        <f>IF(D30=0,0,D13/D30)</f>
        <v>7152.18769090187</v>
      </c>
      <c r="E48" s="641">
        <f>IF(E30=0,0,E13/E30)</f>
        <v>7135.54193617831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523</v>
      </c>
      <c r="B50" s="634" t="s">
        <v>108</v>
      </c>
      <c r="C50" s="648"/>
      <c r="D50" s="648"/>
      <c r="E50" s="641"/>
    </row>
    <row r="51" spans="1:5" ht="25.5" customHeight="1">
      <c r="A51" s="639">
        <v>1</v>
      </c>
      <c r="B51" s="640" t="s">
        <v>109</v>
      </c>
      <c r="C51" s="641">
        <f>IF(C19=0,0,C16/C19)</f>
        <v>3359.5583934462898</v>
      </c>
      <c r="D51" s="641">
        <f>IF(D19=0,0,D16/D19)</f>
        <v>3456.5885741651055</v>
      </c>
      <c r="E51" s="641">
        <f>IF(E19=0,0,E16/E19)</f>
        <v>3745.938270145681</v>
      </c>
    </row>
    <row r="52" spans="1:5" ht="25.5" customHeight="1">
      <c r="A52" s="639">
        <v>2</v>
      </c>
      <c r="B52" s="640" t="s">
        <v>110</v>
      </c>
      <c r="C52" s="641">
        <f>IF(C20=0,0,C16/C20)</f>
        <v>16478.053414701044</v>
      </c>
      <c r="D52" s="641">
        <f>IF(D20=0,0,D16/D20)</f>
        <v>16653.59792345277</v>
      </c>
      <c r="E52" s="641">
        <f>IF(E20=0,0,E16/E20)</f>
        <v>18218.78370221328</v>
      </c>
    </row>
    <row r="53" spans="1:5" ht="25.5" customHeight="1">
      <c r="A53" s="639">
        <v>3</v>
      </c>
      <c r="B53" s="640" t="s">
        <v>111</v>
      </c>
      <c r="C53" s="641">
        <f>IF(C22=0,0,C16/C22)</f>
        <v>2096.7390948448747</v>
      </c>
      <c r="D53" s="641">
        <f>IF(D22=0,0,D16/D22)</f>
        <v>2180.2438268520104</v>
      </c>
      <c r="E53" s="641">
        <f>IF(E22=0,0,E16/E22)</f>
        <v>2370.992362732209</v>
      </c>
    </row>
    <row r="54" spans="1:5" ht="25.5" customHeight="1">
      <c r="A54" s="639">
        <v>4</v>
      </c>
      <c r="B54" s="640" t="s">
        <v>112</v>
      </c>
      <c r="C54" s="641">
        <f>IF(C23=0,0,C16/C23)</f>
        <v>10284.142960260804</v>
      </c>
      <c r="D54" s="641">
        <f>IF(D23=0,0,D16/D23)</f>
        <v>10504.25970243025</v>
      </c>
      <c r="E54" s="641">
        <f>IF(E23=0,0,E16/E23)</f>
        <v>11531.58271733554</v>
      </c>
    </row>
    <row r="55" spans="1:5" ht="25.5" customHeight="1">
      <c r="A55" s="639">
        <v>5</v>
      </c>
      <c r="B55" s="640" t="s">
        <v>113</v>
      </c>
      <c r="C55" s="641">
        <f>IF(C29=0,0,C16/C29)</f>
        <v>1711.6658781054018</v>
      </c>
      <c r="D55" s="641">
        <f>IF(D29=0,0,D16/D29)</f>
        <v>1645.1577442199693</v>
      </c>
      <c r="E55" s="641">
        <f>IF(E29=0,0,E16/E29)</f>
        <v>1550.3155992807744</v>
      </c>
    </row>
    <row r="56" spans="1:5" ht="25.5" customHeight="1">
      <c r="A56" s="639">
        <v>6</v>
      </c>
      <c r="B56" s="640" t="s">
        <v>114</v>
      </c>
      <c r="C56" s="641">
        <f>IF(C30=0,0,C16/C30)</f>
        <v>8395.425369763825</v>
      </c>
      <c r="D56" s="641">
        <f>IF(D30=0,0,D16/D30)</f>
        <v>7926.253010748178</v>
      </c>
      <c r="E56" s="641">
        <f>IF(E30=0,0,E16/E30)</f>
        <v>7540.130812771012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527</v>
      </c>
      <c r="B58" s="642" t="s">
        <v>115</v>
      </c>
      <c r="C58" s="641"/>
      <c r="D58" s="641"/>
      <c r="E58" s="641"/>
    </row>
    <row r="59" spans="1:5" ht="25.5" customHeight="1">
      <c r="A59" s="639">
        <v>1</v>
      </c>
      <c r="B59" s="640" t="s">
        <v>116</v>
      </c>
      <c r="C59" s="649">
        <v>32761682</v>
      </c>
      <c r="D59" s="649">
        <v>33893598</v>
      </c>
      <c r="E59" s="649">
        <v>33017306</v>
      </c>
    </row>
    <row r="60" spans="1:5" ht="25.5" customHeight="1">
      <c r="A60" s="639">
        <v>2</v>
      </c>
      <c r="B60" s="640" t="s">
        <v>117</v>
      </c>
      <c r="C60" s="649">
        <v>8788546</v>
      </c>
      <c r="D60" s="649">
        <v>9032365</v>
      </c>
      <c r="E60" s="649">
        <v>8798841</v>
      </c>
    </row>
    <row r="61" spans="1:5" ht="25.5" customHeight="1">
      <c r="A61" s="650">
        <v>3</v>
      </c>
      <c r="B61" s="651" t="s">
        <v>118</v>
      </c>
      <c r="C61" s="652">
        <f>C59+C60</f>
        <v>41550228</v>
      </c>
      <c r="D61" s="652">
        <f>D59+D60</f>
        <v>42925963</v>
      </c>
      <c r="E61" s="652">
        <f>E59+E60</f>
        <v>41816147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169</v>
      </c>
      <c r="B63" s="642" t="s">
        <v>119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120</v>
      </c>
      <c r="C64" s="641">
        <v>13857628</v>
      </c>
      <c r="D64" s="641">
        <v>14395769</v>
      </c>
      <c r="E64" s="649">
        <v>14446788</v>
      </c>
      <c r="F64" s="653"/>
    </row>
    <row r="65" spans="1:6" ht="25.5" customHeight="1">
      <c r="A65" s="639">
        <v>2</v>
      </c>
      <c r="B65" s="640" t="s">
        <v>121</v>
      </c>
      <c r="C65" s="649">
        <v>3717404</v>
      </c>
      <c r="D65" s="649">
        <v>3836354</v>
      </c>
      <c r="E65" s="649">
        <v>3948037</v>
      </c>
      <c r="F65" s="653"/>
    </row>
    <row r="66" spans="1:6" ht="25.5" customHeight="1">
      <c r="A66" s="650">
        <v>3</v>
      </c>
      <c r="B66" s="651" t="s">
        <v>122</v>
      </c>
      <c r="C66" s="654">
        <f>C64+C65</f>
        <v>17575032</v>
      </c>
      <c r="D66" s="654">
        <f>D64+D65</f>
        <v>18232123</v>
      </c>
      <c r="E66" s="654">
        <f>E64+E65</f>
        <v>18394825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553</v>
      </c>
      <c r="B68" s="642" t="s">
        <v>123</v>
      </c>
      <c r="C68" s="649"/>
      <c r="D68" s="649"/>
      <c r="E68" s="649"/>
    </row>
    <row r="69" spans="1:5" ht="25.5" customHeight="1">
      <c r="A69" s="639">
        <v>1</v>
      </c>
      <c r="B69" s="640" t="s">
        <v>124</v>
      </c>
      <c r="C69" s="649">
        <v>59117092</v>
      </c>
      <c r="D69" s="649">
        <v>60406391</v>
      </c>
      <c r="E69" s="649">
        <v>58531193</v>
      </c>
    </row>
    <row r="70" spans="1:5" ht="25.5" customHeight="1">
      <c r="A70" s="639">
        <v>2</v>
      </c>
      <c r="B70" s="640" t="s">
        <v>125</v>
      </c>
      <c r="C70" s="649">
        <v>15858563</v>
      </c>
      <c r="D70" s="649">
        <v>16097807</v>
      </c>
      <c r="E70" s="649">
        <v>17348785</v>
      </c>
    </row>
    <row r="71" spans="1:5" ht="25.5" customHeight="1">
      <c r="A71" s="650">
        <v>3</v>
      </c>
      <c r="B71" s="651" t="s">
        <v>126</v>
      </c>
      <c r="C71" s="652">
        <f>C69+C70</f>
        <v>74975655</v>
      </c>
      <c r="D71" s="652">
        <f>D69+D70</f>
        <v>76504198</v>
      </c>
      <c r="E71" s="652">
        <f>E69+E70</f>
        <v>75879978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569</v>
      </c>
      <c r="B74" s="642" t="s">
        <v>127</v>
      </c>
      <c r="C74" s="641"/>
      <c r="D74" s="641"/>
      <c r="E74" s="641"/>
    </row>
    <row r="75" spans="1:5" ht="25.5" customHeight="1">
      <c r="A75" s="639">
        <v>1</v>
      </c>
      <c r="B75" s="640" t="s">
        <v>128</v>
      </c>
      <c r="C75" s="641">
        <f aca="true" t="shared" si="0" ref="C75:E76">+C59+C64+C69</f>
        <v>105736402</v>
      </c>
      <c r="D75" s="641">
        <f t="shared" si="0"/>
        <v>108695758</v>
      </c>
      <c r="E75" s="641">
        <f t="shared" si="0"/>
        <v>105995287</v>
      </c>
    </row>
    <row r="76" spans="1:5" ht="25.5" customHeight="1">
      <c r="A76" s="639">
        <v>2</v>
      </c>
      <c r="B76" s="640" t="s">
        <v>129</v>
      </c>
      <c r="C76" s="641">
        <f t="shared" si="0"/>
        <v>28364513</v>
      </c>
      <c r="D76" s="641">
        <f t="shared" si="0"/>
        <v>28966526</v>
      </c>
      <c r="E76" s="641">
        <f t="shared" si="0"/>
        <v>30095663</v>
      </c>
    </row>
    <row r="77" spans="1:5" ht="25.5" customHeight="1">
      <c r="A77" s="650">
        <v>3</v>
      </c>
      <c r="B77" s="651" t="s">
        <v>127</v>
      </c>
      <c r="C77" s="654">
        <f>C75+C76</f>
        <v>134100915</v>
      </c>
      <c r="D77" s="654">
        <f>D75+D76</f>
        <v>137662284</v>
      </c>
      <c r="E77" s="654">
        <f>E75+E76</f>
        <v>136090950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578</v>
      </c>
      <c r="B79" s="642" t="s">
        <v>130</v>
      </c>
      <c r="C79" s="649"/>
      <c r="D79" s="649"/>
      <c r="E79" s="649"/>
    </row>
    <row r="80" spans="1:5" ht="25.5" customHeight="1">
      <c r="A80" s="639">
        <v>1</v>
      </c>
      <c r="B80" s="640" t="s">
        <v>735</v>
      </c>
      <c r="C80" s="646">
        <v>396.6</v>
      </c>
      <c r="D80" s="646">
        <v>393.8</v>
      </c>
      <c r="E80" s="646">
        <v>381</v>
      </c>
    </row>
    <row r="81" spans="1:5" ht="25.5" customHeight="1">
      <c r="A81" s="639">
        <v>2</v>
      </c>
      <c r="B81" s="640" t="s">
        <v>736</v>
      </c>
      <c r="C81" s="646">
        <v>112.6</v>
      </c>
      <c r="D81" s="646">
        <v>109.4</v>
      </c>
      <c r="E81" s="646">
        <v>120.8</v>
      </c>
    </row>
    <row r="82" spans="1:5" ht="25.5" customHeight="1">
      <c r="A82" s="639">
        <v>3</v>
      </c>
      <c r="B82" s="640" t="s">
        <v>131</v>
      </c>
      <c r="C82" s="646">
        <v>1138.7</v>
      </c>
      <c r="D82" s="646">
        <v>1121.8</v>
      </c>
      <c r="E82" s="646">
        <v>1087.4</v>
      </c>
    </row>
    <row r="83" spans="1:5" ht="25.5" customHeight="1">
      <c r="A83" s="650">
        <v>4</v>
      </c>
      <c r="B83" s="651" t="s">
        <v>130</v>
      </c>
      <c r="C83" s="656">
        <f>C80+C81+C82</f>
        <v>1647.9</v>
      </c>
      <c r="D83" s="656">
        <f>D80+D81+D82</f>
        <v>1625</v>
      </c>
      <c r="E83" s="656">
        <f>E80+E81+E82</f>
        <v>1589.2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581</v>
      </c>
      <c r="B85" s="642" t="s">
        <v>132</v>
      </c>
      <c r="C85" s="657"/>
      <c r="D85" s="657"/>
      <c r="E85" s="657"/>
    </row>
    <row r="86" spans="1:5" ht="25.5" customHeight="1">
      <c r="A86" s="639">
        <v>1</v>
      </c>
      <c r="B86" s="640" t="s">
        <v>133</v>
      </c>
      <c r="C86" s="649">
        <f>IF(C80=0,0,C59/C80)</f>
        <v>82606.3590519415</v>
      </c>
      <c r="D86" s="649">
        <f>IF(D80=0,0,D59/D80)</f>
        <v>86068.04977145759</v>
      </c>
      <c r="E86" s="649">
        <f>IF(E80=0,0,E59/E80)</f>
        <v>86659.59580052494</v>
      </c>
    </row>
    <row r="87" spans="1:5" ht="25.5" customHeight="1">
      <c r="A87" s="639">
        <v>2</v>
      </c>
      <c r="B87" s="640" t="s">
        <v>134</v>
      </c>
      <c r="C87" s="649">
        <f>IF(C80=0,0,C60/C80)</f>
        <v>22159.722642460918</v>
      </c>
      <c r="D87" s="649">
        <f>IF(D80=0,0,D60/D80)</f>
        <v>22936.427120365668</v>
      </c>
      <c r="E87" s="649">
        <f>IF(E80=0,0,E60/E80)</f>
        <v>23094.070866141734</v>
      </c>
    </row>
    <row r="88" spans="1:5" ht="25.5" customHeight="1">
      <c r="A88" s="650">
        <v>3</v>
      </c>
      <c r="B88" s="651" t="s">
        <v>135</v>
      </c>
      <c r="C88" s="652">
        <f>+C86+C87</f>
        <v>104766.08169440241</v>
      </c>
      <c r="D88" s="652">
        <f>+D86+D87</f>
        <v>109004.47689182326</v>
      </c>
      <c r="E88" s="652">
        <f>+E86+E87</f>
        <v>109753.66666666667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733</v>
      </c>
      <c r="B90" s="642" t="s">
        <v>136</v>
      </c>
    </row>
    <row r="91" spans="1:5" ht="25.5" customHeight="1">
      <c r="A91" s="639">
        <v>1</v>
      </c>
      <c r="B91" s="640" t="s">
        <v>137</v>
      </c>
      <c r="C91" s="641">
        <f>IF(C81=0,0,C64/C81)</f>
        <v>123069.52042628775</v>
      </c>
      <c r="D91" s="641">
        <f>IF(D81=0,0,D64/D81)</f>
        <v>131588.38208409506</v>
      </c>
      <c r="E91" s="641">
        <f>IF(E81=0,0,E64/E81)</f>
        <v>119592.61589403974</v>
      </c>
    </row>
    <row r="92" spans="1:5" ht="25.5" customHeight="1">
      <c r="A92" s="639">
        <v>2</v>
      </c>
      <c r="B92" s="640" t="s">
        <v>138</v>
      </c>
      <c r="C92" s="641">
        <f>IF(C81=0,0,C65/C81)</f>
        <v>33014.24511545293</v>
      </c>
      <c r="D92" s="641">
        <f>IF(D81=0,0,D65/D81)</f>
        <v>35067.22120658135</v>
      </c>
      <c r="E92" s="641">
        <f>IF(E81=0,0,E65/E81)</f>
        <v>32682.425496688742</v>
      </c>
    </row>
    <row r="93" spans="1:5" ht="25.5" customHeight="1">
      <c r="A93" s="650">
        <v>3</v>
      </c>
      <c r="B93" s="651" t="s">
        <v>139</v>
      </c>
      <c r="C93" s="654">
        <f>+C91+C92</f>
        <v>156083.7655417407</v>
      </c>
      <c r="D93" s="654">
        <f>+D91+D92</f>
        <v>166655.60329067643</v>
      </c>
      <c r="E93" s="654">
        <f>+E91+E92</f>
        <v>152275.0413907285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140</v>
      </c>
      <c r="B95" s="642" t="s">
        <v>141</v>
      </c>
      <c r="C95" s="649"/>
      <c r="D95" s="649"/>
      <c r="E95" s="649"/>
    </row>
    <row r="96" spans="1:5" ht="25.5" customHeight="1">
      <c r="A96" s="639">
        <v>1</v>
      </c>
      <c r="B96" s="640" t="s">
        <v>142</v>
      </c>
      <c r="C96" s="649">
        <f>IF(C82=0,0,C69/C82)</f>
        <v>51916.301045051376</v>
      </c>
      <c r="D96" s="649">
        <f>IF(D82=0,0,D69/D82)</f>
        <v>53847.736673203784</v>
      </c>
      <c r="E96" s="649">
        <f>IF(E82=0,0,E69/E82)</f>
        <v>53826.73625160934</v>
      </c>
    </row>
    <row r="97" spans="1:5" ht="25.5" customHeight="1">
      <c r="A97" s="639">
        <v>2</v>
      </c>
      <c r="B97" s="640" t="s">
        <v>143</v>
      </c>
      <c r="C97" s="649">
        <f>IF(C82=0,0,C70/C82)</f>
        <v>13926.901730043031</v>
      </c>
      <c r="D97" s="649">
        <f>IF(D82=0,0,D70/D82)</f>
        <v>14349.979497236585</v>
      </c>
      <c r="E97" s="649">
        <f>IF(E82=0,0,E70/E82)</f>
        <v>15954.372815891114</v>
      </c>
    </row>
    <row r="98" spans="1:5" ht="25.5" customHeight="1">
      <c r="A98" s="650">
        <v>3</v>
      </c>
      <c r="B98" s="651" t="s">
        <v>144</v>
      </c>
      <c r="C98" s="654">
        <f>+C96+C97</f>
        <v>65843.20277509441</v>
      </c>
      <c r="D98" s="654">
        <f>+D96+D97</f>
        <v>68197.71617044037</v>
      </c>
      <c r="E98" s="654">
        <f>+E96+E97</f>
        <v>69781.10906750045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145</v>
      </c>
      <c r="B100" s="642" t="s">
        <v>146</v>
      </c>
    </row>
    <row r="101" spans="1:5" ht="25.5" customHeight="1">
      <c r="A101" s="639">
        <v>1</v>
      </c>
      <c r="B101" s="640" t="s">
        <v>147</v>
      </c>
      <c r="C101" s="641">
        <f>IF(C83=0,0,C75/C83)</f>
        <v>64164.331573517804</v>
      </c>
      <c r="D101" s="641">
        <f>IF(D83=0,0,D75/D83)</f>
        <v>66889.69723076923</v>
      </c>
      <c r="E101" s="641">
        <f>IF(E83=0,0,E75/E83)</f>
        <v>66697.26088598036</v>
      </c>
    </row>
    <row r="102" spans="1:5" ht="25.5" customHeight="1">
      <c r="A102" s="639">
        <v>2</v>
      </c>
      <c r="B102" s="640" t="s">
        <v>148</v>
      </c>
      <c r="C102" s="658">
        <f>IF(C83=0,0,C76/C83)</f>
        <v>17212.520784028155</v>
      </c>
      <c r="D102" s="658">
        <f>IF(D83=0,0,D76/D83)</f>
        <v>17825.55446153846</v>
      </c>
      <c r="E102" s="658">
        <f>IF(E83=0,0,E76/E83)</f>
        <v>18937.618298514975</v>
      </c>
    </row>
    <row r="103" spans="1:5" ht="25.5" customHeight="1">
      <c r="A103" s="650">
        <v>3</v>
      </c>
      <c r="B103" s="651" t="s">
        <v>146</v>
      </c>
      <c r="C103" s="654">
        <f>+C101+C102</f>
        <v>81376.85235754595</v>
      </c>
      <c r="D103" s="654">
        <f>+D101+D102</f>
        <v>84715.25169230769</v>
      </c>
      <c r="E103" s="654">
        <f>+E101+E102</f>
        <v>85634.87918449534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149</v>
      </c>
      <c r="B107" s="634" t="s">
        <v>150</v>
      </c>
      <c r="C107" s="659"/>
      <c r="D107" s="659"/>
      <c r="E107" s="641"/>
    </row>
    <row r="108" spans="1:5" ht="25.5" customHeight="1">
      <c r="A108" s="639">
        <v>1</v>
      </c>
      <c r="B108" s="640" t="s">
        <v>151</v>
      </c>
      <c r="C108" s="641">
        <f>IF(C19=0,0,C77/C19)</f>
        <v>1874.6982469384332</v>
      </c>
      <c r="D108" s="641">
        <f>IF(D19=0,0,D77/D19)</f>
        <v>1938.9873374931335</v>
      </c>
      <c r="E108" s="641">
        <f>IF(E19=0,0,E77/E19)</f>
        <v>2010.740669601962</v>
      </c>
    </row>
    <row r="109" spans="1:5" ht="25.5" customHeight="1">
      <c r="A109" s="639">
        <v>2</v>
      </c>
      <c r="B109" s="640" t="s">
        <v>152</v>
      </c>
      <c r="C109" s="641">
        <f>IF(C20=0,0,C77/C20)</f>
        <v>9195.070968184311</v>
      </c>
      <c r="D109" s="641">
        <f>IF(D20=0,0,D77/D20)</f>
        <v>9341.903094462541</v>
      </c>
      <c r="E109" s="641">
        <f>IF(E20=0,0,E77/E20)</f>
        <v>9779.45889623455</v>
      </c>
    </row>
    <row r="110" spans="1:5" ht="25.5" customHeight="1">
      <c r="A110" s="639">
        <v>3</v>
      </c>
      <c r="B110" s="640" t="s">
        <v>153</v>
      </c>
      <c r="C110" s="641">
        <f>IF(C22=0,0,C77/C22)</f>
        <v>1170.0207720934218</v>
      </c>
      <c r="D110" s="641">
        <f>IF(D22=0,0,D77/D22)</f>
        <v>1223.0165905511938</v>
      </c>
      <c r="E110" s="641">
        <f>IF(E22=0,0,E77/E22)</f>
        <v>1272.6987011657006</v>
      </c>
    </row>
    <row r="111" spans="1:5" ht="25.5" customHeight="1">
      <c r="A111" s="639">
        <v>4</v>
      </c>
      <c r="B111" s="640" t="s">
        <v>154</v>
      </c>
      <c r="C111" s="641">
        <f>IF(C23=0,0,C77/C23)</f>
        <v>5738.749716770889</v>
      </c>
      <c r="D111" s="641">
        <f>IF(D23=0,0,D77/D23)</f>
        <v>5892.406954354174</v>
      </c>
      <c r="E111" s="641">
        <f>IF(E23=0,0,E77/E23)</f>
        <v>6189.910426293256</v>
      </c>
    </row>
    <row r="112" spans="1:5" ht="25.5" customHeight="1">
      <c r="A112" s="639">
        <v>5</v>
      </c>
      <c r="B112" s="640" t="s">
        <v>155</v>
      </c>
      <c r="C112" s="641">
        <f>IF(C29=0,0,C77/C29)</f>
        <v>955.1425054222179</v>
      </c>
      <c r="D112" s="641">
        <f>IF(D29=0,0,D77/D29)</f>
        <v>922.8578888628008</v>
      </c>
      <c r="E112" s="641">
        <f>IF(E29=0,0,E77/E29)</f>
        <v>832.176720859567</v>
      </c>
    </row>
    <row r="113" spans="1:5" ht="25.5" customHeight="1">
      <c r="A113" s="639">
        <v>6</v>
      </c>
      <c r="B113" s="640" t="s">
        <v>156</v>
      </c>
      <c r="C113" s="641">
        <f>IF(C30=0,0,C77/C30)</f>
        <v>4684.808948015778</v>
      </c>
      <c r="D113" s="641">
        <f>IF(D30=0,0,D77/D30)</f>
        <v>4446.263676410984</v>
      </c>
      <c r="E113" s="641">
        <f>IF(E30=0,0,E77/E30)</f>
        <v>4047.3832150917806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FILING&amp;R&amp;12WATERBURY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24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157</v>
      </c>
      <c r="C1" s="57"/>
      <c r="D1" s="57"/>
      <c r="E1" s="57"/>
      <c r="F1" s="58"/>
    </row>
    <row r="2" spans="1:6" ht="22.5" customHeight="1">
      <c r="A2" s="57"/>
      <c r="B2" s="57" t="s">
        <v>158</v>
      </c>
      <c r="C2" s="57"/>
      <c r="D2" s="57"/>
      <c r="E2" s="57"/>
      <c r="F2" s="58"/>
    </row>
    <row r="3" spans="1:6" ht="22.5" customHeight="1">
      <c r="A3" s="57"/>
      <c r="B3" s="57" t="s">
        <v>159</v>
      </c>
      <c r="C3" s="57"/>
      <c r="D3" s="57"/>
      <c r="E3" s="57"/>
      <c r="F3" s="58"/>
    </row>
    <row r="4" spans="1:6" ht="22.5" customHeight="1">
      <c r="A4" s="57"/>
      <c r="B4" s="57" t="s">
        <v>226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709569118</v>
      </c>
      <c r="D12" s="51">
        <v>844914262</v>
      </c>
      <c r="E12" s="51">
        <f aca="true" t="shared" si="0" ref="E12:E19">D12-C12</f>
        <v>135345144</v>
      </c>
      <c r="F12" s="70">
        <f aca="true" t="shared" si="1" ref="F12:F19">IF(C12=0,0,E12/C12)</f>
        <v>0.1907427205703166</v>
      </c>
    </row>
    <row r="13" spans="1:6" ht="22.5" customHeight="1">
      <c r="A13" s="25">
        <v>2</v>
      </c>
      <c r="B13" s="48" t="s">
        <v>229</v>
      </c>
      <c r="C13" s="51">
        <v>484171065</v>
      </c>
      <c r="D13" s="51">
        <v>601712067</v>
      </c>
      <c r="E13" s="51">
        <f t="shared" si="0"/>
        <v>117541002</v>
      </c>
      <c r="F13" s="70">
        <f t="shared" si="1"/>
        <v>0.24276750614991832</v>
      </c>
    </row>
    <row r="14" spans="1:6" ht="22.5" customHeight="1">
      <c r="A14" s="25">
        <v>3</v>
      </c>
      <c r="B14" s="48" t="s">
        <v>230</v>
      </c>
      <c r="C14" s="51">
        <v>3956734</v>
      </c>
      <c r="D14" s="51">
        <v>3273671</v>
      </c>
      <c r="E14" s="51">
        <f t="shared" si="0"/>
        <v>-683063</v>
      </c>
      <c r="F14" s="70">
        <f t="shared" si="1"/>
        <v>-0.1726330352255168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221441319</v>
      </c>
      <c r="D16" s="27">
        <f>D12-D13-D14-D15</f>
        <v>239928524</v>
      </c>
      <c r="E16" s="27">
        <f t="shared" si="0"/>
        <v>18487205</v>
      </c>
      <c r="F16" s="28">
        <f t="shared" si="1"/>
        <v>0.08348579697540548</v>
      </c>
    </row>
    <row r="17" spans="1:7" ht="22.5" customHeight="1">
      <c r="A17" s="25">
        <v>5</v>
      </c>
      <c r="B17" s="48" t="s">
        <v>233</v>
      </c>
      <c r="C17" s="51">
        <v>6863890</v>
      </c>
      <c r="D17" s="51">
        <v>3509420</v>
      </c>
      <c r="E17" s="51">
        <f t="shared" si="0"/>
        <v>-3354470</v>
      </c>
      <c r="F17" s="70">
        <f t="shared" si="1"/>
        <v>-0.4887126687636311</v>
      </c>
      <c r="G17" s="64"/>
    </row>
    <row r="18" spans="1:7" ht="22.5" customHeight="1">
      <c r="A18" s="25">
        <v>6</v>
      </c>
      <c r="B18" s="45" t="s">
        <v>234</v>
      </c>
      <c r="C18" s="51">
        <v>4742105</v>
      </c>
      <c r="D18" s="51">
        <v>5108393</v>
      </c>
      <c r="E18" s="51">
        <f t="shared" si="0"/>
        <v>366288</v>
      </c>
      <c r="F18" s="70">
        <f t="shared" si="1"/>
        <v>0.07724164690575178</v>
      </c>
      <c r="G18" s="64"/>
    </row>
    <row r="19" spans="1:6" ht="22.5" customHeight="1">
      <c r="A19" s="29"/>
      <c r="B19" s="71" t="s">
        <v>235</v>
      </c>
      <c r="C19" s="27">
        <f>SUM(C16:C18)</f>
        <v>233047314</v>
      </c>
      <c r="D19" s="27">
        <f>SUM(D16:D18)</f>
        <v>248546337</v>
      </c>
      <c r="E19" s="27">
        <f t="shared" si="0"/>
        <v>15499023</v>
      </c>
      <c r="F19" s="28">
        <f t="shared" si="1"/>
        <v>0.0665059070365428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108695758</v>
      </c>
      <c r="D22" s="51">
        <v>105995287</v>
      </c>
      <c r="E22" s="51">
        <f aca="true" t="shared" si="2" ref="E22:E31">D22-C22</f>
        <v>-2700471</v>
      </c>
      <c r="F22" s="70">
        <f aca="true" t="shared" si="3" ref="F22:F31">IF(C22=0,0,E22/C22)</f>
        <v>-0.024844309011580745</v>
      </c>
    </row>
    <row r="23" spans="1:6" ht="22.5" customHeight="1">
      <c r="A23" s="25">
        <v>2</v>
      </c>
      <c r="B23" s="48" t="s">
        <v>238</v>
      </c>
      <c r="C23" s="51">
        <v>28966526</v>
      </c>
      <c r="D23" s="51">
        <v>30095663</v>
      </c>
      <c r="E23" s="51">
        <f t="shared" si="2"/>
        <v>1129137</v>
      </c>
      <c r="F23" s="70">
        <f t="shared" si="3"/>
        <v>0.03898075316315115</v>
      </c>
    </row>
    <row r="24" spans="1:7" ht="22.5" customHeight="1">
      <c r="A24" s="25">
        <v>3</v>
      </c>
      <c r="B24" s="48" t="s">
        <v>239</v>
      </c>
      <c r="C24" s="51">
        <v>10790863</v>
      </c>
      <c r="D24" s="51">
        <v>10486600</v>
      </c>
      <c r="E24" s="51">
        <f t="shared" si="2"/>
        <v>-304263</v>
      </c>
      <c r="F24" s="70">
        <f t="shared" si="3"/>
        <v>-0.028196354638178614</v>
      </c>
      <c r="G24" s="64"/>
    </row>
    <row r="25" spans="1:6" ht="22.5" customHeight="1">
      <c r="A25" s="25">
        <v>4</v>
      </c>
      <c r="B25" s="48" t="s">
        <v>240</v>
      </c>
      <c r="C25" s="51">
        <v>35002172</v>
      </c>
      <c r="D25" s="51">
        <v>37120926</v>
      </c>
      <c r="E25" s="51">
        <f t="shared" si="2"/>
        <v>2118754</v>
      </c>
      <c r="F25" s="70">
        <f t="shared" si="3"/>
        <v>0.06053207212398133</v>
      </c>
    </row>
    <row r="26" spans="1:6" ht="22.5" customHeight="1">
      <c r="A26" s="25">
        <v>5</v>
      </c>
      <c r="B26" s="48" t="s">
        <v>241</v>
      </c>
      <c r="C26" s="51">
        <v>9625585</v>
      </c>
      <c r="D26" s="51">
        <v>9056904</v>
      </c>
      <c r="E26" s="51">
        <f t="shared" si="2"/>
        <v>-568681</v>
      </c>
      <c r="F26" s="70">
        <f t="shared" si="3"/>
        <v>-0.05908014941429534</v>
      </c>
    </row>
    <row r="27" spans="1:6" ht="22.5" customHeight="1">
      <c r="A27" s="25">
        <v>6</v>
      </c>
      <c r="B27" s="48" t="s">
        <v>242</v>
      </c>
      <c r="C27" s="51">
        <v>17717523</v>
      </c>
      <c r="D27" s="51">
        <v>14319487</v>
      </c>
      <c r="E27" s="51">
        <f t="shared" si="2"/>
        <v>-3398036</v>
      </c>
      <c r="F27" s="70">
        <f t="shared" si="3"/>
        <v>-0.19178956336052166</v>
      </c>
    </row>
    <row r="28" spans="1:6" ht="22.5" customHeight="1">
      <c r="A28" s="25">
        <v>7</v>
      </c>
      <c r="B28" s="48" t="s">
        <v>243</v>
      </c>
      <c r="C28" s="51">
        <v>1414401</v>
      </c>
      <c r="D28" s="51">
        <v>1281962</v>
      </c>
      <c r="E28" s="51">
        <f t="shared" si="2"/>
        <v>-132439</v>
      </c>
      <c r="F28" s="70">
        <f t="shared" si="3"/>
        <v>-0.0936361046124826</v>
      </c>
    </row>
    <row r="29" spans="1:6" ht="22.5" customHeight="1">
      <c r="A29" s="25">
        <v>8</v>
      </c>
      <c r="B29" s="48" t="s">
        <v>244</v>
      </c>
      <c r="C29" s="51">
        <v>5111822</v>
      </c>
      <c r="D29" s="51">
        <v>4566483</v>
      </c>
      <c r="E29" s="51">
        <f t="shared" si="2"/>
        <v>-545339</v>
      </c>
      <c r="F29" s="70">
        <f t="shared" si="3"/>
        <v>-0.1066819228056063</v>
      </c>
    </row>
    <row r="30" spans="1:6" ht="22.5" customHeight="1">
      <c r="A30" s="25">
        <v>9</v>
      </c>
      <c r="B30" s="48" t="s">
        <v>245</v>
      </c>
      <c r="C30" s="51">
        <v>28082769</v>
      </c>
      <c r="D30" s="51">
        <v>40609282</v>
      </c>
      <c r="E30" s="51">
        <f t="shared" si="2"/>
        <v>12526513</v>
      </c>
      <c r="F30" s="70">
        <f t="shared" si="3"/>
        <v>0.44605690414645366</v>
      </c>
    </row>
    <row r="31" spans="1:6" ht="22.5" customHeight="1">
      <c r="A31" s="29"/>
      <c r="B31" s="71" t="s">
        <v>246</v>
      </c>
      <c r="C31" s="27">
        <f>SUM(C22:C30)</f>
        <v>245407419</v>
      </c>
      <c r="D31" s="27">
        <f>SUM(D22:D30)</f>
        <v>253532594</v>
      </c>
      <c r="E31" s="27">
        <f t="shared" si="2"/>
        <v>8125175</v>
      </c>
      <c r="F31" s="28">
        <f t="shared" si="3"/>
        <v>0.03310892161740228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-12360105</v>
      </c>
      <c r="D33" s="27">
        <f>+D19-D31</f>
        <v>-4986257</v>
      </c>
      <c r="E33" s="27">
        <f>D33-C33</f>
        <v>7373848</v>
      </c>
      <c r="F33" s="28">
        <f>IF(C33=0,0,E33/C33)</f>
        <v>-0.5965845759400912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1849308</v>
      </c>
      <c r="D36" s="51">
        <v>1617478</v>
      </c>
      <c r="E36" s="51">
        <f>D36-C36</f>
        <v>-231830</v>
      </c>
      <c r="F36" s="70">
        <f>IF(C36=0,0,E36/C36)</f>
        <v>-0.125360405081252</v>
      </c>
    </row>
    <row r="37" spans="1:6" ht="22.5" customHeight="1">
      <c r="A37" s="44">
        <v>2</v>
      </c>
      <c r="B37" s="48" t="s">
        <v>250</v>
      </c>
      <c r="C37" s="51">
        <v>120447</v>
      </c>
      <c r="D37" s="51">
        <v>434411</v>
      </c>
      <c r="E37" s="51">
        <f>D37-C37</f>
        <v>313964</v>
      </c>
      <c r="F37" s="70">
        <f>IF(C37=0,0,E37/C37)</f>
        <v>2.606656869826563</v>
      </c>
    </row>
    <row r="38" spans="1:6" ht="22.5" customHeight="1">
      <c r="A38" s="44">
        <v>3</v>
      </c>
      <c r="B38" s="48" t="s">
        <v>251</v>
      </c>
      <c r="C38" s="51">
        <v>-94433</v>
      </c>
      <c r="D38" s="51">
        <v>1014797</v>
      </c>
      <c r="E38" s="51">
        <f>D38-C38</f>
        <v>1109230</v>
      </c>
      <c r="F38" s="70">
        <f>IF(C38=0,0,E38/C38)</f>
        <v>-11.746211599758558</v>
      </c>
    </row>
    <row r="39" spans="1:6" ht="22.5" customHeight="1">
      <c r="A39" s="20"/>
      <c r="B39" s="71" t="s">
        <v>252</v>
      </c>
      <c r="C39" s="27">
        <f>SUM(C36:C38)</f>
        <v>1875322</v>
      </c>
      <c r="D39" s="27">
        <f>SUM(D36:D38)</f>
        <v>3066686</v>
      </c>
      <c r="E39" s="27">
        <f>D39-C39</f>
        <v>1191364</v>
      </c>
      <c r="F39" s="28">
        <f>IF(C39=0,0,E39/C39)</f>
        <v>0.6352850337168764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-10484783</v>
      </c>
      <c r="D41" s="27">
        <f>D33+D39</f>
        <v>-1919571</v>
      </c>
      <c r="E41" s="27">
        <f>D41-C41</f>
        <v>8565212</v>
      </c>
      <c r="F41" s="28">
        <f>IF(C41=0,0,E41/C41)</f>
        <v>-0.8169183854353494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258</v>
      </c>
      <c r="C48" s="27">
        <f>C41+C46</f>
        <v>-10484783</v>
      </c>
      <c r="D48" s="27">
        <f>D41+D46</f>
        <v>-1919571</v>
      </c>
      <c r="E48" s="27">
        <f>D48-C48</f>
        <v>8565212</v>
      </c>
      <c r="F48" s="28">
        <f>IF(C48=0,0,E48/C48)</f>
        <v>-0.8169183854353494</v>
      </c>
    </row>
    <row r="49" spans="1:6" ht="22.5" customHeight="1">
      <c r="A49" s="44"/>
      <c r="B49" s="48" t="s">
        <v>259</v>
      </c>
      <c r="C49" s="51">
        <v>0</v>
      </c>
      <c r="D49" s="51">
        <v>1162266</v>
      </c>
      <c r="E49" s="51">
        <f>D49-C49</f>
        <v>1162266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FILING&amp;RWATERBURY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0.42187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2" t="s">
        <v>157</v>
      </c>
      <c r="B2" s="672"/>
      <c r="C2" s="672"/>
      <c r="D2" s="672"/>
      <c r="E2" s="672"/>
      <c r="F2" s="672"/>
    </row>
    <row r="3" spans="1:6" ht="18" customHeight="1">
      <c r="A3" s="672" t="s">
        <v>158</v>
      </c>
      <c r="B3" s="672"/>
      <c r="C3" s="672"/>
      <c r="D3" s="672"/>
      <c r="E3" s="672"/>
      <c r="F3" s="672"/>
    </row>
    <row r="4" spans="1:6" ht="18" customHeight="1">
      <c r="A4" s="672" t="s">
        <v>159</v>
      </c>
      <c r="B4" s="672"/>
      <c r="C4" s="672"/>
      <c r="D4" s="672"/>
      <c r="E4" s="672"/>
      <c r="F4" s="672"/>
    </row>
    <row r="5" spans="1:6" ht="18" customHeight="1">
      <c r="A5" s="672" t="s">
        <v>260</v>
      </c>
      <c r="B5" s="672"/>
      <c r="C5" s="672"/>
      <c r="D5" s="672"/>
      <c r="E5" s="672"/>
      <c r="F5" s="672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165</v>
      </c>
      <c r="B8" s="87" t="s">
        <v>261</v>
      </c>
      <c r="C8" s="88" t="s">
        <v>262</v>
      </c>
      <c r="D8" s="89" t="s">
        <v>263</v>
      </c>
      <c r="E8" s="90" t="s">
        <v>264</v>
      </c>
      <c r="F8" s="91" t="s">
        <v>265</v>
      </c>
    </row>
    <row r="9" spans="1:6" ht="18" customHeight="1">
      <c r="A9" s="92"/>
      <c r="B9" s="93"/>
      <c r="C9" s="673"/>
      <c r="D9" s="674"/>
      <c r="E9" s="674"/>
      <c r="F9" s="675"/>
    </row>
    <row r="10" spans="1:6" ht="18" customHeight="1">
      <c r="A10" s="662" t="s">
        <v>169</v>
      </c>
      <c r="B10" s="664" t="s">
        <v>266</v>
      </c>
      <c r="C10" s="666"/>
      <c r="D10" s="667"/>
      <c r="E10" s="667"/>
      <c r="F10" s="668"/>
    </row>
    <row r="11" spans="1:6" ht="18" customHeight="1">
      <c r="A11" s="663"/>
      <c r="B11" s="665"/>
      <c r="C11" s="669"/>
      <c r="D11" s="670"/>
      <c r="E11" s="670"/>
      <c r="F11" s="671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267</v>
      </c>
      <c r="B13" s="95" t="s">
        <v>268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269</v>
      </c>
      <c r="C14" s="97">
        <v>228024505</v>
      </c>
      <c r="D14" s="97">
        <v>267926170</v>
      </c>
      <c r="E14" s="97">
        <f aca="true" t="shared" si="0" ref="E14:E25">D14-C14</f>
        <v>39901665</v>
      </c>
      <c r="F14" s="98">
        <f aca="true" t="shared" si="1" ref="F14:F25">IF(C14=0,0,E14/C14)</f>
        <v>0.17498849520581133</v>
      </c>
    </row>
    <row r="15" spans="1:6" ht="18" customHeight="1">
      <c r="A15" s="99">
        <v>2</v>
      </c>
      <c r="B15" s="100" t="s">
        <v>270</v>
      </c>
      <c r="C15" s="97">
        <v>24542725</v>
      </c>
      <c r="D15" s="97">
        <v>38759660</v>
      </c>
      <c r="E15" s="97">
        <f t="shared" si="0"/>
        <v>14216935</v>
      </c>
      <c r="F15" s="98">
        <f t="shared" si="1"/>
        <v>0.5792728802527022</v>
      </c>
    </row>
    <row r="16" spans="1:6" ht="18" customHeight="1">
      <c r="A16" s="99">
        <v>3</v>
      </c>
      <c r="B16" s="100" t="s">
        <v>271</v>
      </c>
      <c r="C16" s="97">
        <v>28573694</v>
      </c>
      <c r="D16" s="97">
        <v>34349834</v>
      </c>
      <c r="E16" s="97">
        <f t="shared" si="0"/>
        <v>5776140</v>
      </c>
      <c r="F16" s="98">
        <f t="shared" si="1"/>
        <v>0.20214887161596956</v>
      </c>
    </row>
    <row r="17" spans="1:6" ht="18" customHeight="1">
      <c r="A17" s="99">
        <v>4</v>
      </c>
      <c r="B17" s="100" t="s">
        <v>272</v>
      </c>
      <c r="C17" s="97">
        <v>22255598</v>
      </c>
      <c r="D17" s="97">
        <v>21928723</v>
      </c>
      <c r="E17" s="97">
        <f t="shared" si="0"/>
        <v>-326875</v>
      </c>
      <c r="F17" s="98">
        <f t="shared" si="1"/>
        <v>-0.014687315973266592</v>
      </c>
    </row>
    <row r="18" spans="1:6" ht="18" customHeight="1">
      <c r="A18" s="99">
        <v>5</v>
      </c>
      <c r="B18" s="100" t="s">
        <v>273</v>
      </c>
      <c r="C18" s="97">
        <v>274994</v>
      </c>
      <c r="D18" s="97">
        <v>803012</v>
      </c>
      <c r="E18" s="97">
        <f t="shared" si="0"/>
        <v>528018</v>
      </c>
      <c r="F18" s="98">
        <f t="shared" si="1"/>
        <v>1.9201073477966792</v>
      </c>
    </row>
    <row r="19" spans="1:6" ht="18" customHeight="1">
      <c r="A19" s="99">
        <v>6</v>
      </c>
      <c r="B19" s="100" t="s">
        <v>274</v>
      </c>
      <c r="C19" s="97">
        <v>60605852</v>
      </c>
      <c r="D19" s="97">
        <v>69311069</v>
      </c>
      <c r="E19" s="97">
        <f t="shared" si="0"/>
        <v>8705217</v>
      </c>
      <c r="F19" s="98">
        <f t="shared" si="1"/>
        <v>0.1436365748970908</v>
      </c>
    </row>
    <row r="20" spans="1:6" ht="18" customHeight="1">
      <c r="A20" s="99">
        <v>7</v>
      </c>
      <c r="B20" s="100" t="s">
        <v>275</v>
      </c>
      <c r="C20" s="97">
        <v>55748752</v>
      </c>
      <c r="D20" s="97">
        <v>68252270</v>
      </c>
      <c r="E20" s="97">
        <f t="shared" si="0"/>
        <v>12503518</v>
      </c>
      <c r="F20" s="98">
        <f t="shared" si="1"/>
        <v>0.224283370504868</v>
      </c>
    </row>
    <row r="21" spans="1:6" ht="18" customHeight="1">
      <c r="A21" s="99">
        <v>8</v>
      </c>
      <c r="B21" s="100" t="s">
        <v>276</v>
      </c>
      <c r="C21" s="97">
        <v>4250423</v>
      </c>
      <c r="D21" s="97">
        <v>4609867</v>
      </c>
      <c r="E21" s="97">
        <f t="shared" si="0"/>
        <v>359444</v>
      </c>
      <c r="F21" s="98">
        <f t="shared" si="1"/>
        <v>0.08456664195540067</v>
      </c>
    </row>
    <row r="22" spans="1:6" ht="18" customHeight="1">
      <c r="A22" s="99">
        <v>9</v>
      </c>
      <c r="B22" s="100" t="s">
        <v>277</v>
      </c>
      <c r="C22" s="97">
        <v>9188200</v>
      </c>
      <c r="D22" s="97">
        <v>8867028</v>
      </c>
      <c r="E22" s="97">
        <f t="shared" si="0"/>
        <v>-321172</v>
      </c>
      <c r="F22" s="98">
        <f t="shared" si="1"/>
        <v>-0.03495483337323959</v>
      </c>
    </row>
    <row r="23" spans="1:6" ht="18" customHeight="1">
      <c r="A23" s="99">
        <v>10</v>
      </c>
      <c r="B23" s="100" t="s">
        <v>278</v>
      </c>
      <c r="C23" s="97">
        <v>14096098</v>
      </c>
      <c r="D23" s="97">
        <v>19981018</v>
      </c>
      <c r="E23" s="97">
        <f t="shared" si="0"/>
        <v>5884920</v>
      </c>
      <c r="F23" s="98">
        <f t="shared" si="1"/>
        <v>0.4174857467648139</v>
      </c>
    </row>
    <row r="24" spans="1:6" ht="18" customHeight="1">
      <c r="A24" s="99">
        <v>11</v>
      </c>
      <c r="B24" s="100" t="s">
        <v>279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280</v>
      </c>
      <c r="C25" s="103">
        <f>SUM(C14:C24)</f>
        <v>447560841</v>
      </c>
      <c r="D25" s="103">
        <f>SUM(D14:D24)</f>
        <v>534788651</v>
      </c>
      <c r="E25" s="103">
        <f t="shared" si="0"/>
        <v>87227810</v>
      </c>
      <c r="F25" s="104">
        <f t="shared" si="1"/>
        <v>0.19489598286817053</v>
      </c>
    </row>
    <row r="26" spans="1:6" ht="18" customHeight="1">
      <c r="A26" s="94" t="s">
        <v>281</v>
      </c>
      <c r="B26" s="95" t="s">
        <v>282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269</v>
      </c>
      <c r="C27" s="97">
        <v>71423454</v>
      </c>
      <c r="D27" s="97">
        <v>83849883</v>
      </c>
      <c r="E27" s="97">
        <f aca="true" t="shared" si="2" ref="E27:E38">D27-C27</f>
        <v>12426429</v>
      </c>
      <c r="F27" s="98">
        <f aca="true" t="shared" si="3" ref="F27:F38">IF(C27=0,0,E27/C27)</f>
        <v>0.173982470800138</v>
      </c>
    </row>
    <row r="28" spans="1:6" ht="18" customHeight="1">
      <c r="A28" s="99">
        <v>2</v>
      </c>
      <c r="B28" s="100" t="s">
        <v>270</v>
      </c>
      <c r="C28" s="97">
        <v>8747218</v>
      </c>
      <c r="D28" s="97">
        <v>14191150</v>
      </c>
      <c r="E28" s="97">
        <f t="shared" si="2"/>
        <v>5443932</v>
      </c>
      <c r="F28" s="98">
        <f t="shared" si="3"/>
        <v>0.6223615325466908</v>
      </c>
    </row>
    <row r="29" spans="1:6" ht="18" customHeight="1">
      <c r="A29" s="99">
        <v>3</v>
      </c>
      <c r="B29" s="100" t="s">
        <v>271</v>
      </c>
      <c r="C29" s="97">
        <v>15771384</v>
      </c>
      <c r="D29" s="97">
        <v>18014339</v>
      </c>
      <c r="E29" s="97">
        <f t="shared" si="2"/>
        <v>2242955</v>
      </c>
      <c r="F29" s="98">
        <f t="shared" si="3"/>
        <v>0.14221675155458774</v>
      </c>
    </row>
    <row r="30" spans="1:6" ht="18" customHeight="1">
      <c r="A30" s="99">
        <v>4</v>
      </c>
      <c r="B30" s="100" t="s">
        <v>272</v>
      </c>
      <c r="C30" s="97">
        <v>26964415</v>
      </c>
      <c r="D30" s="97">
        <v>33242687</v>
      </c>
      <c r="E30" s="97">
        <f t="shared" si="2"/>
        <v>6278272</v>
      </c>
      <c r="F30" s="98">
        <f t="shared" si="3"/>
        <v>0.23283546110679576</v>
      </c>
    </row>
    <row r="31" spans="1:6" ht="18" customHeight="1">
      <c r="A31" s="99">
        <v>5</v>
      </c>
      <c r="B31" s="100" t="s">
        <v>273</v>
      </c>
      <c r="C31" s="97">
        <v>318244</v>
      </c>
      <c r="D31" s="97">
        <v>463890</v>
      </c>
      <c r="E31" s="97">
        <f t="shared" si="2"/>
        <v>145646</v>
      </c>
      <c r="F31" s="98">
        <f t="shared" si="3"/>
        <v>0.4576551325398122</v>
      </c>
    </row>
    <row r="32" spans="1:6" ht="18" customHeight="1">
      <c r="A32" s="99">
        <v>6</v>
      </c>
      <c r="B32" s="100" t="s">
        <v>274</v>
      </c>
      <c r="C32" s="97">
        <v>54585266</v>
      </c>
      <c r="D32" s="97">
        <v>62842967</v>
      </c>
      <c r="E32" s="97">
        <f t="shared" si="2"/>
        <v>8257701</v>
      </c>
      <c r="F32" s="98">
        <f t="shared" si="3"/>
        <v>0.1512807686968128</v>
      </c>
    </row>
    <row r="33" spans="1:6" ht="18" customHeight="1">
      <c r="A33" s="99">
        <v>7</v>
      </c>
      <c r="B33" s="100" t="s">
        <v>275</v>
      </c>
      <c r="C33" s="97">
        <v>56378673</v>
      </c>
      <c r="D33" s="97">
        <v>63503900</v>
      </c>
      <c r="E33" s="97">
        <f t="shared" si="2"/>
        <v>7125227</v>
      </c>
      <c r="F33" s="98">
        <f t="shared" si="3"/>
        <v>0.12638160178051724</v>
      </c>
    </row>
    <row r="34" spans="1:6" ht="18" customHeight="1">
      <c r="A34" s="99">
        <v>8</v>
      </c>
      <c r="B34" s="100" t="s">
        <v>276</v>
      </c>
      <c r="C34" s="97">
        <v>5559445</v>
      </c>
      <c r="D34" s="97">
        <v>6845324</v>
      </c>
      <c r="E34" s="97">
        <f t="shared" si="2"/>
        <v>1285879</v>
      </c>
      <c r="F34" s="98">
        <f t="shared" si="3"/>
        <v>0.23129628946774364</v>
      </c>
    </row>
    <row r="35" spans="1:6" ht="18" customHeight="1">
      <c r="A35" s="99">
        <v>9</v>
      </c>
      <c r="B35" s="100" t="s">
        <v>277</v>
      </c>
      <c r="C35" s="97">
        <v>10405866</v>
      </c>
      <c r="D35" s="97">
        <v>11129535</v>
      </c>
      <c r="E35" s="97">
        <f t="shared" si="2"/>
        <v>723669</v>
      </c>
      <c r="F35" s="98">
        <f t="shared" si="3"/>
        <v>0.06954433201426964</v>
      </c>
    </row>
    <row r="36" spans="1:6" ht="18" customHeight="1">
      <c r="A36" s="99">
        <v>10</v>
      </c>
      <c r="B36" s="100" t="s">
        <v>278</v>
      </c>
      <c r="C36" s="97">
        <v>11854312</v>
      </c>
      <c r="D36" s="97">
        <v>16041941</v>
      </c>
      <c r="E36" s="97">
        <f t="shared" si="2"/>
        <v>4187629</v>
      </c>
      <c r="F36" s="98">
        <f t="shared" si="3"/>
        <v>0.35325786937276493</v>
      </c>
    </row>
    <row r="37" spans="1:6" ht="18" customHeight="1">
      <c r="A37" s="99">
        <v>11</v>
      </c>
      <c r="B37" s="100" t="s">
        <v>279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283</v>
      </c>
      <c r="C38" s="103">
        <f>SUM(C27:C37)</f>
        <v>262008277</v>
      </c>
      <c r="D38" s="103">
        <f>SUM(D27:D37)</f>
        <v>310125616</v>
      </c>
      <c r="E38" s="103">
        <f t="shared" si="2"/>
        <v>48117339</v>
      </c>
      <c r="F38" s="104">
        <f t="shared" si="3"/>
        <v>0.18364816390895924</v>
      </c>
    </row>
    <row r="39" spans="1:6" ht="18" customHeight="1">
      <c r="A39" s="662" t="s">
        <v>284</v>
      </c>
      <c r="B39" s="664" t="s">
        <v>285</v>
      </c>
      <c r="C39" s="666"/>
      <c r="D39" s="667"/>
      <c r="E39" s="667"/>
      <c r="F39" s="668"/>
    </row>
    <row r="40" spans="1:6" ht="18" customHeight="1">
      <c r="A40" s="663"/>
      <c r="B40" s="665"/>
      <c r="C40" s="669"/>
      <c r="D40" s="670"/>
      <c r="E40" s="670"/>
      <c r="F40" s="671"/>
    </row>
    <row r="41" spans="1:6" ht="18" customHeight="1">
      <c r="A41" s="105">
        <v>1</v>
      </c>
      <c r="B41" s="106" t="s">
        <v>269</v>
      </c>
      <c r="C41" s="103">
        <f aca="true" t="shared" si="4" ref="C41:D51">+C27+C14</f>
        <v>299447959</v>
      </c>
      <c r="D41" s="103">
        <f t="shared" si="4"/>
        <v>351776053</v>
      </c>
      <c r="E41" s="107">
        <f aca="true" t="shared" si="5" ref="E41:E52">D41-C41</f>
        <v>52328094</v>
      </c>
      <c r="F41" s="108">
        <f aca="true" t="shared" si="6" ref="F41:F52">IF(C41=0,0,E41/C41)</f>
        <v>0.17474854119810515</v>
      </c>
    </row>
    <row r="42" spans="1:6" ht="18" customHeight="1">
      <c r="A42" s="105">
        <v>2</v>
      </c>
      <c r="B42" s="106" t="s">
        <v>270</v>
      </c>
      <c r="C42" s="103">
        <f t="shared" si="4"/>
        <v>33289943</v>
      </c>
      <c r="D42" s="103">
        <f t="shared" si="4"/>
        <v>52950810</v>
      </c>
      <c r="E42" s="107">
        <f t="shared" si="5"/>
        <v>19660867</v>
      </c>
      <c r="F42" s="108">
        <f t="shared" si="6"/>
        <v>0.590594793148189</v>
      </c>
    </row>
    <row r="43" spans="1:6" ht="18" customHeight="1">
      <c r="A43" s="105">
        <v>3</v>
      </c>
      <c r="B43" s="106" t="s">
        <v>271</v>
      </c>
      <c r="C43" s="103">
        <f t="shared" si="4"/>
        <v>44345078</v>
      </c>
      <c r="D43" s="103">
        <f t="shared" si="4"/>
        <v>52364173</v>
      </c>
      <c r="E43" s="107">
        <f t="shared" si="5"/>
        <v>8019095</v>
      </c>
      <c r="F43" s="108">
        <f t="shared" si="6"/>
        <v>0.18083393606839523</v>
      </c>
    </row>
    <row r="44" spans="1:6" ht="18" customHeight="1">
      <c r="A44" s="105">
        <v>4</v>
      </c>
      <c r="B44" s="106" t="s">
        <v>272</v>
      </c>
      <c r="C44" s="103">
        <f t="shared" si="4"/>
        <v>49220013</v>
      </c>
      <c r="D44" s="103">
        <f t="shared" si="4"/>
        <v>55171410</v>
      </c>
      <c r="E44" s="107">
        <f t="shared" si="5"/>
        <v>5951397</v>
      </c>
      <c r="F44" s="108">
        <f t="shared" si="6"/>
        <v>0.12091416960820388</v>
      </c>
    </row>
    <row r="45" spans="1:6" ht="18" customHeight="1">
      <c r="A45" s="105">
        <v>5</v>
      </c>
      <c r="B45" s="106" t="s">
        <v>273</v>
      </c>
      <c r="C45" s="103">
        <f t="shared" si="4"/>
        <v>593238</v>
      </c>
      <c r="D45" s="103">
        <f t="shared" si="4"/>
        <v>1266902</v>
      </c>
      <c r="E45" s="107">
        <f t="shared" si="5"/>
        <v>673664</v>
      </c>
      <c r="F45" s="108">
        <f t="shared" si="6"/>
        <v>1.135571220993935</v>
      </c>
    </row>
    <row r="46" spans="1:6" ht="18" customHeight="1">
      <c r="A46" s="105">
        <v>6</v>
      </c>
      <c r="B46" s="106" t="s">
        <v>274</v>
      </c>
      <c r="C46" s="103">
        <f t="shared" si="4"/>
        <v>115191118</v>
      </c>
      <c r="D46" s="103">
        <f t="shared" si="4"/>
        <v>132154036</v>
      </c>
      <c r="E46" s="107">
        <f t="shared" si="5"/>
        <v>16962918</v>
      </c>
      <c r="F46" s="108">
        <f t="shared" si="6"/>
        <v>0.14725890584723728</v>
      </c>
    </row>
    <row r="47" spans="1:6" ht="18" customHeight="1">
      <c r="A47" s="105">
        <v>7</v>
      </c>
      <c r="B47" s="106" t="s">
        <v>275</v>
      </c>
      <c r="C47" s="103">
        <f t="shared" si="4"/>
        <v>112127425</v>
      </c>
      <c r="D47" s="103">
        <f t="shared" si="4"/>
        <v>131756170</v>
      </c>
      <c r="E47" s="107">
        <f t="shared" si="5"/>
        <v>19628745</v>
      </c>
      <c r="F47" s="108">
        <f t="shared" si="6"/>
        <v>0.17505748482139852</v>
      </c>
    </row>
    <row r="48" spans="1:6" ht="18" customHeight="1">
      <c r="A48" s="105">
        <v>8</v>
      </c>
      <c r="B48" s="106" t="s">
        <v>276</v>
      </c>
      <c r="C48" s="103">
        <f t="shared" si="4"/>
        <v>9809868</v>
      </c>
      <c r="D48" s="103">
        <f t="shared" si="4"/>
        <v>11455191</v>
      </c>
      <c r="E48" s="107">
        <f t="shared" si="5"/>
        <v>1645323</v>
      </c>
      <c r="F48" s="108">
        <f t="shared" si="6"/>
        <v>0.16772121704389906</v>
      </c>
    </row>
    <row r="49" spans="1:6" ht="18" customHeight="1">
      <c r="A49" s="105">
        <v>9</v>
      </c>
      <c r="B49" s="106" t="s">
        <v>277</v>
      </c>
      <c r="C49" s="103">
        <f t="shared" si="4"/>
        <v>19594066</v>
      </c>
      <c r="D49" s="103">
        <f t="shared" si="4"/>
        <v>19996563</v>
      </c>
      <c r="E49" s="107">
        <f t="shared" si="5"/>
        <v>402497</v>
      </c>
      <c r="F49" s="108">
        <f t="shared" si="6"/>
        <v>0.02054178035329676</v>
      </c>
    </row>
    <row r="50" spans="1:6" ht="18" customHeight="1">
      <c r="A50" s="105">
        <v>10</v>
      </c>
      <c r="B50" s="106" t="s">
        <v>278</v>
      </c>
      <c r="C50" s="103">
        <f t="shared" si="4"/>
        <v>25950410</v>
      </c>
      <c r="D50" s="103">
        <f t="shared" si="4"/>
        <v>36022959</v>
      </c>
      <c r="E50" s="107">
        <f t="shared" si="5"/>
        <v>10072549</v>
      </c>
      <c r="F50" s="108">
        <f t="shared" si="6"/>
        <v>0.3881460447060374</v>
      </c>
    </row>
    <row r="51" spans="1:6" ht="18" customHeight="1" thickBot="1">
      <c r="A51" s="105">
        <v>11</v>
      </c>
      <c r="B51" s="106" t="s">
        <v>279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285</v>
      </c>
      <c r="C52" s="111">
        <f>SUM(C41:C51)</f>
        <v>709569118</v>
      </c>
      <c r="D52" s="112">
        <f>SUM(D41:D51)</f>
        <v>844914267</v>
      </c>
      <c r="E52" s="111">
        <f t="shared" si="5"/>
        <v>135345149</v>
      </c>
      <c r="F52" s="113">
        <f t="shared" si="6"/>
        <v>0.1907427276168465</v>
      </c>
    </row>
    <row r="53" spans="1:6" ht="18" customHeight="1">
      <c r="A53" s="662" t="s">
        <v>201</v>
      </c>
      <c r="B53" s="664" t="s">
        <v>286</v>
      </c>
      <c r="C53" s="666"/>
      <c r="D53" s="667"/>
      <c r="E53" s="667"/>
      <c r="F53" s="668"/>
    </row>
    <row r="54" spans="1:6" ht="18" customHeight="1">
      <c r="A54" s="663"/>
      <c r="B54" s="665"/>
      <c r="C54" s="669"/>
      <c r="D54" s="670"/>
      <c r="E54" s="670"/>
      <c r="F54" s="671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267</v>
      </c>
      <c r="B56" s="95" t="s">
        <v>287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269</v>
      </c>
      <c r="C57" s="97">
        <v>70445411</v>
      </c>
      <c r="D57" s="97">
        <v>75908323</v>
      </c>
      <c r="E57" s="97">
        <f aca="true" t="shared" si="7" ref="E57:E68">D57-C57</f>
        <v>5462912</v>
      </c>
      <c r="F57" s="98">
        <f aca="true" t="shared" si="8" ref="F57:F68">IF(C57=0,0,E57/C57)</f>
        <v>0.07754815995040472</v>
      </c>
    </row>
    <row r="58" spans="1:6" ht="18" customHeight="1">
      <c r="A58" s="99">
        <v>2</v>
      </c>
      <c r="B58" s="100" t="s">
        <v>270</v>
      </c>
      <c r="C58" s="97">
        <v>6751473</v>
      </c>
      <c r="D58" s="97">
        <v>9408169</v>
      </c>
      <c r="E58" s="97">
        <f t="shared" si="7"/>
        <v>2656696</v>
      </c>
      <c r="F58" s="98">
        <f t="shared" si="8"/>
        <v>0.393498722426943</v>
      </c>
    </row>
    <row r="59" spans="1:6" ht="18" customHeight="1">
      <c r="A59" s="99">
        <v>3</v>
      </c>
      <c r="B59" s="100" t="s">
        <v>271</v>
      </c>
      <c r="C59" s="97">
        <v>6610884</v>
      </c>
      <c r="D59" s="97">
        <v>7306089</v>
      </c>
      <c r="E59" s="97">
        <f t="shared" si="7"/>
        <v>695205</v>
      </c>
      <c r="F59" s="98">
        <f t="shared" si="8"/>
        <v>0.10516067140188816</v>
      </c>
    </row>
    <row r="60" spans="1:6" ht="18" customHeight="1">
      <c r="A60" s="99">
        <v>4</v>
      </c>
      <c r="B60" s="100" t="s">
        <v>272</v>
      </c>
      <c r="C60" s="97">
        <v>5157678</v>
      </c>
      <c r="D60" s="97">
        <v>4792305</v>
      </c>
      <c r="E60" s="97">
        <f t="shared" si="7"/>
        <v>-365373</v>
      </c>
      <c r="F60" s="98">
        <f t="shared" si="8"/>
        <v>-0.0708405991998725</v>
      </c>
    </row>
    <row r="61" spans="1:6" ht="18" customHeight="1">
      <c r="A61" s="99">
        <v>5</v>
      </c>
      <c r="B61" s="100" t="s">
        <v>273</v>
      </c>
      <c r="C61" s="97">
        <v>67936</v>
      </c>
      <c r="D61" s="97">
        <v>106979</v>
      </c>
      <c r="E61" s="97">
        <f t="shared" si="7"/>
        <v>39043</v>
      </c>
      <c r="F61" s="98">
        <f t="shared" si="8"/>
        <v>0.574702661328309</v>
      </c>
    </row>
    <row r="62" spans="1:6" ht="18" customHeight="1">
      <c r="A62" s="99">
        <v>6</v>
      </c>
      <c r="B62" s="100" t="s">
        <v>274</v>
      </c>
      <c r="C62" s="97">
        <v>24589820</v>
      </c>
      <c r="D62" s="97">
        <v>25656703</v>
      </c>
      <c r="E62" s="97">
        <f t="shared" si="7"/>
        <v>1066883</v>
      </c>
      <c r="F62" s="98">
        <f t="shared" si="8"/>
        <v>0.04338718217538803</v>
      </c>
    </row>
    <row r="63" spans="1:6" ht="18" customHeight="1">
      <c r="A63" s="99">
        <v>7</v>
      </c>
      <c r="B63" s="100" t="s">
        <v>275</v>
      </c>
      <c r="C63" s="97">
        <v>18458866</v>
      </c>
      <c r="D63" s="97">
        <v>21528178</v>
      </c>
      <c r="E63" s="97">
        <f t="shared" si="7"/>
        <v>3069312</v>
      </c>
      <c r="F63" s="98">
        <f t="shared" si="8"/>
        <v>0.16627847019421452</v>
      </c>
    </row>
    <row r="64" spans="1:6" ht="18" customHeight="1">
      <c r="A64" s="99">
        <v>8</v>
      </c>
      <c r="B64" s="100" t="s">
        <v>276</v>
      </c>
      <c r="C64" s="97">
        <v>3364140</v>
      </c>
      <c r="D64" s="97">
        <v>3409742</v>
      </c>
      <c r="E64" s="97">
        <f t="shared" si="7"/>
        <v>45602</v>
      </c>
      <c r="F64" s="98">
        <f t="shared" si="8"/>
        <v>0.013555321716694312</v>
      </c>
    </row>
    <row r="65" spans="1:6" ht="18" customHeight="1">
      <c r="A65" s="99">
        <v>9</v>
      </c>
      <c r="B65" s="100" t="s">
        <v>277</v>
      </c>
      <c r="C65" s="97">
        <v>332477</v>
      </c>
      <c r="D65" s="97">
        <v>1031285</v>
      </c>
      <c r="E65" s="97">
        <f t="shared" si="7"/>
        <v>698808</v>
      </c>
      <c r="F65" s="98">
        <f t="shared" si="8"/>
        <v>2.1018235847893236</v>
      </c>
    </row>
    <row r="66" spans="1:6" ht="18" customHeight="1">
      <c r="A66" s="99">
        <v>10</v>
      </c>
      <c r="B66" s="100" t="s">
        <v>278</v>
      </c>
      <c r="C66" s="97">
        <v>1149646</v>
      </c>
      <c r="D66" s="97">
        <v>1538371</v>
      </c>
      <c r="E66" s="97">
        <f t="shared" si="7"/>
        <v>388725</v>
      </c>
      <c r="F66" s="98">
        <f t="shared" si="8"/>
        <v>0.33812582307945227</v>
      </c>
    </row>
    <row r="67" spans="1:6" ht="18" customHeight="1">
      <c r="A67" s="99">
        <v>11</v>
      </c>
      <c r="B67" s="100" t="s">
        <v>279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288</v>
      </c>
      <c r="C68" s="103">
        <f>SUM(C57:C67)</f>
        <v>136928331</v>
      </c>
      <c r="D68" s="103">
        <f>SUM(D57:D67)</f>
        <v>150686144</v>
      </c>
      <c r="E68" s="103">
        <f t="shared" si="7"/>
        <v>13757813</v>
      </c>
      <c r="F68" s="104">
        <f t="shared" si="8"/>
        <v>0.10047455409355716</v>
      </c>
    </row>
    <row r="69" spans="1:6" ht="18" customHeight="1">
      <c r="A69" s="94" t="s">
        <v>281</v>
      </c>
      <c r="B69" s="95" t="s">
        <v>289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269</v>
      </c>
      <c r="C70" s="97">
        <v>15841019</v>
      </c>
      <c r="D70" s="97">
        <v>17480294</v>
      </c>
      <c r="E70" s="97">
        <f aca="true" t="shared" si="9" ref="E70:E81">D70-C70</f>
        <v>1639275</v>
      </c>
      <c r="F70" s="98">
        <f aca="true" t="shared" si="10" ref="F70:F81">IF(C70=0,0,E70/C70)</f>
        <v>0.10348292619306877</v>
      </c>
    </row>
    <row r="71" spans="1:6" ht="18" customHeight="1">
      <c r="A71" s="99">
        <v>2</v>
      </c>
      <c r="B71" s="100" t="s">
        <v>270</v>
      </c>
      <c r="C71" s="97">
        <v>1890059</v>
      </c>
      <c r="D71" s="97">
        <v>2625239</v>
      </c>
      <c r="E71" s="97">
        <f t="shared" si="9"/>
        <v>735180</v>
      </c>
      <c r="F71" s="98">
        <f t="shared" si="10"/>
        <v>0.3889719844724424</v>
      </c>
    </row>
    <row r="72" spans="1:6" ht="18" customHeight="1">
      <c r="A72" s="99">
        <v>3</v>
      </c>
      <c r="B72" s="100" t="s">
        <v>271</v>
      </c>
      <c r="C72" s="97">
        <v>2172394</v>
      </c>
      <c r="D72" s="97">
        <v>3009672</v>
      </c>
      <c r="E72" s="97">
        <f t="shared" si="9"/>
        <v>837278</v>
      </c>
      <c r="F72" s="98">
        <f t="shared" si="10"/>
        <v>0.3854171941185623</v>
      </c>
    </row>
    <row r="73" spans="1:6" ht="18" customHeight="1">
      <c r="A73" s="99">
        <v>4</v>
      </c>
      <c r="B73" s="100" t="s">
        <v>272</v>
      </c>
      <c r="C73" s="97">
        <v>5621303</v>
      </c>
      <c r="D73" s="97">
        <v>6515498</v>
      </c>
      <c r="E73" s="97">
        <f t="shared" si="9"/>
        <v>894195</v>
      </c>
      <c r="F73" s="98">
        <f t="shared" si="10"/>
        <v>0.159072549549455</v>
      </c>
    </row>
    <row r="74" spans="1:6" ht="18" customHeight="1">
      <c r="A74" s="99">
        <v>5</v>
      </c>
      <c r="B74" s="100" t="s">
        <v>273</v>
      </c>
      <c r="C74" s="97">
        <v>89373</v>
      </c>
      <c r="D74" s="97">
        <v>137976</v>
      </c>
      <c r="E74" s="97">
        <f t="shared" si="9"/>
        <v>48603</v>
      </c>
      <c r="F74" s="98">
        <f t="shared" si="10"/>
        <v>0.543821959652244</v>
      </c>
    </row>
    <row r="75" spans="1:6" ht="18" customHeight="1">
      <c r="A75" s="99">
        <v>6</v>
      </c>
      <c r="B75" s="100" t="s">
        <v>274</v>
      </c>
      <c r="C75" s="97">
        <v>19391702</v>
      </c>
      <c r="D75" s="97">
        <v>18989146</v>
      </c>
      <c r="E75" s="97">
        <f t="shared" si="9"/>
        <v>-402556</v>
      </c>
      <c r="F75" s="98">
        <f t="shared" si="10"/>
        <v>-0.020759188646772727</v>
      </c>
    </row>
    <row r="76" spans="1:6" ht="18" customHeight="1">
      <c r="A76" s="99">
        <v>7</v>
      </c>
      <c r="B76" s="100" t="s">
        <v>275</v>
      </c>
      <c r="C76" s="97">
        <v>15226223</v>
      </c>
      <c r="D76" s="97">
        <v>14213260</v>
      </c>
      <c r="E76" s="97">
        <f t="shared" si="9"/>
        <v>-1012963</v>
      </c>
      <c r="F76" s="98">
        <f t="shared" si="10"/>
        <v>-0.06652752951273602</v>
      </c>
    </row>
    <row r="77" spans="1:6" ht="18" customHeight="1">
      <c r="A77" s="99">
        <v>8</v>
      </c>
      <c r="B77" s="100" t="s">
        <v>276</v>
      </c>
      <c r="C77" s="97">
        <v>4495450</v>
      </c>
      <c r="D77" s="97">
        <v>5047020</v>
      </c>
      <c r="E77" s="97">
        <f t="shared" si="9"/>
        <v>551570</v>
      </c>
      <c r="F77" s="98">
        <f t="shared" si="10"/>
        <v>0.12269516956033323</v>
      </c>
    </row>
    <row r="78" spans="1:6" ht="18" customHeight="1">
      <c r="A78" s="99">
        <v>9</v>
      </c>
      <c r="B78" s="100" t="s">
        <v>277</v>
      </c>
      <c r="C78" s="97">
        <v>728411</v>
      </c>
      <c r="D78" s="97">
        <v>3642339</v>
      </c>
      <c r="E78" s="97">
        <f t="shared" si="9"/>
        <v>2913928</v>
      </c>
      <c r="F78" s="98">
        <f t="shared" si="10"/>
        <v>4.000389889773768</v>
      </c>
    </row>
    <row r="79" spans="1:6" ht="18" customHeight="1">
      <c r="A79" s="99">
        <v>10</v>
      </c>
      <c r="B79" s="100" t="s">
        <v>278</v>
      </c>
      <c r="C79" s="97">
        <v>1101379</v>
      </c>
      <c r="D79" s="97">
        <v>1401067</v>
      </c>
      <c r="E79" s="97">
        <f t="shared" si="9"/>
        <v>299688</v>
      </c>
      <c r="F79" s="98">
        <f t="shared" si="10"/>
        <v>0.27210251875149244</v>
      </c>
    </row>
    <row r="80" spans="1:6" ht="18" customHeight="1">
      <c r="A80" s="99">
        <v>11</v>
      </c>
      <c r="B80" s="100" t="s">
        <v>279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290</v>
      </c>
      <c r="C81" s="103">
        <f>SUM(C70:C80)</f>
        <v>66557313</v>
      </c>
      <c r="D81" s="103">
        <f>SUM(D70:D80)</f>
        <v>73061511</v>
      </c>
      <c r="E81" s="103">
        <f t="shared" si="9"/>
        <v>6504198</v>
      </c>
      <c r="F81" s="104">
        <f t="shared" si="10"/>
        <v>0.09772326596177343</v>
      </c>
    </row>
    <row r="82" spans="1:6" ht="18" customHeight="1">
      <c r="A82" s="662" t="s">
        <v>284</v>
      </c>
      <c r="B82" s="664" t="s">
        <v>291</v>
      </c>
      <c r="C82" s="666"/>
      <c r="D82" s="667"/>
      <c r="E82" s="667"/>
      <c r="F82" s="668"/>
    </row>
    <row r="83" spans="1:6" ht="18" customHeight="1">
      <c r="A83" s="663"/>
      <c r="B83" s="665"/>
      <c r="C83" s="669"/>
      <c r="D83" s="670"/>
      <c r="E83" s="670"/>
      <c r="F83" s="671"/>
    </row>
    <row r="84" spans="1:6" ht="18" customHeight="1">
      <c r="A84" s="114">
        <v>1</v>
      </c>
      <c r="B84" s="106" t="s">
        <v>269</v>
      </c>
      <c r="C84" s="103">
        <f aca="true" t="shared" si="11" ref="C84:D94">+C70+C57</f>
        <v>86286430</v>
      </c>
      <c r="D84" s="103">
        <f t="shared" si="11"/>
        <v>93388617</v>
      </c>
      <c r="E84" s="103">
        <f aca="true" t="shared" si="12" ref="E84:E95">D84-C84</f>
        <v>7102187</v>
      </c>
      <c r="F84" s="104">
        <f aca="true" t="shared" si="13" ref="F84:F95">IF(C84=0,0,E84/C84)</f>
        <v>0.08230943150620555</v>
      </c>
    </row>
    <row r="85" spans="1:6" ht="18" customHeight="1">
      <c r="A85" s="114">
        <v>2</v>
      </c>
      <c r="B85" s="106" t="s">
        <v>270</v>
      </c>
      <c r="C85" s="103">
        <f t="shared" si="11"/>
        <v>8641532</v>
      </c>
      <c r="D85" s="103">
        <f t="shared" si="11"/>
        <v>12033408</v>
      </c>
      <c r="E85" s="103">
        <f t="shared" si="12"/>
        <v>3391876</v>
      </c>
      <c r="F85" s="104">
        <f t="shared" si="13"/>
        <v>0.3925086431433686</v>
      </c>
    </row>
    <row r="86" spans="1:6" ht="18" customHeight="1">
      <c r="A86" s="114">
        <v>3</v>
      </c>
      <c r="B86" s="106" t="s">
        <v>271</v>
      </c>
      <c r="C86" s="103">
        <f t="shared" si="11"/>
        <v>8783278</v>
      </c>
      <c r="D86" s="103">
        <f t="shared" si="11"/>
        <v>10315761</v>
      </c>
      <c r="E86" s="103">
        <f t="shared" si="12"/>
        <v>1532483</v>
      </c>
      <c r="F86" s="104">
        <f t="shared" si="13"/>
        <v>0.1744773420583978</v>
      </c>
    </row>
    <row r="87" spans="1:6" ht="18" customHeight="1">
      <c r="A87" s="114">
        <v>4</v>
      </c>
      <c r="B87" s="106" t="s">
        <v>272</v>
      </c>
      <c r="C87" s="103">
        <f t="shared" si="11"/>
        <v>10778981</v>
      </c>
      <c r="D87" s="103">
        <f t="shared" si="11"/>
        <v>11307803</v>
      </c>
      <c r="E87" s="103">
        <f t="shared" si="12"/>
        <v>528822</v>
      </c>
      <c r="F87" s="104">
        <f t="shared" si="13"/>
        <v>0.04906048169117285</v>
      </c>
    </row>
    <row r="88" spans="1:6" ht="18" customHeight="1">
      <c r="A88" s="114">
        <v>5</v>
      </c>
      <c r="B88" s="106" t="s">
        <v>273</v>
      </c>
      <c r="C88" s="103">
        <f t="shared" si="11"/>
        <v>157309</v>
      </c>
      <c r="D88" s="103">
        <f t="shared" si="11"/>
        <v>244955</v>
      </c>
      <c r="E88" s="103">
        <f t="shared" si="12"/>
        <v>87646</v>
      </c>
      <c r="F88" s="104">
        <f t="shared" si="13"/>
        <v>0.5571582045528228</v>
      </c>
    </row>
    <row r="89" spans="1:6" ht="18" customHeight="1">
      <c r="A89" s="114">
        <v>6</v>
      </c>
      <c r="B89" s="106" t="s">
        <v>274</v>
      </c>
      <c r="C89" s="103">
        <f t="shared" si="11"/>
        <v>43981522</v>
      </c>
      <c r="D89" s="103">
        <f t="shared" si="11"/>
        <v>44645849</v>
      </c>
      <c r="E89" s="103">
        <f t="shared" si="12"/>
        <v>664327</v>
      </c>
      <c r="F89" s="104">
        <f t="shared" si="13"/>
        <v>0.015104684189874103</v>
      </c>
    </row>
    <row r="90" spans="1:6" ht="18" customHeight="1">
      <c r="A90" s="114">
        <v>7</v>
      </c>
      <c r="B90" s="106" t="s">
        <v>275</v>
      </c>
      <c r="C90" s="103">
        <f t="shared" si="11"/>
        <v>33685089</v>
      </c>
      <c r="D90" s="103">
        <f t="shared" si="11"/>
        <v>35741438</v>
      </c>
      <c r="E90" s="103">
        <f t="shared" si="12"/>
        <v>2056349</v>
      </c>
      <c r="F90" s="104">
        <f t="shared" si="13"/>
        <v>0.06104626886988483</v>
      </c>
    </row>
    <row r="91" spans="1:6" ht="18" customHeight="1">
      <c r="A91" s="114">
        <v>8</v>
      </c>
      <c r="B91" s="106" t="s">
        <v>276</v>
      </c>
      <c r="C91" s="103">
        <f t="shared" si="11"/>
        <v>7859590</v>
      </c>
      <c r="D91" s="103">
        <f t="shared" si="11"/>
        <v>8456762</v>
      </c>
      <c r="E91" s="103">
        <f t="shared" si="12"/>
        <v>597172</v>
      </c>
      <c r="F91" s="104">
        <f t="shared" si="13"/>
        <v>0.07598004476060456</v>
      </c>
    </row>
    <row r="92" spans="1:6" ht="18" customHeight="1">
      <c r="A92" s="114">
        <v>9</v>
      </c>
      <c r="B92" s="106" t="s">
        <v>277</v>
      </c>
      <c r="C92" s="103">
        <f t="shared" si="11"/>
        <v>1060888</v>
      </c>
      <c r="D92" s="103">
        <f t="shared" si="11"/>
        <v>4673624</v>
      </c>
      <c r="E92" s="103">
        <f t="shared" si="12"/>
        <v>3612736</v>
      </c>
      <c r="F92" s="104">
        <f t="shared" si="13"/>
        <v>3.4053886932456585</v>
      </c>
    </row>
    <row r="93" spans="1:6" ht="18" customHeight="1">
      <c r="A93" s="114">
        <v>10</v>
      </c>
      <c r="B93" s="106" t="s">
        <v>278</v>
      </c>
      <c r="C93" s="103">
        <f t="shared" si="11"/>
        <v>2251025</v>
      </c>
      <c r="D93" s="103">
        <f t="shared" si="11"/>
        <v>2939438</v>
      </c>
      <c r="E93" s="103">
        <f t="shared" si="12"/>
        <v>688413</v>
      </c>
      <c r="F93" s="104">
        <f t="shared" si="13"/>
        <v>0.3058220144156551</v>
      </c>
    </row>
    <row r="94" spans="1:6" ht="18" customHeight="1" thickBot="1">
      <c r="A94" s="114">
        <v>11</v>
      </c>
      <c r="B94" s="106" t="s">
        <v>279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291</v>
      </c>
      <c r="C95" s="112">
        <f>SUM(C84:C94)</f>
        <v>203485644</v>
      </c>
      <c r="D95" s="112">
        <f>SUM(D84:D94)</f>
        <v>223747655</v>
      </c>
      <c r="E95" s="112">
        <f t="shared" si="12"/>
        <v>20262011</v>
      </c>
      <c r="F95" s="113">
        <f t="shared" si="13"/>
        <v>0.0995746461602962</v>
      </c>
    </row>
    <row r="96" spans="1:6" ht="18" customHeight="1">
      <c r="A96" s="662" t="s">
        <v>292</v>
      </c>
      <c r="B96" s="664" t="s">
        <v>293</v>
      </c>
      <c r="C96" s="666"/>
      <c r="D96" s="667"/>
      <c r="E96" s="667"/>
      <c r="F96" s="668"/>
    </row>
    <row r="97" spans="1:6" ht="18" customHeight="1">
      <c r="A97" s="663"/>
      <c r="B97" s="665"/>
      <c r="C97" s="669"/>
      <c r="D97" s="670"/>
      <c r="E97" s="670"/>
      <c r="F97" s="671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267</v>
      </c>
      <c r="B99" s="95" t="s">
        <v>294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269</v>
      </c>
      <c r="C100" s="117">
        <v>5952</v>
      </c>
      <c r="D100" s="117">
        <v>5681</v>
      </c>
      <c r="E100" s="117">
        <f aca="true" t="shared" si="14" ref="E100:E111">D100-C100</f>
        <v>-271</v>
      </c>
      <c r="F100" s="98">
        <f aca="true" t="shared" si="15" ref="F100:F111">IF(C100=0,0,E100/C100)</f>
        <v>-0.045530913978494625</v>
      </c>
    </row>
    <row r="101" spans="1:6" ht="18" customHeight="1">
      <c r="A101" s="99">
        <v>2</v>
      </c>
      <c r="B101" s="100" t="s">
        <v>270</v>
      </c>
      <c r="C101" s="117">
        <v>614</v>
      </c>
      <c r="D101" s="117">
        <v>815</v>
      </c>
      <c r="E101" s="117">
        <f t="shared" si="14"/>
        <v>201</v>
      </c>
      <c r="F101" s="98">
        <f t="shared" si="15"/>
        <v>0.3273615635179153</v>
      </c>
    </row>
    <row r="102" spans="1:6" ht="18" customHeight="1">
      <c r="A102" s="99">
        <v>3</v>
      </c>
      <c r="B102" s="100" t="s">
        <v>271</v>
      </c>
      <c r="C102" s="117">
        <v>985</v>
      </c>
      <c r="D102" s="117">
        <v>950</v>
      </c>
      <c r="E102" s="117">
        <f t="shared" si="14"/>
        <v>-35</v>
      </c>
      <c r="F102" s="98">
        <f t="shared" si="15"/>
        <v>-0.03553299492385787</v>
      </c>
    </row>
    <row r="103" spans="1:6" ht="18" customHeight="1">
      <c r="A103" s="99">
        <v>4</v>
      </c>
      <c r="B103" s="100" t="s">
        <v>272</v>
      </c>
      <c r="C103" s="117">
        <v>1745</v>
      </c>
      <c r="D103" s="117">
        <v>1413</v>
      </c>
      <c r="E103" s="117">
        <f t="shared" si="14"/>
        <v>-332</v>
      </c>
      <c r="F103" s="98">
        <f t="shared" si="15"/>
        <v>-0.19025787965616045</v>
      </c>
    </row>
    <row r="104" spans="1:6" ht="18" customHeight="1">
      <c r="A104" s="99">
        <v>5</v>
      </c>
      <c r="B104" s="100" t="s">
        <v>273</v>
      </c>
      <c r="C104" s="117">
        <v>12</v>
      </c>
      <c r="D104" s="117">
        <v>15</v>
      </c>
      <c r="E104" s="117">
        <f t="shared" si="14"/>
        <v>3</v>
      </c>
      <c r="F104" s="98">
        <f t="shared" si="15"/>
        <v>0.25</v>
      </c>
    </row>
    <row r="105" spans="1:6" ht="18" customHeight="1">
      <c r="A105" s="99">
        <v>6</v>
      </c>
      <c r="B105" s="100" t="s">
        <v>274</v>
      </c>
      <c r="C105" s="117">
        <v>2391</v>
      </c>
      <c r="D105" s="117">
        <v>2030</v>
      </c>
      <c r="E105" s="117">
        <f t="shared" si="14"/>
        <v>-361</v>
      </c>
      <c r="F105" s="98">
        <f t="shared" si="15"/>
        <v>-0.15098285236302803</v>
      </c>
    </row>
    <row r="106" spans="1:6" ht="18" customHeight="1">
      <c r="A106" s="99">
        <v>7</v>
      </c>
      <c r="B106" s="100" t="s">
        <v>275</v>
      </c>
      <c r="C106" s="117">
        <v>2121</v>
      </c>
      <c r="D106" s="117">
        <v>2145</v>
      </c>
      <c r="E106" s="117">
        <f t="shared" si="14"/>
        <v>24</v>
      </c>
      <c r="F106" s="98">
        <f t="shared" si="15"/>
        <v>0.011315417256011316</v>
      </c>
    </row>
    <row r="107" spans="1:6" ht="18" customHeight="1">
      <c r="A107" s="99">
        <v>8</v>
      </c>
      <c r="B107" s="100" t="s">
        <v>276</v>
      </c>
      <c r="C107" s="117">
        <v>95</v>
      </c>
      <c r="D107" s="117">
        <v>84</v>
      </c>
      <c r="E107" s="117">
        <f t="shared" si="14"/>
        <v>-11</v>
      </c>
      <c r="F107" s="98">
        <f t="shared" si="15"/>
        <v>-0.11578947368421053</v>
      </c>
    </row>
    <row r="108" spans="1:6" ht="18" customHeight="1">
      <c r="A108" s="99">
        <v>9</v>
      </c>
      <c r="B108" s="100" t="s">
        <v>277</v>
      </c>
      <c r="C108" s="117">
        <v>335</v>
      </c>
      <c r="D108" s="117">
        <v>265</v>
      </c>
      <c r="E108" s="117">
        <f t="shared" si="14"/>
        <v>-70</v>
      </c>
      <c r="F108" s="98">
        <f t="shared" si="15"/>
        <v>-0.208955223880597</v>
      </c>
    </row>
    <row r="109" spans="1:6" ht="18" customHeight="1">
      <c r="A109" s="99">
        <v>10</v>
      </c>
      <c r="B109" s="100" t="s">
        <v>278</v>
      </c>
      <c r="C109" s="117">
        <v>486</v>
      </c>
      <c r="D109" s="117">
        <v>518</v>
      </c>
      <c r="E109" s="117">
        <f t="shared" si="14"/>
        <v>32</v>
      </c>
      <c r="F109" s="98">
        <f t="shared" si="15"/>
        <v>0.06584362139917696</v>
      </c>
    </row>
    <row r="110" spans="1:6" ht="18" customHeight="1">
      <c r="A110" s="99">
        <v>11</v>
      </c>
      <c r="B110" s="100" t="s">
        <v>279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295</v>
      </c>
      <c r="C111" s="118">
        <f>SUM(C100:C110)</f>
        <v>14736</v>
      </c>
      <c r="D111" s="118">
        <f>SUM(D100:D110)</f>
        <v>13916</v>
      </c>
      <c r="E111" s="118">
        <f t="shared" si="14"/>
        <v>-820</v>
      </c>
      <c r="F111" s="104">
        <f t="shared" si="15"/>
        <v>-0.05564603691639522</v>
      </c>
    </row>
    <row r="112" spans="1:6" ht="18" customHeight="1">
      <c r="A112" s="94" t="s">
        <v>281</v>
      </c>
      <c r="B112" s="95" t="s">
        <v>296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269</v>
      </c>
      <c r="C113" s="117">
        <v>36082</v>
      </c>
      <c r="D113" s="117">
        <v>34165</v>
      </c>
      <c r="E113" s="117">
        <f aca="true" t="shared" si="16" ref="E113:E124">D113-C113</f>
        <v>-1917</v>
      </c>
      <c r="F113" s="98">
        <f aca="true" t="shared" si="17" ref="F113:F124">IF(C113=0,0,E113/C113)</f>
        <v>-0.05312898398093232</v>
      </c>
    </row>
    <row r="114" spans="1:6" ht="18" customHeight="1">
      <c r="A114" s="99">
        <v>2</v>
      </c>
      <c r="B114" s="100" t="s">
        <v>270</v>
      </c>
      <c r="C114" s="117">
        <v>3470</v>
      </c>
      <c r="D114" s="117">
        <v>4462</v>
      </c>
      <c r="E114" s="117">
        <f t="shared" si="16"/>
        <v>992</v>
      </c>
      <c r="F114" s="98">
        <f t="shared" si="17"/>
        <v>0.2858789625360231</v>
      </c>
    </row>
    <row r="115" spans="1:6" ht="18" customHeight="1">
      <c r="A115" s="99">
        <v>3</v>
      </c>
      <c r="B115" s="100" t="s">
        <v>271</v>
      </c>
      <c r="C115" s="117">
        <v>5659</v>
      </c>
      <c r="D115" s="117">
        <v>5578</v>
      </c>
      <c r="E115" s="117">
        <f t="shared" si="16"/>
        <v>-81</v>
      </c>
      <c r="F115" s="98">
        <f t="shared" si="17"/>
        <v>-0.014313482947517229</v>
      </c>
    </row>
    <row r="116" spans="1:6" ht="18" customHeight="1">
      <c r="A116" s="99">
        <v>4</v>
      </c>
      <c r="B116" s="100" t="s">
        <v>272</v>
      </c>
      <c r="C116" s="117">
        <v>5485</v>
      </c>
      <c r="D116" s="117">
        <v>4365</v>
      </c>
      <c r="E116" s="117">
        <f t="shared" si="16"/>
        <v>-1120</v>
      </c>
      <c r="F116" s="98">
        <f t="shared" si="17"/>
        <v>-0.2041932543299909</v>
      </c>
    </row>
    <row r="117" spans="1:6" ht="18" customHeight="1">
      <c r="A117" s="99">
        <v>5</v>
      </c>
      <c r="B117" s="100" t="s">
        <v>273</v>
      </c>
      <c r="C117" s="117">
        <v>38</v>
      </c>
      <c r="D117" s="117">
        <v>119</v>
      </c>
      <c r="E117" s="117">
        <f t="shared" si="16"/>
        <v>81</v>
      </c>
      <c r="F117" s="98">
        <f t="shared" si="17"/>
        <v>2.1315789473684212</v>
      </c>
    </row>
    <row r="118" spans="1:6" ht="18" customHeight="1">
      <c r="A118" s="99">
        <v>6</v>
      </c>
      <c r="B118" s="100" t="s">
        <v>274</v>
      </c>
      <c r="C118" s="117">
        <v>8506</v>
      </c>
      <c r="D118" s="117">
        <v>7600</v>
      </c>
      <c r="E118" s="117">
        <f t="shared" si="16"/>
        <v>-906</v>
      </c>
      <c r="F118" s="98">
        <f t="shared" si="17"/>
        <v>-0.10651304961203856</v>
      </c>
    </row>
    <row r="119" spans="1:6" ht="18" customHeight="1">
      <c r="A119" s="99">
        <v>7</v>
      </c>
      <c r="B119" s="100" t="s">
        <v>275</v>
      </c>
      <c r="C119" s="117">
        <v>7526</v>
      </c>
      <c r="D119" s="117">
        <v>7356</v>
      </c>
      <c r="E119" s="117">
        <f t="shared" si="16"/>
        <v>-170</v>
      </c>
      <c r="F119" s="98">
        <f t="shared" si="17"/>
        <v>-0.02258836035078395</v>
      </c>
    </row>
    <row r="120" spans="1:6" ht="18" customHeight="1">
      <c r="A120" s="99">
        <v>8</v>
      </c>
      <c r="B120" s="100" t="s">
        <v>276</v>
      </c>
      <c r="C120" s="117">
        <v>310</v>
      </c>
      <c r="D120" s="117">
        <v>266</v>
      </c>
      <c r="E120" s="117">
        <f t="shared" si="16"/>
        <v>-44</v>
      </c>
      <c r="F120" s="98">
        <f t="shared" si="17"/>
        <v>-0.14193548387096774</v>
      </c>
    </row>
    <row r="121" spans="1:6" ht="18" customHeight="1">
      <c r="A121" s="99">
        <v>9</v>
      </c>
      <c r="B121" s="100" t="s">
        <v>277</v>
      </c>
      <c r="C121" s="117">
        <v>1410</v>
      </c>
      <c r="D121" s="117">
        <v>1146</v>
      </c>
      <c r="E121" s="117">
        <f t="shared" si="16"/>
        <v>-264</v>
      </c>
      <c r="F121" s="98">
        <f t="shared" si="17"/>
        <v>-0.18723404255319148</v>
      </c>
    </row>
    <row r="122" spans="1:6" ht="18" customHeight="1">
      <c r="A122" s="99">
        <v>10</v>
      </c>
      <c r="B122" s="100" t="s">
        <v>278</v>
      </c>
      <c r="C122" s="117">
        <v>2511</v>
      </c>
      <c r="D122" s="117">
        <v>2625</v>
      </c>
      <c r="E122" s="117">
        <f t="shared" si="16"/>
        <v>114</v>
      </c>
      <c r="F122" s="98">
        <f t="shared" si="17"/>
        <v>0.04540023894862605</v>
      </c>
    </row>
    <row r="123" spans="1:6" ht="18" customHeight="1">
      <c r="A123" s="99">
        <v>11</v>
      </c>
      <c r="B123" s="100" t="s">
        <v>279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297</v>
      </c>
      <c r="C124" s="118">
        <f>SUM(C113:C123)</f>
        <v>70997</v>
      </c>
      <c r="D124" s="118">
        <f>SUM(D113:D123)</f>
        <v>67682</v>
      </c>
      <c r="E124" s="118">
        <f t="shared" si="16"/>
        <v>-3315</v>
      </c>
      <c r="F124" s="104">
        <f t="shared" si="17"/>
        <v>-0.046692113751285264</v>
      </c>
    </row>
    <row r="125" spans="1:6" ht="18" customHeight="1">
      <c r="A125" s="94" t="s">
        <v>298</v>
      </c>
      <c r="B125" s="95" t="s">
        <v>299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269</v>
      </c>
      <c r="C126" s="117">
        <v>60524</v>
      </c>
      <c r="D126" s="117">
        <v>58701</v>
      </c>
      <c r="E126" s="117">
        <f aca="true" t="shared" si="18" ref="E126:E137">D126-C126</f>
        <v>-1823</v>
      </c>
      <c r="F126" s="98">
        <f aca="true" t="shared" si="19" ref="F126:F137">IF(C126=0,0,E126/C126)</f>
        <v>-0.0301202828629965</v>
      </c>
    </row>
    <row r="127" spans="1:6" ht="18" customHeight="1">
      <c r="A127" s="99">
        <v>2</v>
      </c>
      <c r="B127" s="100" t="s">
        <v>270</v>
      </c>
      <c r="C127" s="117">
        <v>6585</v>
      </c>
      <c r="D127" s="117">
        <v>8770</v>
      </c>
      <c r="E127" s="117">
        <f t="shared" si="18"/>
        <v>2185</v>
      </c>
      <c r="F127" s="98">
        <f t="shared" si="19"/>
        <v>0.33181473044798787</v>
      </c>
    </row>
    <row r="128" spans="1:6" ht="18" customHeight="1">
      <c r="A128" s="99">
        <v>3</v>
      </c>
      <c r="B128" s="100" t="s">
        <v>271</v>
      </c>
      <c r="C128" s="117">
        <v>13650</v>
      </c>
      <c r="D128" s="117">
        <v>13781</v>
      </c>
      <c r="E128" s="117">
        <f t="shared" si="18"/>
        <v>131</v>
      </c>
      <c r="F128" s="98">
        <f t="shared" si="19"/>
        <v>0.009597069597069597</v>
      </c>
    </row>
    <row r="129" spans="1:6" ht="18" customHeight="1">
      <c r="A129" s="99">
        <v>4</v>
      </c>
      <c r="B129" s="100" t="s">
        <v>272</v>
      </c>
      <c r="C129" s="117">
        <v>24775</v>
      </c>
      <c r="D129" s="117">
        <v>26960</v>
      </c>
      <c r="E129" s="117">
        <f t="shared" si="18"/>
        <v>2185</v>
      </c>
      <c r="F129" s="98">
        <f t="shared" si="19"/>
        <v>0.08819374369323915</v>
      </c>
    </row>
    <row r="130" spans="1:6" ht="18" customHeight="1">
      <c r="A130" s="99">
        <v>5</v>
      </c>
      <c r="B130" s="100" t="s">
        <v>273</v>
      </c>
      <c r="C130" s="117">
        <v>0</v>
      </c>
      <c r="D130" s="117">
        <v>30</v>
      </c>
      <c r="E130" s="117">
        <f t="shared" si="18"/>
        <v>30</v>
      </c>
      <c r="F130" s="98">
        <f t="shared" si="19"/>
        <v>0</v>
      </c>
    </row>
    <row r="131" spans="1:6" ht="18" customHeight="1">
      <c r="A131" s="99">
        <v>6</v>
      </c>
      <c r="B131" s="100" t="s">
        <v>274</v>
      </c>
      <c r="C131" s="117">
        <v>39626</v>
      </c>
      <c r="D131" s="117">
        <v>38202</v>
      </c>
      <c r="E131" s="117">
        <f t="shared" si="18"/>
        <v>-1424</v>
      </c>
      <c r="F131" s="98">
        <f t="shared" si="19"/>
        <v>-0.035936001615101194</v>
      </c>
    </row>
    <row r="132" spans="1:6" ht="18" customHeight="1">
      <c r="A132" s="99">
        <v>7</v>
      </c>
      <c r="B132" s="100" t="s">
        <v>275</v>
      </c>
      <c r="C132" s="117">
        <v>40181</v>
      </c>
      <c r="D132" s="117">
        <v>37634</v>
      </c>
      <c r="E132" s="117">
        <f t="shared" si="18"/>
        <v>-2547</v>
      </c>
      <c r="F132" s="98">
        <f t="shared" si="19"/>
        <v>-0.06338816853736841</v>
      </c>
    </row>
    <row r="133" spans="1:6" ht="18" customHeight="1">
      <c r="A133" s="99">
        <v>8</v>
      </c>
      <c r="B133" s="100" t="s">
        <v>276</v>
      </c>
      <c r="C133" s="117">
        <v>1937</v>
      </c>
      <c r="D133" s="117">
        <v>1902</v>
      </c>
      <c r="E133" s="117">
        <f t="shared" si="18"/>
        <v>-35</v>
      </c>
      <c r="F133" s="98">
        <f t="shared" si="19"/>
        <v>-0.018069179143004648</v>
      </c>
    </row>
    <row r="134" spans="1:6" ht="18" customHeight="1">
      <c r="A134" s="99">
        <v>9</v>
      </c>
      <c r="B134" s="100" t="s">
        <v>277</v>
      </c>
      <c r="C134" s="117">
        <v>7874</v>
      </c>
      <c r="D134" s="117">
        <v>7118</v>
      </c>
      <c r="E134" s="117">
        <f t="shared" si="18"/>
        <v>-756</v>
      </c>
      <c r="F134" s="98">
        <f t="shared" si="19"/>
        <v>-0.09601219202438405</v>
      </c>
    </row>
    <row r="135" spans="1:6" ht="18" customHeight="1">
      <c r="A135" s="99">
        <v>10</v>
      </c>
      <c r="B135" s="100" t="s">
        <v>278</v>
      </c>
      <c r="C135" s="117">
        <v>9576</v>
      </c>
      <c r="D135" s="117">
        <v>11225</v>
      </c>
      <c r="E135" s="117">
        <f t="shared" si="18"/>
        <v>1649</v>
      </c>
      <c r="F135" s="98">
        <f t="shared" si="19"/>
        <v>0.17220133667502088</v>
      </c>
    </row>
    <row r="136" spans="1:6" ht="18" customHeight="1">
      <c r="A136" s="99">
        <v>11</v>
      </c>
      <c r="B136" s="100" t="s">
        <v>279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300</v>
      </c>
      <c r="C137" s="118">
        <f>SUM(C126:C136)</f>
        <v>204728</v>
      </c>
      <c r="D137" s="118">
        <f>SUM(D126:D136)</f>
        <v>204323</v>
      </c>
      <c r="E137" s="118">
        <f t="shared" si="18"/>
        <v>-405</v>
      </c>
      <c r="F137" s="104">
        <f t="shared" si="19"/>
        <v>-0.0019782345355789143</v>
      </c>
    </row>
    <row r="138" spans="1:6" ht="18" customHeight="1">
      <c r="A138" s="662" t="s">
        <v>301</v>
      </c>
      <c r="B138" s="664" t="s">
        <v>302</v>
      </c>
      <c r="C138" s="666"/>
      <c r="D138" s="667"/>
      <c r="E138" s="667"/>
      <c r="F138" s="668"/>
    </row>
    <row r="139" spans="1:6" ht="18" customHeight="1">
      <c r="A139" s="663"/>
      <c r="B139" s="665"/>
      <c r="C139" s="669"/>
      <c r="D139" s="670"/>
      <c r="E139" s="670"/>
      <c r="F139" s="671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267</v>
      </c>
      <c r="B141" s="95" t="s">
        <v>303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269</v>
      </c>
      <c r="C142" s="97">
        <v>18285196</v>
      </c>
      <c r="D142" s="97">
        <v>23790989</v>
      </c>
      <c r="E142" s="97">
        <f aca="true" t="shared" si="20" ref="E142:E153">D142-C142</f>
        <v>5505793</v>
      </c>
      <c r="F142" s="98">
        <f aca="true" t="shared" si="21" ref="F142:F153">IF(C142=0,0,E142/C142)</f>
        <v>0.301106589177387</v>
      </c>
    </row>
    <row r="143" spans="1:6" ht="18" customHeight="1">
      <c r="A143" s="99">
        <v>2</v>
      </c>
      <c r="B143" s="100" t="s">
        <v>270</v>
      </c>
      <c r="C143" s="97">
        <v>2029182</v>
      </c>
      <c r="D143" s="97">
        <v>3333507</v>
      </c>
      <c r="E143" s="97">
        <f t="shared" si="20"/>
        <v>1304325</v>
      </c>
      <c r="F143" s="98">
        <f t="shared" si="21"/>
        <v>0.6427836438525475</v>
      </c>
    </row>
    <row r="144" spans="1:6" ht="18" customHeight="1">
      <c r="A144" s="99">
        <v>3</v>
      </c>
      <c r="B144" s="100" t="s">
        <v>271</v>
      </c>
      <c r="C144" s="97">
        <v>6664707</v>
      </c>
      <c r="D144" s="97">
        <v>8755784</v>
      </c>
      <c r="E144" s="97">
        <f t="shared" si="20"/>
        <v>2091077</v>
      </c>
      <c r="F144" s="98">
        <f t="shared" si="21"/>
        <v>0.31375377792302045</v>
      </c>
    </row>
    <row r="145" spans="1:6" ht="18" customHeight="1">
      <c r="A145" s="99">
        <v>4</v>
      </c>
      <c r="B145" s="100" t="s">
        <v>272</v>
      </c>
      <c r="C145" s="97">
        <v>12848076</v>
      </c>
      <c r="D145" s="97">
        <v>16793801</v>
      </c>
      <c r="E145" s="97">
        <f t="shared" si="20"/>
        <v>3945725</v>
      </c>
      <c r="F145" s="98">
        <f t="shared" si="21"/>
        <v>0.30710629358045516</v>
      </c>
    </row>
    <row r="146" spans="1:6" ht="18" customHeight="1">
      <c r="A146" s="99">
        <v>5</v>
      </c>
      <c r="B146" s="100" t="s">
        <v>273</v>
      </c>
      <c r="C146" s="97">
        <v>0</v>
      </c>
      <c r="D146" s="97">
        <v>0</v>
      </c>
      <c r="E146" s="97">
        <f t="shared" si="20"/>
        <v>0</v>
      </c>
      <c r="F146" s="98">
        <f t="shared" si="21"/>
        <v>0</v>
      </c>
    </row>
    <row r="147" spans="1:6" ht="18" customHeight="1">
      <c r="A147" s="99">
        <v>6</v>
      </c>
      <c r="B147" s="100" t="s">
        <v>274</v>
      </c>
      <c r="C147" s="97">
        <v>14274605</v>
      </c>
      <c r="D147" s="97">
        <v>17471139</v>
      </c>
      <c r="E147" s="97">
        <f t="shared" si="20"/>
        <v>3196534</v>
      </c>
      <c r="F147" s="98">
        <f t="shared" si="21"/>
        <v>0.2239315203467977</v>
      </c>
    </row>
    <row r="148" spans="1:6" ht="18" customHeight="1">
      <c r="A148" s="99">
        <v>7</v>
      </c>
      <c r="B148" s="100" t="s">
        <v>275</v>
      </c>
      <c r="C148" s="97">
        <v>14677495</v>
      </c>
      <c r="D148" s="97">
        <v>16697204</v>
      </c>
      <c r="E148" s="97">
        <f t="shared" si="20"/>
        <v>2019709</v>
      </c>
      <c r="F148" s="98">
        <f t="shared" si="21"/>
        <v>0.13760583805342805</v>
      </c>
    </row>
    <row r="149" spans="1:6" ht="18" customHeight="1">
      <c r="A149" s="99">
        <v>8</v>
      </c>
      <c r="B149" s="100" t="s">
        <v>276</v>
      </c>
      <c r="C149" s="97">
        <v>1494962</v>
      </c>
      <c r="D149" s="97">
        <v>1560561</v>
      </c>
      <c r="E149" s="97">
        <f t="shared" si="20"/>
        <v>65599</v>
      </c>
      <c r="F149" s="98">
        <f t="shared" si="21"/>
        <v>0.04388004511151454</v>
      </c>
    </row>
    <row r="150" spans="1:6" ht="18" customHeight="1">
      <c r="A150" s="99">
        <v>9</v>
      </c>
      <c r="B150" s="100" t="s">
        <v>277</v>
      </c>
      <c r="C150" s="97">
        <v>7396967</v>
      </c>
      <c r="D150" s="97">
        <v>8457957</v>
      </c>
      <c r="E150" s="97">
        <f t="shared" si="20"/>
        <v>1060990</v>
      </c>
      <c r="F150" s="98">
        <f t="shared" si="21"/>
        <v>0.1434358163285033</v>
      </c>
    </row>
    <row r="151" spans="1:6" ht="18" customHeight="1">
      <c r="A151" s="99">
        <v>10</v>
      </c>
      <c r="B151" s="100" t="s">
        <v>278</v>
      </c>
      <c r="C151" s="97">
        <v>5758405</v>
      </c>
      <c r="D151" s="97">
        <v>8003175</v>
      </c>
      <c r="E151" s="97">
        <f t="shared" si="20"/>
        <v>2244770</v>
      </c>
      <c r="F151" s="98">
        <f t="shared" si="21"/>
        <v>0.389824960210336</v>
      </c>
    </row>
    <row r="152" spans="1:6" ht="18" customHeight="1">
      <c r="A152" s="99">
        <v>11</v>
      </c>
      <c r="B152" s="100" t="s">
        <v>279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304</v>
      </c>
      <c r="C153" s="103">
        <f>SUM(C142:C152)</f>
        <v>83429595</v>
      </c>
      <c r="D153" s="103">
        <f>SUM(D142:D152)</f>
        <v>104864117</v>
      </c>
      <c r="E153" s="103">
        <f t="shared" si="20"/>
        <v>21434522</v>
      </c>
      <c r="F153" s="104">
        <f t="shared" si="21"/>
        <v>0.2569174883325276</v>
      </c>
    </row>
    <row r="154" spans="1:6" ht="18" customHeight="1">
      <c r="A154" s="94" t="s">
        <v>281</v>
      </c>
      <c r="B154" s="95" t="s">
        <v>305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269</v>
      </c>
      <c r="C155" s="97">
        <v>3930365</v>
      </c>
      <c r="D155" s="97">
        <v>4653002</v>
      </c>
      <c r="E155" s="97">
        <f aca="true" t="shared" si="22" ref="E155:E166">D155-C155</f>
        <v>722637</v>
      </c>
      <c r="F155" s="98">
        <f aca="true" t="shared" si="23" ref="F155:F166">IF(C155=0,0,E155/C155)</f>
        <v>0.18386002317850886</v>
      </c>
    </row>
    <row r="156" spans="1:6" ht="18" customHeight="1">
      <c r="A156" s="99">
        <v>2</v>
      </c>
      <c r="B156" s="100" t="s">
        <v>270</v>
      </c>
      <c r="C156" s="97">
        <v>449617</v>
      </c>
      <c r="D156" s="97">
        <v>586439</v>
      </c>
      <c r="E156" s="97">
        <f t="shared" si="22"/>
        <v>136822</v>
      </c>
      <c r="F156" s="98">
        <f t="shared" si="23"/>
        <v>0.3043078887141723</v>
      </c>
    </row>
    <row r="157" spans="1:6" ht="18" customHeight="1">
      <c r="A157" s="99">
        <v>3</v>
      </c>
      <c r="B157" s="100" t="s">
        <v>271</v>
      </c>
      <c r="C157" s="97">
        <v>1200387</v>
      </c>
      <c r="D157" s="97">
        <v>1459713</v>
      </c>
      <c r="E157" s="97">
        <f t="shared" si="22"/>
        <v>259326</v>
      </c>
      <c r="F157" s="98">
        <f t="shared" si="23"/>
        <v>0.21603532860652438</v>
      </c>
    </row>
    <row r="158" spans="1:6" ht="18" customHeight="1">
      <c r="A158" s="99">
        <v>4</v>
      </c>
      <c r="B158" s="100" t="s">
        <v>272</v>
      </c>
      <c r="C158" s="97">
        <v>2671354</v>
      </c>
      <c r="D158" s="97">
        <v>3334909</v>
      </c>
      <c r="E158" s="97">
        <f t="shared" si="22"/>
        <v>663555</v>
      </c>
      <c r="F158" s="98">
        <f t="shared" si="23"/>
        <v>0.24839650604150554</v>
      </c>
    </row>
    <row r="159" spans="1:6" ht="18" customHeight="1">
      <c r="A159" s="99">
        <v>5</v>
      </c>
      <c r="B159" s="100" t="s">
        <v>273</v>
      </c>
      <c r="C159" s="97">
        <v>0</v>
      </c>
      <c r="D159" s="97">
        <v>0</v>
      </c>
      <c r="E159" s="97">
        <f t="shared" si="22"/>
        <v>0</v>
      </c>
      <c r="F159" s="98">
        <f t="shared" si="23"/>
        <v>0</v>
      </c>
    </row>
    <row r="160" spans="1:6" ht="18" customHeight="1">
      <c r="A160" s="99">
        <v>6</v>
      </c>
      <c r="B160" s="100" t="s">
        <v>274</v>
      </c>
      <c r="C160" s="97">
        <v>4080917</v>
      </c>
      <c r="D160" s="97">
        <v>4534927</v>
      </c>
      <c r="E160" s="97">
        <f t="shared" si="22"/>
        <v>454010</v>
      </c>
      <c r="F160" s="98">
        <f t="shared" si="23"/>
        <v>0.1112519563617687</v>
      </c>
    </row>
    <row r="161" spans="1:6" ht="18" customHeight="1">
      <c r="A161" s="99">
        <v>7</v>
      </c>
      <c r="B161" s="100" t="s">
        <v>275</v>
      </c>
      <c r="C161" s="97">
        <v>4270887</v>
      </c>
      <c r="D161" s="97">
        <v>4737074</v>
      </c>
      <c r="E161" s="97">
        <f t="shared" si="22"/>
        <v>466187</v>
      </c>
      <c r="F161" s="98">
        <f t="shared" si="23"/>
        <v>0.1091546088669637</v>
      </c>
    </row>
    <row r="162" spans="1:6" ht="18" customHeight="1">
      <c r="A162" s="99">
        <v>8</v>
      </c>
      <c r="B162" s="100" t="s">
        <v>276</v>
      </c>
      <c r="C162" s="97">
        <v>872081</v>
      </c>
      <c r="D162" s="97">
        <v>957809</v>
      </c>
      <c r="E162" s="97">
        <f t="shared" si="22"/>
        <v>85728</v>
      </c>
      <c r="F162" s="98">
        <f t="shared" si="23"/>
        <v>0.09830279526787077</v>
      </c>
    </row>
    <row r="163" spans="1:6" ht="18" customHeight="1">
      <c r="A163" s="99">
        <v>9</v>
      </c>
      <c r="B163" s="100" t="s">
        <v>277</v>
      </c>
      <c r="C163" s="97">
        <v>269684</v>
      </c>
      <c r="D163" s="97">
        <v>270627</v>
      </c>
      <c r="E163" s="97">
        <f t="shared" si="22"/>
        <v>943</v>
      </c>
      <c r="F163" s="98">
        <f t="shared" si="23"/>
        <v>0.003496685009121787</v>
      </c>
    </row>
    <row r="164" spans="1:6" ht="18" customHeight="1">
      <c r="A164" s="99">
        <v>10</v>
      </c>
      <c r="B164" s="100" t="s">
        <v>278</v>
      </c>
      <c r="C164" s="97">
        <v>633201</v>
      </c>
      <c r="D164" s="97">
        <v>651351</v>
      </c>
      <c r="E164" s="97">
        <f t="shared" si="22"/>
        <v>18150</v>
      </c>
      <c r="F164" s="98">
        <f t="shared" si="23"/>
        <v>0.028663883979968444</v>
      </c>
    </row>
    <row r="165" spans="1:6" ht="18" customHeight="1">
      <c r="A165" s="99">
        <v>11</v>
      </c>
      <c r="B165" s="100" t="s">
        <v>279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306</v>
      </c>
      <c r="C166" s="103">
        <f>SUM(C155:C165)</f>
        <v>18378493</v>
      </c>
      <c r="D166" s="103">
        <f>SUM(D155:D165)</f>
        <v>21185851</v>
      </c>
      <c r="E166" s="103">
        <f t="shared" si="22"/>
        <v>2807358</v>
      </c>
      <c r="F166" s="104">
        <f t="shared" si="23"/>
        <v>0.15275235026070963</v>
      </c>
    </row>
    <row r="167" spans="1:6" ht="18" customHeight="1">
      <c r="A167" s="94" t="s">
        <v>298</v>
      </c>
      <c r="B167" s="95" t="s">
        <v>307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269</v>
      </c>
      <c r="C168" s="117">
        <v>7437</v>
      </c>
      <c r="D168" s="117">
        <v>8039</v>
      </c>
      <c r="E168" s="117">
        <f aca="true" t="shared" si="24" ref="E168:E179">D168-C168</f>
        <v>602</v>
      </c>
      <c r="F168" s="98">
        <f aca="true" t="shared" si="25" ref="F168:F179">IF(C168=0,0,E168/C168)</f>
        <v>0.08094661826005109</v>
      </c>
    </row>
    <row r="169" spans="1:6" ht="18" customHeight="1">
      <c r="A169" s="99">
        <v>2</v>
      </c>
      <c r="B169" s="100" t="s">
        <v>270</v>
      </c>
      <c r="C169" s="117">
        <v>806</v>
      </c>
      <c r="D169" s="117">
        <v>1100</v>
      </c>
      <c r="E169" s="117">
        <f t="shared" si="24"/>
        <v>294</v>
      </c>
      <c r="F169" s="98">
        <f t="shared" si="25"/>
        <v>0.36476426799007444</v>
      </c>
    </row>
    <row r="170" spans="1:6" ht="18" customHeight="1">
      <c r="A170" s="99">
        <v>3</v>
      </c>
      <c r="B170" s="100" t="s">
        <v>271</v>
      </c>
      <c r="C170" s="117">
        <v>3740</v>
      </c>
      <c r="D170" s="117">
        <v>4213</v>
      </c>
      <c r="E170" s="117">
        <f t="shared" si="24"/>
        <v>473</v>
      </c>
      <c r="F170" s="98">
        <f t="shared" si="25"/>
        <v>0.1264705882352941</v>
      </c>
    </row>
    <row r="171" spans="1:6" ht="18" customHeight="1">
      <c r="A171" s="99">
        <v>4</v>
      </c>
      <c r="B171" s="100" t="s">
        <v>272</v>
      </c>
      <c r="C171" s="117">
        <v>9593</v>
      </c>
      <c r="D171" s="117">
        <v>11075</v>
      </c>
      <c r="E171" s="117">
        <f t="shared" si="24"/>
        <v>1482</v>
      </c>
      <c r="F171" s="98">
        <f t="shared" si="25"/>
        <v>0.1544876472427812</v>
      </c>
    </row>
    <row r="172" spans="1:6" ht="18" customHeight="1">
      <c r="A172" s="99">
        <v>5</v>
      </c>
      <c r="B172" s="100" t="s">
        <v>273</v>
      </c>
      <c r="C172" s="117">
        <v>0</v>
      </c>
      <c r="D172" s="117">
        <v>0</v>
      </c>
      <c r="E172" s="117">
        <f t="shared" si="24"/>
        <v>0</v>
      </c>
      <c r="F172" s="98">
        <f t="shared" si="25"/>
        <v>0</v>
      </c>
    </row>
    <row r="173" spans="1:6" ht="18" customHeight="1">
      <c r="A173" s="99">
        <v>6</v>
      </c>
      <c r="B173" s="100" t="s">
        <v>274</v>
      </c>
      <c r="C173" s="117">
        <v>4865</v>
      </c>
      <c r="D173" s="117">
        <v>7775</v>
      </c>
      <c r="E173" s="117">
        <f t="shared" si="24"/>
        <v>2910</v>
      </c>
      <c r="F173" s="98">
        <f t="shared" si="25"/>
        <v>0.5981500513874615</v>
      </c>
    </row>
    <row r="174" spans="1:6" ht="18" customHeight="1">
      <c r="A174" s="99">
        <v>7</v>
      </c>
      <c r="B174" s="100" t="s">
        <v>275</v>
      </c>
      <c r="C174" s="117">
        <v>7408</v>
      </c>
      <c r="D174" s="117">
        <v>7186</v>
      </c>
      <c r="E174" s="117">
        <f t="shared" si="24"/>
        <v>-222</v>
      </c>
      <c r="F174" s="98">
        <f t="shared" si="25"/>
        <v>-0.029967602591792656</v>
      </c>
    </row>
    <row r="175" spans="1:6" ht="18" customHeight="1">
      <c r="A175" s="99">
        <v>8</v>
      </c>
      <c r="B175" s="100" t="s">
        <v>276</v>
      </c>
      <c r="C175" s="117">
        <v>1036</v>
      </c>
      <c r="D175" s="117">
        <v>1059</v>
      </c>
      <c r="E175" s="117">
        <f t="shared" si="24"/>
        <v>23</v>
      </c>
      <c r="F175" s="98">
        <f t="shared" si="25"/>
        <v>0.0222007722007722</v>
      </c>
    </row>
    <row r="176" spans="1:6" ht="18" customHeight="1">
      <c r="A176" s="99">
        <v>9</v>
      </c>
      <c r="B176" s="100" t="s">
        <v>277</v>
      </c>
      <c r="C176" s="117">
        <v>4567</v>
      </c>
      <c r="D176" s="117">
        <v>4616</v>
      </c>
      <c r="E176" s="117">
        <f t="shared" si="24"/>
        <v>49</v>
      </c>
      <c r="F176" s="98">
        <f t="shared" si="25"/>
        <v>0.010729143858112546</v>
      </c>
    </row>
    <row r="177" spans="1:6" ht="18" customHeight="1">
      <c r="A177" s="99">
        <v>10</v>
      </c>
      <c r="B177" s="100" t="s">
        <v>278</v>
      </c>
      <c r="C177" s="117">
        <v>3370</v>
      </c>
      <c r="D177" s="117">
        <v>4174</v>
      </c>
      <c r="E177" s="117">
        <f t="shared" si="24"/>
        <v>804</v>
      </c>
      <c r="F177" s="98">
        <f t="shared" si="25"/>
        <v>0.23857566765578636</v>
      </c>
    </row>
    <row r="178" spans="1:6" ht="18" customHeight="1">
      <c r="A178" s="99">
        <v>11</v>
      </c>
      <c r="B178" s="100" t="s">
        <v>279</v>
      </c>
      <c r="C178" s="117">
        <v>2344</v>
      </c>
      <c r="D178" s="117">
        <v>0</v>
      </c>
      <c r="E178" s="117">
        <f t="shared" si="24"/>
        <v>-2344</v>
      </c>
      <c r="F178" s="98">
        <f t="shared" si="25"/>
        <v>-1</v>
      </c>
    </row>
    <row r="179" spans="1:6" ht="33.75" customHeight="1">
      <c r="A179" s="101"/>
      <c r="B179" s="102" t="s">
        <v>308</v>
      </c>
      <c r="C179" s="118">
        <f>SUM(C168:C178)</f>
        <v>45166</v>
      </c>
      <c r="D179" s="118">
        <f>SUM(D168:D178)</f>
        <v>49237</v>
      </c>
      <c r="E179" s="118">
        <f t="shared" si="24"/>
        <v>4071</v>
      </c>
      <c r="F179" s="104">
        <f t="shared" si="25"/>
        <v>0.09013417172209184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4" fitToWidth="1" horizontalDpi="1200" verticalDpi="1200" orientation="portrait" paperSize="9" scale="64" r:id="rId1"/>
  <headerFooter alignWithMargins="0">
    <oddHeader>&amp;LOFFICE OF HEALTH CARE ACCESS&amp;CTWELVE MONTHS ACTUAL FILING&amp;RWATERBURY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157</v>
      </c>
      <c r="E2" s="123"/>
      <c r="F2" s="123"/>
      <c r="G2" s="124"/>
    </row>
    <row r="3" spans="1:7" ht="15.75" customHeight="1">
      <c r="A3" s="121"/>
      <c r="C3" s="123" t="s">
        <v>158</v>
      </c>
      <c r="E3" s="123"/>
      <c r="F3" s="123"/>
      <c r="G3" s="124"/>
    </row>
    <row r="4" spans="1:7" ht="15.75" customHeight="1">
      <c r="A4" s="121"/>
      <c r="C4" s="123" t="s">
        <v>159</v>
      </c>
      <c r="E4" s="123"/>
      <c r="F4" s="123"/>
      <c r="G4" s="124"/>
    </row>
    <row r="5" spans="1:7" ht="15.75" customHeight="1">
      <c r="A5" s="121"/>
      <c r="C5" s="123" t="s">
        <v>309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161</v>
      </c>
      <c r="D9" s="127" t="s">
        <v>162</v>
      </c>
      <c r="E9" s="129" t="s">
        <v>163</v>
      </c>
      <c r="F9" s="130" t="s">
        <v>310</v>
      </c>
      <c r="G9" s="124"/>
    </row>
    <row r="10" spans="1:7" ht="15.75" customHeight="1">
      <c r="A10" s="131" t="s">
        <v>311</v>
      </c>
      <c r="B10" s="132" t="s">
        <v>166</v>
      </c>
      <c r="C10" s="133" t="s">
        <v>167</v>
      </c>
      <c r="D10" s="133" t="s">
        <v>167</v>
      </c>
      <c r="E10" s="134" t="s">
        <v>168</v>
      </c>
      <c r="F10" s="133" t="s">
        <v>168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169</v>
      </c>
      <c r="B12" s="139" t="s">
        <v>312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267</v>
      </c>
      <c r="B14" s="145" t="s">
        <v>313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314</v>
      </c>
      <c r="C15" s="146">
        <v>33893598</v>
      </c>
      <c r="D15" s="146">
        <v>33017306</v>
      </c>
      <c r="E15" s="146">
        <f>+D15-C15</f>
        <v>-876292</v>
      </c>
      <c r="F15" s="150">
        <f>IF(C15=0,0,E15/C15)</f>
        <v>-0.025854204088925584</v>
      </c>
    </row>
    <row r="16" spans="1:6" ht="15" customHeight="1">
      <c r="A16" s="141">
        <v>2</v>
      </c>
      <c r="B16" s="149" t="s">
        <v>315</v>
      </c>
      <c r="C16" s="146">
        <v>14395769</v>
      </c>
      <c r="D16" s="146">
        <v>14446788</v>
      </c>
      <c r="E16" s="146">
        <f>+D16-C16</f>
        <v>51019</v>
      </c>
      <c r="F16" s="150">
        <f>IF(C16=0,0,E16/C16)</f>
        <v>0.0035440274152773637</v>
      </c>
    </row>
    <row r="17" spans="1:6" ht="15" customHeight="1">
      <c r="A17" s="141">
        <v>3</v>
      </c>
      <c r="B17" s="149" t="s">
        <v>316</v>
      </c>
      <c r="C17" s="146">
        <v>60406391</v>
      </c>
      <c r="D17" s="146">
        <v>58531193</v>
      </c>
      <c r="E17" s="146">
        <f>+D17-C17</f>
        <v>-1875198</v>
      </c>
      <c r="F17" s="150">
        <f>IF(C17=0,0,E17/C17)</f>
        <v>-0.03104303980020922</v>
      </c>
    </row>
    <row r="18" spans="1:7" ht="15.75" customHeight="1">
      <c r="A18" s="141"/>
      <c r="B18" s="151" t="s">
        <v>317</v>
      </c>
      <c r="C18" s="147">
        <f>SUM(C15:C17)</f>
        <v>108695758</v>
      </c>
      <c r="D18" s="147">
        <f>SUM(D15:D17)</f>
        <v>105995287</v>
      </c>
      <c r="E18" s="147">
        <f>+D18-C18</f>
        <v>-2700471</v>
      </c>
      <c r="F18" s="148">
        <f>IF(C18=0,0,E18/C18)</f>
        <v>-0.024844309011580745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281</v>
      </c>
      <c r="B20" s="145" t="s">
        <v>318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319</v>
      </c>
      <c r="C21" s="146">
        <v>9032365</v>
      </c>
      <c r="D21" s="146">
        <v>8798841</v>
      </c>
      <c r="E21" s="146">
        <f>+D21-C21</f>
        <v>-233524</v>
      </c>
      <c r="F21" s="150">
        <f>IF(C21=0,0,E21/C21)</f>
        <v>-0.02585413676263083</v>
      </c>
    </row>
    <row r="22" spans="1:6" ht="15" customHeight="1">
      <c r="A22" s="141">
        <v>2</v>
      </c>
      <c r="B22" s="149" t="s">
        <v>320</v>
      </c>
      <c r="C22" s="146">
        <v>3836354</v>
      </c>
      <c r="D22" s="146">
        <v>3948037</v>
      </c>
      <c r="E22" s="146">
        <f>+D22-C22</f>
        <v>111683</v>
      </c>
      <c r="F22" s="150">
        <f>IF(C22=0,0,E22/C22)</f>
        <v>0.029111755588769963</v>
      </c>
    </row>
    <row r="23" spans="1:6" ht="15" customHeight="1">
      <c r="A23" s="141">
        <v>3</v>
      </c>
      <c r="B23" s="149" t="s">
        <v>321</v>
      </c>
      <c r="C23" s="146">
        <v>16097807</v>
      </c>
      <c r="D23" s="146">
        <v>17348785</v>
      </c>
      <c r="E23" s="146">
        <f>+D23-C23</f>
        <v>1250978</v>
      </c>
      <c r="F23" s="150">
        <f>IF(C23=0,0,E23/C23)</f>
        <v>0.0777110820125996</v>
      </c>
    </row>
    <row r="24" spans="1:7" ht="15.75" customHeight="1">
      <c r="A24" s="141"/>
      <c r="B24" s="151" t="s">
        <v>322</v>
      </c>
      <c r="C24" s="147">
        <f>SUM(C21:C23)</f>
        <v>28966526</v>
      </c>
      <c r="D24" s="147">
        <f>SUM(D21:D23)</f>
        <v>30095663</v>
      </c>
      <c r="E24" s="147">
        <f>+D24-C24</f>
        <v>1129137</v>
      </c>
      <c r="F24" s="148">
        <f>IF(C24=0,0,E24/C24)</f>
        <v>0.03898075316315115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298</v>
      </c>
      <c r="B26" s="145" t="s">
        <v>323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324</v>
      </c>
      <c r="C27" s="146">
        <v>207164</v>
      </c>
      <c r="D27" s="146">
        <v>582277</v>
      </c>
      <c r="E27" s="146">
        <f>+D27-C27</f>
        <v>375113</v>
      </c>
      <c r="F27" s="150">
        <f>IF(C27=0,0,E27/C27)</f>
        <v>1.8107055279874882</v>
      </c>
    </row>
    <row r="28" spans="1:6" ht="15" customHeight="1">
      <c r="A28" s="141">
        <v>2</v>
      </c>
      <c r="B28" s="149" t="s">
        <v>325</v>
      </c>
      <c r="C28" s="146">
        <v>10790863</v>
      </c>
      <c r="D28" s="146">
        <v>10486600</v>
      </c>
      <c r="E28" s="146">
        <f>+D28-C28</f>
        <v>-304263</v>
      </c>
      <c r="F28" s="150">
        <f>IF(C28=0,0,E28/C28)</f>
        <v>-0.028196354638178614</v>
      </c>
    </row>
    <row r="29" spans="1:6" ht="15" customHeight="1">
      <c r="A29" s="141">
        <v>3</v>
      </c>
      <c r="B29" s="149" t="s">
        <v>326</v>
      </c>
      <c r="C29" s="146">
        <v>760637</v>
      </c>
      <c r="D29" s="146">
        <v>360266</v>
      </c>
      <c r="E29" s="146">
        <f>+D29-C29</f>
        <v>-400371</v>
      </c>
      <c r="F29" s="150">
        <f>IF(C29=0,0,E29/C29)</f>
        <v>-0.5263627722553597</v>
      </c>
    </row>
    <row r="30" spans="1:7" ht="15.75" customHeight="1">
      <c r="A30" s="141"/>
      <c r="B30" s="151" t="s">
        <v>327</v>
      </c>
      <c r="C30" s="147">
        <f>SUM(C27:C29)</f>
        <v>11758664</v>
      </c>
      <c r="D30" s="147">
        <f>SUM(D27:D29)</f>
        <v>11429143</v>
      </c>
      <c r="E30" s="147">
        <f>+D30-C30</f>
        <v>-329521</v>
      </c>
      <c r="F30" s="148">
        <f>IF(C30=0,0,E30/C30)</f>
        <v>-0.028023676839477683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328</v>
      </c>
      <c r="B32" s="145" t="s">
        <v>329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330</v>
      </c>
      <c r="C33" s="146">
        <v>27613427</v>
      </c>
      <c r="D33" s="146">
        <v>29649204</v>
      </c>
      <c r="E33" s="146">
        <f>+D33-C33</f>
        <v>2035777</v>
      </c>
      <c r="F33" s="150">
        <f>IF(C33=0,0,E33/C33)</f>
        <v>0.07372417049140623</v>
      </c>
    </row>
    <row r="34" spans="1:6" ht="15" customHeight="1">
      <c r="A34" s="141">
        <v>2</v>
      </c>
      <c r="B34" s="149" t="s">
        <v>331</v>
      </c>
      <c r="C34" s="146">
        <v>7388745</v>
      </c>
      <c r="D34" s="146">
        <v>7471722</v>
      </c>
      <c r="E34" s="146">
        <f>+D34-C34</f>
        <v>82977</v>
      </c>
      <c r="F34" s="150">
        <f>IF(C34=0,0,E34/C34)</f>
        <v>0.0112301886179588</v>
      </c>
    </row>
    <row r="35" spans="1:7" ht="15.75" customHeight="1">
      <c r="A35" s="141"/>
      <c r="B35" s="151" t="s">
        <v>332</v>
      </c>
      <c r="C35" s="147">
        <f>SUM(C33:C34)</f>
        <v>35002172</v>
      </c>
      <c r="D35" s="147">
        <f>SUM(D33:D34)</f>
        <v>37120926</v>
      </c>
      <c r="E35" s="147">
        <f>+D35-C35</f>
        <v>2118754</v>
      </c>
      <c r="F35" s="148">
        <f>IF(C35=0,0,E35/C35)</f>
        <v>0.06053207212398133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333</v>
      </c>
      <c r="B37" s="145" t="s">
        <v>334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335</v>
      </c>
      <c r="C38" s="146">
        <v>3070264</v>
      </c>
      <c r="D38" s="146">
        <v>3080296</v>
      </c>
      <c r="E38" s="146">
        <f>+D38-C38</f>
        <v>10032</v>
      </c>
      <c r="F38" s="150">
        <f>IF(C38=0,0,E38/C38)</f>
        <v>0.003267471461737492</v>
      </c>
    </row>
    <row r="39" spans="1:6" ht="15" customHeight="1">
      <c r="A39" s="141">
        <v>2</v>
      </c>
      <c r="B39" s="149" t="s">
        <v>336</v>
      </c>
      <c r="C39" s="146">
        <v>6442848</v>
      </c>
      <c r="D39" s="146">
        <v>5824352</v>
      </c>
      <c r="E39" s="146">
        <f>+D39-C39</f>
        <v>-618496</v>
      </c>
      <c r="F39" s="150">
        <f>IF(C39=0,0,E39/C39)</f>
        <v>-0.0959972980892922</v>
      </c>
    </row>
    <row r="40" spans="1:6" ht="15" customHeight="1">
      <c r="A40" s="141">
        <v>3</v>
      </c>
      <c r="B40" s="149" t="s">
        <v>337</v>
      </c>
      <c r="C40" s="146">
        <v>112473</v>
      </c>
      <c r="D40" s="146">
        <v>152256</v>
      </c>
      <c r="E40" s="146">
        <f>+D40-C40</f>
        <v>39783</v>
      </c>
      <c r="F40" s="150">
        <f>IF(C40=0,0,E40/C40)</f>
        <v>0.35371155744045235</v>
      </c>
    </row>
    <row r="41" spans="1:7" ht="15.75" customHeight="1">
      <c r="A41" s="141"/>
      <c r="B41" s="151" t="s">
        <v>338</v>
      </c>
      <c r="C41" s="147">
        <f>SUM(C38:C40)</f>
        <v>9625585</v>
      </c>
      <c r="D41" s="147">
        <f>SUM(D38:D40)</f>
        <v>9056904</v>
      </c>
      <c r="E41" s="147">
        <f>+D41-C41</f>
        <v>-568681</v>
      </c>
      <c r="F41" s="148">
        <f>IF(C41=0,0,E41/C41)</f>
        <v>-0.05908014941429534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339</v>
      </c>
      <c r="B43" s="145" t="s">
        <v>340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242</v>
      </c>
      <c r="C44" s="146">
        <v>17717523</v>
      </c>
      <c r="D44" s="146">
        <v>14319487</v>
      </c>
      <c r="E44" s="146">
        <f>+D44-C44</f>
        <v>-3398036</v>
      </c>
      <c r="F44" s="150">
        <f>IF(C44=0,0,E44/C44)</f>
        <v>-0.19178956336052166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341</v>
      </c>
      <c r="B46" s="145" t="s">
        <v>342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343</v>
      </c>
      <c r="C47" s="146">
        <v>1414401</v>
      </c>
      <c r="D47" s="146">
        <v>1281962</v>
      </c>
      <c r="E47" s="146">
        <f>+D47-C47</f>
        <v>-132439</v>
      </c>
      <c r="F47" s="150">
        <f>IF(C47=0,0,E47/C47)</f>
        <v>-0.0936361046124826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344</v>
      </c>
      <c r="B49" s="145" t="s">
        <v>345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346</v>
      </c>
      <c r="C50" s="146">
        <v>5111822</v>
      </c>
      <c r="D50" s="146">
        <v>4566483</v>
      </c>
      <c r="E50" s="146">
        <f>+D50-C50</f>
        <v>-545339</v>
      </c>
      <c r="F50" s="150">
        <f>IF(C50=0,0,E50/C50)</f>
        <v>-0.1066819228056063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347</v>
      </c>
      <c r="B52" s="145" t="s">
        <v>348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349</v>
      </c>
      <c r="C53" s="146">
        <v>244215</v>
      </c>
      <c r="D53" s="146">
        <v>266882</v>
      </c>
      <c r="E53" s="146">
        <f aca="true" t="shared" si="0" ref="E53:E59">+D53-C53</f>
        <v>22667</v>
      </c>
      <c r="F53" s="150">
        <f aca="true" t="shared" si="1" ref="F53:F59">IF(C53=0,0,E53/C53)</f>
        <v>0.09281575660790697</v>
      </c>
    </row>
    <row r="54" spans="1:6" ht="15" customHeight="1">
      <c r="A54" s="141">
        <v>2</v>
      </c>
      <c r="B54" s="149" t="s">
        <v>350</v>
      </c>
      <c r="C54" s="146">
        <v>1437893</v>
      </c>
      <c r="D54" s="146">
        <v>1341526</v>
      </c>
      <c r="E54" s="146">
        <f t="shared" si="0"/>
        <v>-96367</v>
      </c>
      <c r="F54" s="150">
        <f t="shared" si="1"/>
        <v>-0.06701959047022275</v>
      </c>
    </row>
    <row r="55" spans="1:6" ht="15" customHeight="1">
      <c r="A55" s="141">
        <v>3</v>
      </c>
      <c r="B55" s="149" t="s">
        <v>351</v>
      </c>
      <c r="C55" s="146">
        <v>151060</v>
      </c>
      <c r="D55" s="146">
        <v>22287</v>
      </c>
      <c r="E55" s="146">
        <f t="shared" si="0"/>
        <v>-128773</v>
      </c>
      <c r="F55" s="150">
        <f t="shared" si="1"/>
        <v>-0.8524625976433206</v>
      </c>
    </row>
    <row r="56" spans="1:6" ht="15" customHeight="1">
      <c r="A56" s="141">
        <v>4</v>
      </c>
      <c r="B56" s="149" t="s">
        <v>352</v>
      </c>
      <c r="C56" s="146">
        <v>1809485</v>
      </c>
      <c r="D56" s="146">
        <v>1771594</v>
      </c>
      <c r="E56" s="146">
        <f t="shared" si="0"/>
        <v>-37891</v>
      </c>
      <c r="F56" s="150">
        <f t="shared" si="1"/>
        <v>-0.020940212270342113</v>
      </c>
    </row>
    <row r="57" spans="1:6" ht="15" customHeight="1">
      <c r="A57" s="141">
        <v>5</v>
      </c>
      <c r="B57" s="149" t="s">
        <v>353</v>
      </c>
      <c r="C57" s="146">
        <v>278867</v>
      </c>
      <c r="D57" s="146">
        <v>261104</v>
      </c>
      <c r="E57" s="146">
        <f t="shared" si="0"/>
        <v>-17763</v>
      </c>
      <c r="F57" s="150">
        <f t="shared" si="1"/>
        <v>-0.06369703120125364</v>
      </c>
    </row>
    <row r="58" spans="1:6" ht="15" customHeight="1">
      <c r="A58" s="141">
        <v>6</v>
      </c>
      <c r="B58" s="149" t="s">
        <v>354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>
      <c r="A59" s="141"/>
      <c r="B59" s="151" t="s">
        <v>355</v>
      </c>
      <c r="C59" s="147">
        <f>SUM(C53:C58)</f>
        <v>3921520</v>
      </c>
      <c r="D59" s="147">
        <f>SUM(D53:D58)</f>
        <v>3663393</v>
      </c>
      <c r="E59" s="147">
        <f t="shared" si="0"/>
        <v>-258127</v>
      </c>
      <c r="F59" s="148">
        <f t="shared" si="1"/>
        <v>-0.06582320120769497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356</v>
      </c>
      <c r="B61" s="145" t="s">
        <v>357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358</v>
      </c>
      <c r="C62" s="146">
        <v>172284</v>
      </c>
      <c r="D62" s="146">
        <v>173012</v>
      </c>
      <c r="E62" s="146">
        <f aca="true" t="shared" si="2" ref="E62:E78">+D62-C62</f>
        <v>728</v>
      </c>
      <c r="F62" s="150">
        <f aca="true" t="shared" si="3" ref="F62:F78">IF(C62=0,0,E62/C62)</f>
        <v>0.004225581017389891</v>
      </c>
    </row>
    <row r="63" spans="1:6" ht="15" customHeight="1">
      <c r="A63" s="141">
        <v>2</v>
      </c>
      <c r="B63" s="149" t="s">
        <v>359</v>
      </c>
      <c r="C63" s="146">
        <v>445256</v>
      </c>
      <c r="D63" s="146">
        <v>828971</v>
      </c>
      <c r="E63" s="146">
        <f t="shared" si="2"/>
        <v>383715</v>
      </c>
      <c r="F63" s="150">
        <f t="shared" si="3"/>
        <v>0.8617851303519772</v>
      </c>
    </row>
    <row r="64" spans="1:6" ht="15" customHeight="1">
      <c r="A64" s="141">
        <v>3</v>
      </c>
      <c r="B64" s="149" t="s">
        <v>360</v>
      </c>
      <c r="C64" s="146">
        <v>971803</v>
      </c>
      <c r="D64" s="146">
        <v>12874775</v>
      </c>
      <c r="E64" s="146">
        <f t="shared" si="2"/>
        <v>11902972</v>
      </c>
      <c r="F64" s="150">
        <f t="shared" si="3"/>
        <v>12.248338397802847</v>
      </c>
    </row>
    <row r="65" spans="1:6" ht="15" customHeight="1">
      <c r="A65" s="141">
        <v>4</v>
      </c>
      <c r="B65" s="149" t="s">
        <v>361</v>
      </c>
      <c r="C65" s="146">
        <v>421970</v>
      </c>
      <c r="D65" s="146">
        <v>410035</v>
      </c>
      <c r="E65" s="146">
        <f t="shared" si="2"/>
        <v>-11935</v>
      </c>
      <c r="F65" s="150">
        <f t="shared" si="3"/>
        <v>-0.028284001232315094</v>
      </c>
    </row>
    <row r="66" spans="1:6" ht="15" customHeight="1">
      <c r="A66" s="141">
        <v>5</v>
      </c>
      <c r="B66" s="149" t="s">
        <v>362</v>
      </c>
      <c r="C66" s="146">
        <v>1465339</v>
      </c>
      <c r="D66" s="146">
        <v>1832746</v>
      </c>
      <c r="E66" s="146">
        <f t="shared" si="2"/>
        <v>367407</v>
      </c>
      <c r="F66" s="150">
        <f t="shared" si="3"/>
        <v>0.2507317419382136</v>
      </c>
    </row>
    <row r="67" spans="1:6" ht="15" customHeight="1">
      <c r="A67" s="141">
        <v>6</v>
      </c>
      <c r="B67" s="149" t="s">
        <v>363</v>
      </c>
      <c r="C67" s="146">
        <v>639392</v>
      </c>
      <c r="D67" s="146">
        <v>753361</v>
      </c>
      <c r="E67" s="146">
        <f t="shared" si="2"/>
        <v>113969</v>
      </c>
      <c r="F67" s="150">
        <f t="shared" si="3"/>
        <v>0.17824589610129624</v>
      </c>
    </row>
    <row r="68" spans="1:6" ht="15" customHeight="1">
      <c r="A68" s="141">
        <v>7</v>
      </c>
      <c r="B68" s="149" t="s">
        <v>364</v>
      </c>
      <c r="C68" s="146">
        <v>2144483</v>
      </c>
      <c r="D68" s="146">
        <v>2151235</v>
      </c>
      <c r="E68" s="146">
        <f t="shared" si="2"/>
        <v>6752</v>
      </c>
      <c r="F68" s="150">
        <f t="shared" si="3"/>
        <v>0.0031485444277245377</v>
      </c>
    </row>
    <row r="69" spans="1:6" ht="15" customHeight="1">
      <c r="A69" s="141">
        <v>8</v>
      </c>
      <c r="B69" s="149" t="s">
        <v>365</v>
      </c>
      <c r="C69" s="146">
        <v>317293</v>
      </c>
      <c r="D69" s="146">
        <v>340579</v>
      </c>
      <c r="E69" s="146">
        <f t="shared" si="2"/>
        <v>23286</v>
      </c>
      <c r="F69" s="150">
        <f t="shared" si="3"/>
        <v>0.07338957997812748</v>
      </c>
    </row>
    <row r="70" spans="1:6" ht="15" customHeight="1">
      <c r="A70" s="141">
        <v>9</v>
      </c>
      <c r="B70" s="149" t="s">
        <v>366</v>
      </c>
      <c r="C70" s="146">
        <v>183292</v>
      </c>
      <c r="D70" s="146">
        <v>109108</v>
      </c>
      <c r="E70" s="146">
        <f t="shared" si="2"/>
        <v>-74184</v>
      </c>
      <c r="F70" s="150">
        <f t="shared" si="3"/>
        <v>-0.40473124849966174</v>
      </c>
    </row>
    <row r="71" spans="1:6" ht="15" customHeight="1">
      <c r="A71" s="141">
        <v>10</v>
      </c>
      <c r="B71" s="149" t="s">
        <v>367</v>
      </c>
      <c r="C71" s="146">
        <v>286456</v>
      </c>
      <c r="D71" s="146">
        <v>214267</v>
      </c>
      <c r="E71" s="146">
        <f t="shared" si="2"/>
        <v>-72189</v>
      </c>
      <c r="F71" s="150">
        <f t="shared" si="3"/>
        <v>-0.25200728907755465</v>
      </c>
    </row>
    <row r="72" spans="1:6" ht="15" customHeight="1">
      <c r="A72" s="141">
        <v>11</v>
      </c>
      <c r="B72" s="149" t="s">
        <v>368</v>
      </c>
      <c r="C72" s="146">
        <v>221754</v>
      </c>
      <c r="D72" s="146">
        <v>34662</v>
      </c>
      <c r="E72" s="146">
        <f t="shared" si="2"/>
        <v>-187092</v>
      </c>
      <c r="F72" s="150">
        <f t="shared" si="3"/>
        <v>-0.8436916583240889</v>
      </c>
    </row>
    <row r="73" spans="1:6" ht="15" customHeight="1">
      <c r="A73" s="141">
        <v>12</v>
      </c>
      <c r="B73" s="149" t="s">
        <v>369</v>
      </c>
      <c r="C73" s="146">
        <v>3368772</v>
      </c>
      <c r="D73" s="146">
        <v>3120359</v>
      </c>
      <c r="E73" s="146">
        <f t="shared" si="2"/>
        <v>-248413</v>
      </c>
      <c r="F73" s="150">
        <f t="shared" si="3"/>
        <v>-0.07373992659639773</v>
      </c>
    </row>
    <row r="74" spans="1:6" ht="15" customHeight="1">
      <c r="A74" s="141">
        <v>13</v>
      </c>
      <c r="B74" s="149" t="s">
        <v>370</v>
      </c>
      <c r="C74" s="146">
        <v>0</v>
      </c>
      <c r="D74" s="146">
        <v>0</v>
      </c>
      <c r="E74" s="146">
        <f t="shared" si="2"/>
        <v>0</v>
      </c>
      <c r="F74" s="150">
        <f t="shared" si="3"/>
        <v>0</v>
      </c>
    </row>
    <row r="75" spans="1:6" ht="15" customHeight="1">
      <c r="A75" s="141">
        <v>14</v>
      </c>
      <c r="B75" s="149" t="s">
        <v>371</v>
      </c>
      <c r="C75" s="146">
        <v>150038</v>
      </c>
      <c r="D75" s="146">
        <v>146773</v>
      </c>
      <c r="E75" s="146">
        <f t="shared" si="2"/>
        <v>-3265</v>
      </c>
      <c r="F75" s="150">
        <f t="shared" si="3"/>
        <v>-0.02176115384102694</v>
      </c>
    </row>
    <row r="76" spans="1:6" ht="15" customHeight="1">
      <c r="A76" s="141">
        <v>15</v>
      </c>
      <c r="B76" s="149" t="s">
        <v>372</v>
      </c>
      <c r="C76" s="146">
        <v>600698</v>
      </c>
      <c r="D76" s="146">
        <v>377173</v>
      </c>
      <c r="E76" s="146">
        <f t="shared" si="2"/>
        <v>-223525</v>
      </c>
      <c r="F76" s="150">
        <f t="shared" si="3"/>
        <v>-0.37210878011912807</v>
      </c>
    </row>
    <row r="77" spans="1:6" ht="15" customHeight="1">
      <c r="A77" s="141">
        <v>16</v>
      </c>
      <c r="B77" s="149" t="s">
        <v>373</v>
      </c>
      <c r="C77" s="146">
        <v>10549387</v>
      </c>
      <c r="D77" s="146">
        <v>11415513</v>
      </c>
      <c r="E77" s="146">
        <f t="shared" si="2"/>
        <v>866126</v>
      </c>
      <c r="F77" s="150">
        <f t="shared" si="3"/>
        <v>0.0821020216624909</v>
      </c>
    </row>
    <row r="78" spans="1:7" ht="15.75" customHeight="1">
      <c r="A78" s="141"/>
      <c r="B78" s="151" t="s">
        <v>374</v>
      </c>
      <c r="C78" s="147">
        <f>SUM(C62:C77)</f>
        <v>21938217</v>
      </c>
      <c r="D78" s="147">
        <f>SUM(D62:D77)</f>
        <v>34782569</v>
      </c>
      <c r="E78" s="147">
        <f t="shared" si="2"/>
        <v>12844352</v>
      </c>
      <c r="F78" s="148">
        <f t="shared" si="3"/>
        <v>0.5854783914298961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375</v>
      </c>
      <c r="B80" s="145" t="s">
        <v>376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377</v>
      </c>
      <c r="C81" s="146">
        <v>1255231</v>
      </c>
      <c r="D81" s="146">
        <v>1220777</v>
      </c>
      <c r="E81" s="146">
        <f>+D81-C81</f>
        <v>-34454</v>
      </c>
      <c r="F81" s="150">
        <f>IF(C81=0,0,E81/C81)</f>
        <v>-0.02744833421099383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378</v>
      </c>
      <c r="C83" s="147">
        <f>+C81+C78+C59+C50+C47+C44+C41+C35+C30+C24+C18</f>
        <v>245407419</v>
      </c>
      <c r="D83" s="147">
        <f>+D81+D78+D59+D50+D47+D44+D41+D35+D30+D24+D18</f>
        <v>253532594</v>
      </c>
      <c r="E83" s="147">
        <f>+D83-C83</f>
        <v>8125175</v>
      </c>
      <c r="F83" s="148">
        <f>IF(C83=0,0,E83/C83)</f>
        <v>0.03310892161740228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379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201</v>
      </c>
      <c r="B88" s="142" t="s">
        <v>380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267</v>
      </c>
      <c r="B90" s="145" t="s">
        <v>381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382</v>
      </c>
      <c r="C91" s="146">
        <v>30557503</v>
      </c>
      <c r="D91" s="146">
        <v>26601549</v>
      </c>
      <c r="E91" s="146">
        <f aca="true" t="shared" si="4" ref="E91:E109">D91-C91</f>
        <v>-3955954</v>
      </c>
      <c r="F91" s="150">
        <f aca="true" t="shared" si="5" ref="F91:F109">IF(C91=0,0,E91/C91)</f>
        <v>-0.12945933442271118</v>
      </c>
      <c r="G91" s="155"/>
    </row>
    <row r="92" spans="1:7" ht="15" customHeight="1">
      <c r="A92" s="141">
        <v>2</v>
      </c>
      <c r="B92" s="161" t="s">
        <v>383</v>
      </c>
      <c r="C92" s="146">
        <v>1396373</v>
      </c>
      <c r="D92" s="146">
        <v>1252116</v>
      </c>
      <c r="E92" s="146">
        <f t="shared" si="4"/>
        <v>-144257</v>
      </c>
      <c r="F92" s="150">
        <f t="shared" si="5"/>
        <v>-0.10330835672130584</v>
      </c>
      <c r="G92" s="155"/>
    </row>
    <row r="93" spans="1:7" ht="15" customHeight="1">
      <c r="A93" s="141">
        <v>3</v>
      </c>
      <c r="B93" s="161" t="s">
        <v>384</v>
      </c>
      <c r="C93" s="146">
        <v>1419424</v>
      </c>
      <c r="D93" s="146">
        <v>1419935</v>
      </c>
      <c r="E93" s="146">
        <f t="shared" si="4"/>
        <v>511</v>
      </c>
      <c r="F93" s="150">
        <f t="shared" si="5"/>
        <v>0.0003600051852018847</v>
      </c>
      <c r="G93" s="155"/>
    </row>
    <row r="94" spans="1:7" ht="15" customHeight="1">
      <c r="A94" s="141">
        <v>4</v>
      </c>
      <c r="B94" s="161" t="s">
        <v>385</v>
      </c>
      <c r="C94" s="146">
        <v>1788424</v>
      </c>
      <c r="D94" s="146">
        <v>1764369</v>
      </c>
      <c r="E94" s="146">
        <f t="shared" si="4"/>
        <v>-24055</v>
      </c>
      <c r="F94" s="150">
        <f t="shared" si="5"/>
        <v>-0.013450389840440521</v>
      </c>
      <c r="G94" s="155"/>
    </row>
    <row r="95" spans="1:7" ht="15" customHeight="1">
      <c r="A95" s="141">
        <v>5</v>
      </c>
      <c r="B95" s="161" t="s">
        <v>386</v>
      </c>
      <c r="C95" s="146">
        <v>7444333</v>
      </c>
      <c r="D95" s="146">
        <v>7098420</v>
      </c>
      <c r="E95" s="146">
        <f t="shared" si="4"/>
        <v>-345913</v>
      </c>
      <c r="F95" s="150">
        <f t="shared" si="5"/>
        <v>-0.046466620985385794</v>
      </c>
      <c r="G95" s="155"/>
    </row>
    <row r="96" spans="1:7" ht="15" customHeight="1">
      <c r="A96" s="141">
        <v>6</v>
      </c>
      <c r="B96" s="161" t="s">
        <v>387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>
      <c r="A97" s="141">
        <v>7</v>
      </c>
      <c r="B97" s="161" t="s">
        <v>388</v>
      </c>
      <c r="C97" s="146">
        <v>2289073</v>
      </c>
      <c r="D97" s="146">
        <v>1581672</v>
      </c>
      <c r="E97" s="146">
        <f t="shared" si="4"/>
        <v>-707401</v>
      </c>
      <c r="F97" s="150">
        <f t="shared" si="5"/>
        <v>-0.3090338315990796</v>
      </c>
      <c r="G97" s="155"/>
    </row>
    <row r="98" spans="1:7" ht="15" customHeight="1">
      <c r="A98" s="141">
        <v>8</v>
      </c>
      <c r="B98" s="161" t="s">
        <v>389</v>
      </c>
      <c r="C98" s="146">
        <v>683197</v>
      </c>
      <c r="D98" s="146">
        <v>383139</v>
      </c>
      <c r="E98" s="146">
        <f t="shared" si="4"/>
        <v>-300058</v>
      </c>
      <c r="F98" s="150">
        <f t="shared" si="5"/>
        <v>-0.43919689342898166</v>
      </c>
      <c r="G98" s="155"/>
    </row>
    <row r="99" spans="1:7" ht="15" customHeight="1">
      <c r="A99" s="141">
        <v>9</v>
      </c>
      <c r="B99" s="161" t="s">
        <v>390</v>
      </c>
      <c r="C99" s="146">
        <v>1000613</v>
      </c>
      <c r="D99" s="146">
        <v>980869</v>
      </c>
      <c r="E99" s="146">
        <f t="shared" si="4"/>
        <v>-19744</v>
      </c>
      <c r="F99" s="150">
        <f t="shared" si="5"/>
        <v>-0.019731904342637965</v>
      </c>
      <c r="G99" s="155"/>
    </row>
    <row r="100" spans="1:7" ht="15" customHeight="1">
      <c r="A100" s="141">
        <v>10</v>
      </c>
      <c r="B100" s="161" t="s">
        <v>391</v>
      </c>
      <c r="C100" s="146">
        <v>3453418</v>
      </c>
      <c r="D100" s="146">
        <v>3237703</v>
      </c>
      <c r="E100" s="146">
        <f t="shared" si="4"/>
        <v>-215715</v>
      </c>
      <c r="F100" s="150">
        <f t="shared" si="5"/>
        <v>-0.062464202132495976</v>
      </c>
      <c r="G100" s="155"/>
    </row>
    <row r="101" spans="1:7" ht="15" customHeight="1">
      <c r="A101" s="141">
        <v>11</v>
      </c>
      <c r="B101" s="161" t="s">
        <v>392</v>
      </c>
      <c r="C101" s="146">
        <v>4557084</v>
      </c>
      <c r="D101" s="146">
        <v>4407098</v>
      </c>
      <c r="E101" s="146">
        <f t="shared" si="4"/>
        <v>-149986</v>
      </c>
      <c r="F101" s="150">
        <f t="shared" si="5"/>
        <v>-0.03291271348081361</v>
      </c>
      <c r="G101" s="155"/>
    </row>
    <row r="102" spans="1:7" ht="15" customHeight="1">
      <c r="A102" s="141">
        <v>12</v>
      </c>
      <c r="B102" s="161" t="s">
        <v>393</v>
      </c>
      <c r="C102" s="146">
        <v>1169536</v>
      </c>
      <c r="D102" s="146">
        <v>1148497</v>
      </c>
      <c r="E102" s="146">
        <f t="shared" si="4"/>
        <v>-21039</v>
      </c>
      <c r="F102" s="150">
        <f t="shared" si="5"/>
        <v>-0.017989185454744445</v>
      </c>
      <c r="G102" s="155"/>
    </row>
    <row r="103" spans="1:7" ht="15" customHeight="1">
      <c r="A103" s="141">
        <v>13</v>
      </c>
      <c r="B103" s="161" t="s">
        <v>394</v>
      </c>
      <c r="C103" s="146">
        <v>5439283</v>
      </c>
      <c r="D103" s="146">
        <v>5504218</v>
      </c>
      <c r="E103" s="146">
        <f t="shared" si="4"/>
        <v>64935</v>
      </c>
      <c r="F103" s="150">
        <f t="shared" si="5"/>
        <v>0.011938154348652202</v>
      </c>
      <c r="G103" s="155"/>
    </row>
    <row r="104" spans="1:7" ht="15" customHeight="1">
      <c r="A104" s="141">
        <v>14</v>
      </c>
      <c r="B104" s="161" t="s">
        <v>395</v>
      </c>
      <c r="C104" s="146">
        <v>1286650</v>
      </c>
      <c r="D104" s="146">
        <v>1210130</v>
      </c>
      <c r="E104" s="146">
        <f t="shared" si="4"/>
        <v>-76520</v>
      </c>
      <c r="F104" s="150">
        <f t="shared" si="5"/>
        <v>-0.059472272956903584</v>
      </c>
      <c r="G104" s="155"/>
    </row>
    <row r="105" spans="1:7" ht="15" customHeight="1">
      <c r="A105" s="141">
        <v>15</v>
      </c>
      <c r="B105" s="161" t="s">
        <v>364</v>
      </c>
      <c r="C105" s="146">
        <v>958191</v>
      </c>
      <c r="D105" s="146">
        <v>989170</v>
      </c>
      <c r="E105" s="146">
        <f t="shared" si="4"/>
        <v>30979</v>
      </c>
      <c r="F105" s="150">
        <f t="shared" si="5"/>
        <v>0.032330714857476225</v>
      </c>
      <c r="G105" s="155"/>
    </row>
    <row r="106" spans="1:7" ht="15" customHeight="1">
      <c r="A106" s="141">
        <v>16</v>
      </c>
      <c r="B106" s="161" t="s">
        <v>396</v>
      </c>
      <c r="C106" s="146">
        <v>1228265</v>
      </c>
      <c r="D106" s="146">
        <v>1236563</v>
      </c>
      <c r="E106" s="146">
        <f t="shared" si="4"/>
        <v>8298</v>
      </c>
      <c r="F106" s="150">
        <f t="shared" si="5"/>
        <v>0.0067558710864512135</v>
      </c>
      <c r="G106" s="155"/>
    </row>
    <row r="107" spans="1:7" ht="15" customHeight="1">
      <c r="A107" s="141">
        <v>17</v>
      </c>
      <c r="B107" s="161" t="s">
        <v>397</v>
      </c>
      <c r="C107" s="146">
        <v>9382217</v>
      </c>
      <c r="D107" s="146">
        <v>9427206</v>
      </c>
      <c r="E107" s="146">
        <f t="shared" si="4"/>
        <v>44989</v>
      </c>
      <c r="F107" s="150">
        <f t="shared" si="5"/>
        <v>0.0047951353075717604</v>
      </c>
      <c r="G107" s="155"/>
    </row>
    <row r="108" spans="1:7" ht="15" customHeight="1">
      <c r="A108" s="141">
        <v>18</v>
      </c>
      <c r="B108" s="161" t="s">
        <v>398</v>
      </c>
      <c r="C108" s="146">
        <v>37644839</v>
      </c>
      <c r="D108" s="146">
        <v>51104986</v>
      </c>
      <c r="E108" s="146">
        <f t="shared" si="4"/>
        <v>13460147</v>
      </c>
      <c r="F108" s="150">
        <f t="shared" si="5"/>
        <v>0.3575562376558444</v>
      </c>
      <c r="G108" s="155"/>
    </row>
    <row r="109" spans="1:7" ht="15.75" customHeight="1">
      <c r="A109" s="141"/>
      <c r="B109" s="154" t="s">
        <v>399</v>
      </c>
      <c r="C109" s="147">
        <f>SUM(C91:C108)</f>
        <v>111698423</v>
      </c>
      <c r="D109" s="147">
        <f>SUM(D91:D108)</f>
        <v>119347640</v>
      </c>
      <c r="E109" s="147">
        <f t="shared" si="4"/>
        <v>7649217</v>
      </c>
      <c r="F109" s="148">
        <f t="shared" si="5"/>
        <v>0.06848097577886127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281</v>
      </c>
      <c r="B111" s="145" t="s">
        <v>400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401</v>
      </c>
      <c r="C112" s="146">
        <v>9539682</v>
      </c>
      <c r="D112" s="146">
        <v>9358161</v>
      </c>
      <c r="E112" s="146">
        <f aca="true" t="shared" si="6" ref="E112:E118">D112-C112</f>
        <v>-181521</v>
      </c>
      <c r="F112" s="150">
        <f aca="true" t="shared" si="7" ref="F112:F118">IF(C112=0,0,E112/C112)</f>
        <v>-0.019027992756991272</v>
      </c>
      <c r="G112" s="155"/>
    </row>
    <row r="113" spans="1:7" ht="15" customHeight="1">
      <c r="A113" s="141">
        <v>2</v>
      </c>
      <c r="B113" s="161" t="s">
        <v>402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403</v>
      </c>
      <c r="C114" s="146">
        <v>2112775</v>
      </c>
      <c r="D114" s="146">
        <v>2009841</v>
      </c>
      <c r="E114" s="146">
        <f t="shared" si="6"/>
        <v>-102934</v>
      </c>
      <c r="F114" s="150">
        <f t="shared" si="7"/>
        <v>-0.0487198116221557</v>
      </c>
      <c r="G114" s="155"/>
    </row>
    <row r="115" spans="1:7" ht="15" customHeight="1">
      <c r="A115" s="141">
        <v>4</v>
      </c>
      <c r="B115" s="161" t="s">
        <v>404</v>
      </c>
      <c r="C115" s="146">
        <v>1810522</v>
      </c>
      <c r="D115" s="146">
        <v>1764930</v>
      </c>
      <c r="E115" s="146">
        <f t="shared" si="6"/>
        <v>-45592</v>
      </c>
      <c r="F115" s="150">
        <f t="shared" si="7"/>
        <v>-0.02518168793309333</v>
      </c>
      <c r="G115" s="155"/>
    </row>
    <row r="116" spans="1:7" ht="15" customHeight="1">
      <c r="A116" s="141">
        <v>5</v>
      </c>
      <c r="B116" s="161" t="s">
        <v>405</v>
      </c>
      <c r="C116" s="146">
        <v>1190445</v>
      </c>
      <c r="D116" s="146">
        <v>1208585</v>
      </c>
      <c r="E116" s="146">
        <f t="shared" si="6"/>
        <v>18140</v>
      </c>
      <c r="F116" s="150">
        <f t="shared" si="7"/>
        <v>0.015237999235579973</v>
      </c>
      <c r="G116" s="155"/>
    </row>
    <row r="117" spans="1:7" ht="15" customHeight="1">
      <c r="A117" s="141">
        <v>6</v>
      </c>
      <c r="B117" s="161" t="s">
        <v>406</v>
      </c>
      <c r="C117" s="146">
        <v>7550454</v>
      </c>
      <c r="D117" s="146">
        <v>7269592</v>
      </c>
      <c r="E117" s="146">
        <f t="shared" si="6"/>
        <v>-280862</v>
      </c>
      <c r="F117" s="150">
        <f t="shared" si="7"/>
        <v>-0.03719802809208559</v>
      </c>
      <c r="G117" s="155"/>
    </row>
    <row r="118" spans="1:7" ht="15.75" customHeight="1">
      <c r="A118" s="141"/>
      <c r="B118" s="154" t="s">
        <v>407</v>
      </c>
      <c r="C118" s="147">
        <f>SUM(C112:C117)</f>
        <v>22203878</v>
      </c>
      <c r="D118" s="147">
        <f>SUM(D112:D117)</f>
        <v>21611109</v>
      </c>
      <c r="E118" s="147">
        <f t="shared" si="6"/>
        <v>-592769</v>
      </c>
      <c r="F118" s="148">
        <f t="shared" si="7"/>
        <v>-0.02669664281167461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298</v>
      </c>
      <c r="B120" s="145" t="s">
        <v>408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409</v>
      </c>
      <c r="C121" s="146">
        <v>21680694</v>
      </c>
      <c r="D121" s="146">
        <v>23272821</v>
      </c>
      <c r="E121" s="146">
        <f aca="true" t="shared" si="8" ref="E121:E155">D121-C121</f>
        <v>1592127</v>
      </c>
      <c r="F121" s="150">
        <f aca="true" t="shared" si="9" ref="F121:F155">IF(C121=0,0,E121/C121)</f>
        <v>0.07343524151025793</v>
      </c>
      <c r="G121" s="155"/>
    </row>
    <row r="122" spans="1:7" ht="15" customHeight="1">
      <c r="A122" s="141">
        <v>2</v>
      </c>
      <c r="B122" s="161" t="s">
        <v>410</v>
      </c>
      <c r="C122" s="146">
        <v>1624874</v>
      </c>
      <c r="D122" s="146">
        <v>1013230</v>
      </c>
      <c r="E122" s="146">
        <f t="shared" si="8"/>
        <v>-611644</v>
      </c>
      <c r="F122" s="150">
        <f t="shared" si="9"/>
        <v>-0.3764254951460852</v>
      </c>
      <c r="G122" s="155"/>
    </row>
    <row r="123" spans="1:7" ht="15" customHeight="1">
      <c r="A123" s="141">
        <v>3</v>
      </c>
      <c r="B123" s="161" t="s">
        <v>411</v>
      </c>
      <c r="C123" s="146">
        <v>720619</v>
      </c>
      <c r="D123" s="146">
        <v>635732</v>
      </c>
      <c r="E123" s="146">
        <f t="shared" si="8"/>
        <v>-84887</v>
      </c>
      <c r="F123" s="150">
        <f t="shared" si="9"/>
        <v>-0.11779733812180916</v>
      </c>
      <c r="G123" s="155"/>
    </row>
    <row r="124" spans="1:7" ht="15" customHeight="1">
      <c r="A124" s="141">
        <v>4</v>
      </c>
      <c r="B124" s="161" t="s">
        <v>412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>
      <c r="A125" s="141">
        <v>5</v>
      </c>
      <c r="B125" s="161" t="s">
        <v>413</v>
      </c>
      <c r="C125" s="146">
        <v>3919059</v>
      </c>
      <c r="D125" s="146">
        <v>3632236</v>
      </c>
      <c r="E125" s="146">
        <f t="shared" si="8"/>
        <v>-286823</v>
      </c>
      <c r="F125" s="150">
        <f t="shared" si="9"/>
        <v>-0.07318670119536348</v>
      </c>
      <c r="G125" s="155"/>
    </row>
    <row r="126" spans="1:7" ht="15" customHeight="1">
      <c r="A126" s="141">
        <v>6</v>
      </c>
      <c r="B126" s="161" t="s">
        <v>414</v>
      </c>
      <c r="C126" s="146">
        <v>430736</v>
      </c>
      <c r="D126" s="146">
        <v>436719</v>
      </c>
      <c r="E126" s="146">
        <f t="shared" si="8"/>
        <v>5983</v>
      </c>
      <c r="F126" s="150">
        <f t="shared" si="9"/>
        <v>0.013890178670926043</v>
      </c>
      <c r="G126" s="155"/>
    </row>
    <row r="127" spans="1:7" ht="15" customHeight="1">
      <c r="A127" s="141">
        <v>7</v>
      </c>
      <c r="B127" s="161" t="s">
        <v>415</v>
      </c>
      <c r="C127" s="146">
        <v>24190</v>
      </c>
      <c r="D127" s="146">
        <v>68290</v>
      </c>
      <c r="E127" s="146">
        <f t="shared" si="8"/>
        <v>44100</v>
      </c>
      <c r="F127" s="150">
        <f t="shared" si="9"/>
        <v>1.823067383216205</v>
      </c>
      <c r="G127" s="155"/>
    </row>
    <row r="128" spans="1:7" ht="15" customHeight="1">
      <c r="A128" s="141">
        <v>8</v>
      </c>
      <c r="B128" s="161" t="s">
        <v>416</v>
      </c>
      <c r="C128" s="146">
        <v>779284</v>
      </c>
      <c r="D128" s="146">
        <v>710770</v>
      </c>
      <c r="E128" s="146">
        <f t="shared" si="8"/>
        <v>-68514</v>
      </c>
      <c r="F128" s="150">
        <f t="shared" si="9"/>
        <v>-0.0879191668249316</v>
      </c>
      <c r="G128" s="155"/>
    </row>
    <row r="129" spans="1:7" ht="15" customHeight="1">
      <c r="A129" s="141">
        <v>9</v>
      </c>
      <c r="B129" s="161" t="s">
        <v>417</v>
      </c>
      <c r="C129" s="146">
        <v>992953</v>
      </c>
      <c r="D129" s="146">
        <v>963311</v>
      </c>
      <c r="E129" s="146">
        <f t="shared" si="8"/>
        <v>-29642</v>
      </c>
      <c r="F129" s="150">
        <f t="shared" si="9"/>
        <v>-0.02985236964891591</v>
      </c>
      <c r="G129" s="155"/>
    </row>
    <row r="130" spans="1:7" ht="15" customHeight="1">
      <c r="A130" s="141">
        <v>10</v>
      </c>
      <c r="B130" s="161" t="s">
        <v>418</v>
      </c>
      <c r="C130" s="146">
        <v>8741925</v>
      </c>
      <c r="D130" s="146">
        <v>8475864</v>
      </c>
      <c r="E130" s="146">
        <f t="shared" si="8"/>
        <v>-266061</v>
      </c>
      <c r="F130" s="150">
        <f t="shared" si="9"/>
        <v>-0.03043505863983047</v>
      </c>
      <c r="G130" s="155"/>
    </row>
    <row r="131" spans="1:7" ht="15" customHeight="1">
      <c r="A131" s="141">
        <v>11</v>
      </c>
      <c r="B131" s="161" t="s">
        <v>419</v>
      </c>
      <c r="C131" s="146">
        <v>2235821</v>
      </c>
      <c r="D131" s="146">
        <v>2388006</v>
      </c>
      <c r="E131" s="146">
        <f t="shared" si="8"/>
        <v>152185</v>
      </c>
      <c r="F131" s="150">
        <f t="shared" si="9"/>
        <v>0.06806671911570739</v>
      </c>
      <c r="G131" s="155"/>
    </row>
    <row r="132" spans="1:7" ht="15" customHeight="1">
      <c r="A132" s="141">
        <v>12</v>
      </c>
      <c r="B132" s="161" t="s">
        <v>420</v>
      </c>
      <c r="C132" s="146">
        <v>4828083</v>
      </c>
      <c r="D132" s="146">
        <v>5422357</v>
      </c>
      <c r="E132" s="146">
        <f t="shared" si="8"/>
        <v>594274</v>
      </c>
      <c r="F132" s="150">
        <f t="shared" si="9"/>
        <v>0.12308694775959735</v>
      </c>
      <c r="G132" s="155"/>
    </row>
    <row r="133" spans="1:7" ht="15" customHeight="1">
      <c r="A133" s="141">
        <v>13</v>
      </c>
      <c r="B133" s="161" t="s">
        <v>421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>
      <c r="A134" s="141">
        <v>14</v>
      </c>
      <c r="B134" s="161" t="s">
        <v>422</v>
      </c>
      <c r="C134" s="146">
        <v>639041</v>
      </c>
      <c r="D134" s="146">
        <v>592986</v>
      </c>
      <c r="E134" s="146">
        <f t="shared" si="8"/>
        <v>-46055</v>
      </c>
      <c r="F134" s="150">
        <f t="shared" si="9"/>
        <v>-0.07206892828472665</v>
      </c>
      <c r="G134" s="155"/>
    </row>
    <row r="135" spans="1:7" ht="15" customHeight="1">
      <c r="A135" s="141">
        <v>15</v>
      </c>
      <c r="B135" s="161" t="s">
        <v>423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424</v>
      </c>
      <c r="C136" s="146">
        <v>5475</v>
      </c>
      <c r="D136" s="146">
        <v>14666</v>
      </c>
      <c r="E136" s="146">
        <f t="shared" si="8"/>
        <v>9191</v>
      </c>
      <c r="F136" s="150">
        <f t="shared" si="9"/>
        <v>1.6787214611872145</v>
      </c>
      <c r="G136" s="155"/>
    </row>
    <row r="137" spans="1:7" ht="15" customHeight="1">
      <c r="A137" s="141">
        <v>17</v>
      </c>
      <c r="B137" s="161" t="s">
        <v>425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426</v>
      </c>
      <c r="C138" s="146">
        <v>1567560</v>
      </c>
      <c r="D138" s="146">
        <v>1525700</v>
      </c>
      <c r="E138" s="146">
        <f t="shared" si="8"/>
        <v>-41860</v>
      </c>
      <c r="F138" s="150">
        <f t="shared" si="9"/>
        <v>-0.026703922018933884</v>
      </c>
      <c r="G138" s="155"/>
    </row>
    <row r="139" spans="1:7" ht="15" customHeight="1">
      <c r="A139" s="141">
        <v>19</v>
      </c>
      <c r="B139" s="161" t="s">
        <v>427</v>
      </c>
      <c r="C139" s="146">
        <v>21141</v>
      </c>
      <c r="D139" s="146">
        <v>18226</v>
      </c>
      <c r="E139" s="146">
        <f t="shared" si="8"/>
        <v>-2915</v>
      </c>
      <c r="F139" s="150">
        <f t="shared" si="9"/>
        <v>-0.13788373303060403</v>
      </c>
      <c r="G139" s="155"/>
    </row>
    <row r="140" spans="1:7" ht="15" customHeight="1">
      <c r="A140" s="141">
        <v>20</v>
      </c>
      <c r="B140" s="161" t="s">
        <v>428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>
      <c r="A141" s="141">
        <v>21</v>
      </c>
      <c r="B141" s="161" t="s">
        <v>429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430</v>
      </c>
      <c r="C142" s="146">
        <v>6966855</v>
      </c>
      <c r="D142" s="146">
        <v>6702635</v>
      </c>
      <c r="E142" s="146">
        <f t="shared" si="8"/>
        <v>-264220</v>
      </c>
      <c r="F142" s="150">
        <f t="shared" si="9"/>
        <v>-0.03792529053640416</v>
      </c>
      <c r="G142" s="155"/>
    </row>
    <row r="143" spans="1:7" ht="15" customHeight="1">
      <c r="A143" s="141">
        <v>23</v>
      </c>
      <c r="B143" s="161" t="s">
        <v>431</v>
      </c>
      <c r="C143" s="146">
        <v>642030</v>
      </c>
      <c r="D143" s="146">
        <v>528164</v>
      </c>
      <c r="E143" s="146">
        <f t="shared" si="8"/>
        <v>-113866</v>
      </c>
      <c r="F143" s="150">
        <f t="shared" si="9"/>
        <v>-0.17735308318925908</v>
      </c>
      <c r="G143" s="155"/>
    </row>
    <row r="144" spans="1:7" ht="15" customHeight="1">
      <c r="A144" s="141">
        <v>24</v>
      </c>
      <c r="B144" s="161" t="s">
        <v>432</v>
      </c>
      <c r="C144" s="146">
        <v>11830024</v>
      </c>
      <c r="D144" s="146">
        <v>11714122</v>
      </c>
      <c r="E144" s="146">
        <f t="shared" si="8"/>
        <v>-115902</v>
      </c>
      <c r="F144" s="150">
        <f t="shared" si="9"/>
        <v>-0.009797275136550864</v>
      </c>
      <c r="G144" s="155"/>
    </row>
    <row r="145" spans="1:7" ht="15" customHeight="1">
      <c r="A145" s="141">
        <v>25</v>
      </c>
      <c r="B145" s="161" t="s">
        <v>433</v>
      </c>
      <c r="C145" s="146">
        <v>1167800</v>
      </c>
      <c r="D145" s="146">
        <v>1257500</v>
      </c>
      <c r="E145" s="146">
        <f t="shared" si="8"/>
        <v>89700</v>
      </c>
      <c r="F145" s="150">
        <f t="shared" si="9"/>
        <v>0.07681109779071758</v>
      </c>
      <c r="G145" s="155"/>
    </row>
    <row r="146" spans="1:7" ht="15" customHeight="1">
      <c r="A146" s="141">
        <v>26</v>
      </c>
      <c r="B146" s="161" t="s">
        <v>434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435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436</v>
      </c>
      <c r="C148" s="146">
        <v>1168666</v>
      </c>
      <c r="D148" s="146">
        <v>1165963</v>
      </c>
      <c r="E148" s="146">
        <f t="shared" si="8"/>
        <v>-2703</v>
      </c>
      <c r="F148" s="150">
        <f t="shared" si="9"/>
        <v>-0.0023128935042176293</v>
      </c>
      <c r="G148" s="155"/>
    </row>
    <row r="149" spans="1:7" ht="15" customHeight="1">
      <c r="A149" s="141">
        <v>29</v>
      </c>
      <c r="B149" s="161" t="s">
        <v>437</v>
      </c>
      <c r="C149" s="146">
        <v>768544</v>
      </c>
      <c r="D149" s="146">
        <v>947632</v>
      </c>
      <c r="E149" s="146">
        <f t="shared" si="8"/>
        <v>179088</v>
      </c>
      <c r="F149" s="150">
        <f t="shared" si="9"/>
        <v>0.2330224424366074</v>
      </c>
      <c r="G149" s="155"/>
    </row>
    <row r="150" spans="1:7" ht="15" customHeight="1">
      <c r="A150" s="141">
        <v>30</v>
      </c>
      <c r="B150" s="161" t="s">
        <v>438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439</v>
      </c>
      <c r="C151" s="146">
        <v>344851</v>
      </c>
      <c r="D151" s="146">
        <v>259610</v>
      </c>
      <c r="E151" s="146">
        <f t="shared" si="8"/>
        <v>-85241</v>
      </c>
      <c r="F151" s="150">
        <f t="shared" si="9"/>
        <v>-0.2471821163343009</v>
      </c>
      <c r="G151" s="155"/>
    </row>
    <row r="152" spans="1:7" ht="15" customHeight="1">
      <c r="A152" s="141">
        <v>32</v>
      </c>
      <c r="B152" s="161" t="s">
        <v>440</v>
      </c>
      <c r="C152" s="146">
        <v>1243448</v>
      </c>
      <c r="D152" s="146">
        <v>1213362</v>
      </c>
      <c r="E152" s="146">
        <f t="shared" si="8"/>
        <v>-30086</v>
      </c>
      <c r="F152" s="150">
        <f t="shared" si="9"/>
        <v>-0.024195623781613707</v>
      </c>
      <c r="G152" s="155"/>
    </row>
    <row r="153" spans="1:7" ht="15" customHeight="1">
      <c r="A153" s="141">
        <v>33</v>
      </c>
      <c r="B153" s="161" t="s">
        <v>441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442</v>
      </c>
      <c r="C154" s="146">
        <v>470966</v>
      </c>
      <c r="D154" s="146">
        <v>463336</v>
      </c>
      <c r="E154" s="146">
        <f t="shared" si="8"/>
        <v>-7630</v>
      </c>
      <c r="F154" s="150">
        <f t="shared" si="9"/>
        <v>-0.01620074485207</v>
      </c>
      <c r="G154" s="155"/>
    </row>
    <row r="155" spans="1:7" ht="15.75" customHeight="1">
      <c r="A155" s="141"/>
      <c r="B155" s="154" t="s">
        <v>443</v>
      </c>
      <c r="C155" s="147">
        <f>SUM(C121:C154)</f>
        <v>72814639</v>
      </c>
      <c r="D155" s="147">
        <f>SUM(D121:D154)</f>
        <v>73423238</v>
      </c>
      <c r="E155" s="147">
        <f t="shared" si="8"/>
        <v>608599</v>
      </c>
      <c r="F155" s="148">
        <f t="shared" si="9"/>
        <v>0.008358195664473458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328</v>
      </c>
      <c r="B157" s="145" t="s">
        <v>444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445</v>
      </c>
      <c r="C158" s="146">
        <v>17774647</v>
      </c>
      <c r="D158" s="146">
        <v>18443277</v>
      </c>
      <c r="E158" s="146">
        <f aca="true" t="shared" si="10" ref="E158:E171">D158-C158</f>
        <v>668630</v>
      </c>
      <c r="F158" s="150">
        <f aca="true" t="shared" si="11" ref="F158:F171">IF(C158=0,0,E158/C158)</f>
        <v>0.0376170620997424</v>
      </c>
      <c r="G158" s="155"/>
    </row>
    <row r="159" spans="1:7" ht="15" customHeight="1">
      <c r="A159" s="141">
        <v>2</v>
      </c>
      <c r="B159" s="161" t="s">
        <v>446</v>
      </c>
      <c r="C159" s="146">
        <v>5844554</v>
      </c>
      <c r="D159" s="146">
        <v>5484044</v>
      </c>
      <c r="E159" s="146">
        <f t="shared" si="10"/>
        <v>-360510</v>
      </c>
      <c r="F159" s="150">
        <f t="shared" si="11"/>
        <v>-0.061683064268034826</v>
      </c>
      <c r="G159" s="155"/>
    </row>
    <row r="160" spans="1:7" ht="15" customHeight="1">
      <c r="A160" s="141">
        <v>3</v>
      </c>
      <c r="B160" s="161" t="s">
        <v>447</v>
      </c>
      <c r="C160" s="146">
        <v>1814395</v>
      </c>
      <c r="D160" s="146">
        <v>1877629</v>
      </c>
      <c r="E160" s="146">
        <f t="shared" si="10"/>
        <v>63234</v>
      </c>
      <c r="F160" s="150">
        <f t="shared" si="11"/>
        <v>0.03485128651699327</v>
      </c>
      <c r="G160" s="155"/>
    </row>
    <row r="161" spans="1:7" ht="15" customHeight="1">
      <c r="A161" s="141">
        <v>4</v>
      </c>
      <c r="B161" s="161" t="s">
        <v>448</v>
      </c>
      <c r="C161" s="146">
        <v>3349824</v>
      </c>
      <c r="D161" s="146">
        <v>3305549</v>
      </c>
      <c r="E161" s="146">
        <f t="shared" si="10"/>
        <v>-44275</v>
      </c>
      <c r="F161" s="150">
        <f t="shared" si="11"/>
        <v>-0.013217112302019449</v>
      </c>
      <c r="G161" s="155"/>
    </row>
    <row r="162" spans="1:7" ht="15" customHeight="1">
      <c r="A162" s="141">
        <v>5</v>
      </c>
      <c r="B162" s="161" t="s">
        <v>449</v>
      </c>
      <c r="C162" s="146">
        <v>1005193</v>
      </c>
      <c r="D162" s="146">
        <v>238525</v>
      </c>
      <c r="E162" s="146">
        <f t="shared" si="10"/>
        <v>-766668</v>
      </c>
      <c r="F162" s="150">
        <f t="shared" si="11"/>
        <v>-0.7627072611926267</v>
      </c>
      <c r="G162" s="155"/>
    </row>
    <row r="163" spans="1:7" ht="15" customHeight="1">
      <c r="A163" s="141">
        <v>6</v>
      </c>
      <c r="B163" s="161" t="s">
        <v>450</v>
      </c>
      <c r="C163" s="146">
        <v>4120450</v>
      </c>
      <c r="D163" s="146">
        <v>4028858</v>
      </c>
      <c r="E163" s="146">
        <f t="shared" si="10"/>
        <v>-91592</v>
      </c>
      <c r="F163" s="150">
        <f t="shared" si="11"/>
        <v>-0.022228640075719886</v>
      </c>
      <c r="G163" s="155"/>
    </row>
    <row r="164" spans="1:7" ht="15" customHeight="1">
      <c r="A164" s="141">
        <v>7</v>
      </c>
      <c r="B164" s="161" t="s">
        <v>451</v>
      </c>
      <c r="C164" s="146">
        <v>1340939</v>
      </c>
      <c r="D164" s="146">
        <v>1348051</v>
      </c>
      <c r="E164" s="146">
        <f t="shared" si="10"/>
        <v>7112</v>
      </c>
      <c r="F164" s="150">
        <f t="shared" si="11"/>
        <v>0.00530374610627329</v>
      </c>
      <c r="G164" s="155"/>
    </row>
    <row r="165" spans="1:7" ht="15" customHeight="1">
      <c r="A165" s="141">
        <v>8</v>
      </c>
      <c r="B165" s="161" t="s">
        <v>452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453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454</v>
      </c>
      <c r="C167" s="146">
        <v>1637496</v>
      </c>
      <c r="D167" s="146">
        <v>2021307</v>
      </c>
      <c r="E167" s="146">
        <f t="shared" si="10"/>
        <v>383811</v>
      </c>
      <c r="F167" s="150">
        <f t="shared" si="11"/>
        <v>0.23438896949977284</v>
      </c>
      <c r="G167" s="155"/>
    </row>
    <row r="168" spans="1:7" ht="15" customHeight="1">
      <c r="A168" s="141">
        <v>11</v>
      </c>
      <c r="B168" s="161" t="s">
        <v>455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456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>
      <c r="A170" s="141">
        <v>13</v>
      </c>
      <c r="B170" s="161" t="s">
        <v>457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458</v>
      </c>
      <c r="C171" s="147">
        <f>SUM(C158:C170)</f>
        <v>36887498</v>
      </c>
      <c r="D171" s="147">
        <f>SUM(D158:D170)</f>
        <v>36747240</v>
      </c>
      <c r="E171" s="147">
        <f t="shared" si="10"/>
        <v>-140258</v>
      </c>
      <c r="F171" s="148">
        <f t="shared" si="11"/>
        <v>-0.003802318064510637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333</v>
      </c>
      <c r="B173" s="145" t="s">
        <v>459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460</v>
      </c>
      <c r="C174" s="146">
        <v>1802981</v>
      </c>
      <c r="D174" s="146">
        <v>2403367</v>
      </c>
      <c r="E174" s="146">
        <f>D174-C174</f>
        <v>600386</v>
      </c>
      <c r="F174" s="150">
        <f>IF(C174=0,0,E174/C174)</f>
        <v>0.3329962989071987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461</v>
      </c>
      <c r="C176" s="147">
        <f>+C174+C171+C155+C118+C109</f>
        <v>245407419</v>
      </c>
      <c r="D176" s="147">
        <f>+D174+D171+D155+D118+D109</f>
        <v>253532594</v>
      </c>
      <c r="E176" s="147">
        <f>D176-C176</f>
        <v>8125175</v>
      </c>
      <c r="F176" s="148">
        <f>IF(C176=0,0,E176/C176)</f>
        <v>0.03310892161740228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462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FILING&amp;RWATERBURY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157</v>
      </c>
      <c r="C1" s="3"/>
      <c r="D1" s="3"/>
      <c r="E1" s="4"/>
      <c r="F1" s="5"/>
    </row>
    <row r="2" spans="1:6" ht="24" customHeight="1">
      <c r="A2" s="35"/>
      <c r="B2" s="3" t="s">
        <v>158</v>
      </c>
      <c r="C2" s="3"/>
      <c r="D2" s="3"/>
      <c r="E2" s="4"/>
      <c r="F2" s="5"/>
    </row>
    <row r="3" spans="1:6" ht="24" customHeight="1">
      <c r="A3" s="35"/>
      <c r="B3" s="3" t="s">
        <v>159</v>
      </c>
      <c r="C3" s="3"/>
      <c r="D3" s="3"/>
      <c r="E3" s="4"/>
      <c r="F3" s="5"/>
    </row>
    <row r="4" spans="1:6" ht="24" customHeight="1">
      <c r="A4" s="35"/>
      <c r="B4" s="3" t="s">
        <v>463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167</v>
      </c>
      <c r="D7" s="11" t="s">
        <v>167</v>
      </c>
      <c r="E7" s="11" t="s">
        <v>167</v>
      </c>
      <c r="F7" s="11"/>
    </row>
    <row r="8" spans="1:6" ht="24" customHeight="1">
      <c r="A8" s="13" t="s">
        <v>165</v>
      </c>
      <c r="B8" s="16" t="s">
        <v>166</v>
      </c>
      <c r="C8" s="13" t="s">
        <v>464</v>
      </c>
      <c r="D8" s="13" t="s">
        <v>161</v>
      </c>
      <c r="E8" s="13" t="s">
        <v>162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171</v>
      </c>
      <c r="B10" s="30" t="s">
        <v>465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232</v>
      </c>
      <c r="C11" s="51">
        <v>222219540</v>
      </c>
      <c r="D11" s="164">
        <v>221441319</v>
      </c>
      <c r="E11" s="51">
        <v>239928524</v>
      </c>
      <c r="F11" s="13"/>
    </row>
    <row r="12" spans="1:6" ht="24" customHeight="1">
      <c r="A12" s="44">
        <v>2</v>
      </c>
      <c r="B12" s="165" t="s">
        <v>466</v>
      </c>
      <c r="C12" s="49">
        <v>9187087</v>
      </c>
      <c r="D12" s="49">
        <v>11605995</v>
      </c>
      <c r="E12" s="49">
        <v>8617813</v>
      </c>
      <c r="F12" s="13"/>
    </row>
    <row r="13" spans="1:6" ht="24" customHeight="1">
      <c r="A13" s="44">
        <v>3</v>
      </c>
      <c r="B13" s="48" t="s">
        <v>235</v>
      </c>
      <c r="C13" s="51">
        <f>+C11+C12</f>
        <v>231406627</v>
      </c>
      <c r="D13" s="51">
        <f>+D11+D12</f>
        <v>233047314</v>
      </c>
      <c r="E13" s="51">
        <f>+E11+E12</f>
        <v>248546337</v>
      </c>
      <c r="F13" s="13"/>
    </row>
    <row r="14" spans="1:6" ht="24" customHeight="1">
      <c r="A14" s="44">
        <v>4</v>
      </c>
      <c r="B14" s="166" t="s">
        <v>246</v>
      </c>
      <c r="C14" s="49">
        <v>240315931</v>
      </c>
      <c r="D14" s="49">
        <v>245407419</v>
      </c>
      <c r="E14" s="49">
        <v>253532594</v>
      </c>
      <c r="F14" s="13"/>
    </row>
    <row r="15" spans="1:6" ht="24" customHeight="1">
      <c r="A15" s="44">
        <v>5</v>
      </c>
      <c r="B15" s="48" t="s">
        <v>247</v>
      </c>
      <c r="C15" s="51">
        <f>+C13-C14</f>
        <v>-8909304</v>
      </c>
      <c r="D15" s="51">
        <f>+D13-D14</f>
        <v>-12360105</v>
      </c>
      <c r="E15" s="51">
        <f>+E13-E14</f>
        <v>-4986257</v>
      </c>
      <c r="F15" s="13"/>
    </row>
    <row r="16" spans="1:6" ht="24" customHeight="1">
      <c r="A16" s="44">
        <v>6</v>
      </c>
      <c r="B16" s="166" t="s">
        <v>252</v>
      </c>
      <c r="C16" s="49">
        <v>2069251</v>
      </c>
      <c r="D16" s="49">
        <v>1875322</v>
      </c>
      <c r="E16" s="49">
        <v>3066686</v>
      </c>
      <c r="F16" s="13"/>
    </row>
    <row r="17" spans="1:6" ht="24" customHeight="1">
      <c r="A17" s="44">
        <v>7</v>
      </c>
      <c r="B17" s="45" t="s">
        <v>467</v>
      </c>
      <c r="C17" s="51">
        <f>C15+C16</f>
        <v>-6840053</v>
      </c>
      <c r="D17" s="51">
        <f>D15+D16</f>
        <v>-10484783</v>
      </c>
      <c r="E17" s="51">
        <f>E15+E16</f>
        <v>-1919571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183</v>
      </c>
      <c r="B19" s="30" t="s">
        <v>468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469</v>
      </c>
      <c r="C20" s="169">
        <f>IF(+C27=0,0,+C24/+C27)</f>
        <v>-0.03815941962107109</v>
      </c>
      <c r="D20" s="169">
        <f>IF(+D27=0,0,+D24/+D27)</f>
        <v>-0.05261351230538721</v>
      </c>
      <c r="E20" s="169">
        <f>IF(+E27=0,0,+E24/+E27)</f>
        <v>-0.019817165822931193</v>
      </c>
      <c r="F20" s="13"/>
    </row>
    <row r="21" spans="1:6" ht="24" customHeight="1">
      <c r="A21" s="25">
        <v>2</v>
      </c>
      <c r="B21" s="48" t="s">
        <v>470</v>
      </c>
      <c r="C21" s="169">
        <f>IF(C27=0,0,+C26/C27)</f>
        <v>0.008862804233677623</v>
      </c>
      <c r="D21" s="169">
        <f>IF(D27=0,0,+D26/D27)</f>
        <v>0.007982721596909036</v>
      </c>
      <c r="E21" s="169">
        <f>IF(E27=0,0,+E26/E27)</f>
        <v>0.012188105223790423</v>
      </c>
      <c r="F21" s="13"/>
    </row>
    <row r="22" spans="1:6" ht="24" customHeight="1">
      <c r="A22" s="25">
        <v>3</v>
      </c>
      <c r="B22" s="48" t="s">
        <v>471</v>
      </c>
      <c r="C22" s="169">
        <f>IF(C27=0,0,+C28/C27)</f>
        <v>-0.029296615387393466</v>
      </c>
      <c r="D22" s="169">
        <f>IF(D27=0,0,+D28/D27)</f>
        <v>-0.044630790708478175</v>
      </c>
      <c r="E22" s="169">
        <f>IF(E27=0,0,+E28/E27)</f>
        <v>-0.007629060599140768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247</v>
      </c>
      <c r="C24" s="51">
        <f>+C15</f>
        <v>-8909304</v>
      </c>
      <c r="D24" s="51">
        <f>+D15</f>
        <v>-12360105</v>
      </c>
      <c r="E24" s="51">
        <f>+E15</f>
        <v>-4986257</v>
      </c>
      <c r="F24" s="13"/>
    </row>
    <row r="25" spans="1:6" ht="24" customHeight="1">
      <c r="A25" s="21">
        <v>5</v>
      </c>
      <c r="B25" s="48" t="s">
        <v>235</v>
      </c>
      <c r="C25" s="51">
        <f>+C13</f>
        <v>231406627</v>
      </c>
      <c r="D25" s="51">
        <f>+D13</f>
        <v>233047314</v>
      </c>
      <c r="E25" s="51">
        <f>+E13</f>
        <v>248546337</v>
      </c>
      <c r="F25" s="13"/>
    </row>
    <row r="26" spans="1:6" ht="24" customHeight="1">
      <c r="A26" s="21">
        <v>6</v>
      </c>
      <c r="B26" s="48" t="s">
        <v>252</v>
      </c>
      <c r="C26" s="51">
        <f>+C16</f>
        <v>2069251</v>
      </c>
      <c r="D26" s="51">
        <f>+D16</f>
        <v>1875322</v>
      </c>
      <c r="E26" s="51">
        <f>+E16</f>
        <v>3066686</v>
      </c>
      <c r="F26" s="13"/>
    </row>
    <row r="27" spans="1:6" ht="24" customHeight="1">
      <c r="A27" s="21">
        <v>7</v>
      </c>
      <c r="B27" s="48" t="s">
        <v>472</v>
      </c>
      <c r="C27" s="51">
        <f>+C25+C26</f>
        <v>233475878</v>
      </c>
      <c r="D27" s="51">
        <f>+D25+D26</f>
        <v>234922636</v>
      </c>
      <c r="E27" s="51">
        <f>+E25+E26</f>
        <v>251613023</v>
      </c>
      <c r="F27" s="13"/>
    </row>
    <row r="28" spans="1:6" ht="24" customHeight="1">
      <c r="A28" s="21">
        <v>8</v>
      </c>
      <c r="B28" s="45" t="s">
        <v>467</v>
      </c>
      <c r="C28" s="51">
        <f>+C17</f>
        <v>-6840053</v>
      </c>
      <c r="D28" s="51">
        <f>+D17</f>
        <v>-10484783</v>
      </c>
      <c r="E28" s="51">
        <f>+E17</f>
        <v>-1919571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193</v>
      </c>
      <c r="B30" s="41" t="s">
        <v>473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474</v>
      </c>
      <c r="C31" s="51">
        <v>58964722</v>
      </c>
      <c r="D31" s="51">
        <v>47953352</v>
      </c>
      <c r="E31" s="51">
        <v>44636663</v>
      </c>
      <c r="F31" s="13"/>
    </row>
    <row r="32" spans="1:6" ht="24" customHeight="1">
      <c r="A32" s="25">
        <v>2</v>
      </c>
      <c r="B32" s="48" t="s">
        <v>475</v>
      </c>
      <c r="C32" s="51">
        <v>122516497</v>
      </c>
      <c r="D32" s="51">
        <v>99996300</v>
      </c>
      <c r="E32" s="51">
        <v>93058584</v>
      </c>
      <c r="F32" s="13"/>
    </row>
    <row r="33" spans="1:6" ht="24" customHeight="1">
      <c r="A33" s="25">
        <v>3</v>
      </c>
      <c r="B33" s="48" t="s">
        <v>476</v>
      </c>
      <c r="C33" s="51">
        <v>122516497</v>
      </c>
      <c r="D33" s="51">
        <f>+D32-C32</f>
        <v>-22520197</v>
      </c>
      <c r="E33" s="51">
        <f>+E32-D32</f>
        <v>-6937716</v>
      </c>
      <c r="F33" s="5"/>
    </row>
    <row r="34" spans="1:6" ht="24" customHeight="1">
      <c r="A34" s="25">
        <v>4</v>
      </c>
      <c r="B34" s="48" t="s">
        <v>477</v>
      </c>
      <c r="C34" s="171">
        <v>0</v>
      </c>
      <c r="D34" s="171">
        <f>IF(C32=0,0,+D33/C32)</f>
        <v>-0.18381358879367896</v>
      </c>
      <c r="E34" s="171">
        <f>IF(D32=0,0,+E33/D32)</f>
        <v>-0.06937972704990085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478</v>
      </c>
      <c r="B36" s="41" t="s">
        <v>479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480</v>
      </c>
      <c r="C38" s="172">
        <f>IF((C40+C41)=0,0,+C39/(C40+C41))</f>
        <v>0.32301179568543026</v>
      </c>
      <c r="D38" s="172">
        <f>IF((D40+D41)=0,0,+D39/(D40+D41))</f>
        <v>0.31469030174814777</v>
      </c>
      <c r="E38" s="172">
        <f>IF((E40+E41)=0,0,+E39/(E40+E41))</f>
        <v>0.2954966704085178</v>
      </c>
      <c r="F38" s="5"/>
    </row>
    <row r="39" spans="1:6" ht="24" customHeight="1">
      <c r="A39" s="21">
        <v>2</v>
      </c>
      <c r="B39" s="48" t="s">
        <v>481</v>
      </c>
      <c r="C39" s="51">
        <v>218509451</v>
      </c>
      <c r="D39" s="51">
        <v>227689900</v>
      </c>
      <c r="E39" s="23">
        <v>253532594</v>
      </c>
      <c r="F39" s="5"/>
    </row>
    <row r="40" spans="1:6" ht="24" customHeight="1">
      <c r="A40" s="21">
        <v>3</v>
      </c>
      <c r="B40" s="48" t="s">
        <v>482</v>
      </c>
      <c r="C40" s="51">
        <v>661400373</v>
      </c>
      <c r="D40" s="51">
        <v>709569118</v>
      </c>
      <c r="E40" s="23">
        <v>844914267</v>
      </c>
      <c r="F40" s="5"/>
    </row>
    <row r="41" spans="1:6" ht="24" customHeight="1">
      <c r="A41" s="21">
        <v>4</v>
      </c>
      <c r="B41" s="48" t="s">
        <v>483</v>
      </c>
      <c r="C41" s="51">
        <v>15074771</v>
      </c>
      <c r="D41" s="51">
        <v>13967320</v>
      </c>
      <c r="E41" s="23">
        <v>13073722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484</v>
      </c>
      <c r="C43" s="173">
        <f>IF(C38=0,0,IF((C46-C47)=0,0,((+C44-C45)/(C46-C47)/C38)))</f>
        <v>1.1272241221294887</v>
      </c>
      <c r="D43" s="173">
        <f>IF(D38=0,0,IF((D46-D47)=0,0,((+D44-D45)/(D46-D47)/D38)))</f>
        <v>1.1461256486182074</v>
      </c>
      <c r="E43" s="173">
        <f>IF(E38=0,0,IF((E46-E47)=0,0,((+E44-E45)/(E46-E47)/E38)))</f>
        <v>1.0918585676049313</v>
      </c>
      <c r="F43" s="5"/>
    </row>
    <row r="44" spans="1:6" ht="24" customHeight="1">
      <c r="A44" s="21">
        <v>6</v>
      </c>
      <c r="B44" s="48" t="s">
        <v>485</v>
      </c>
      <c r="C44" s="51">
        <v>87083832</v>
      </c>
      <c r="D44" s="51">
        <v>86587089</v>
      </c>
      <c r="E44" s="23">
        <v>93517673</v>
      </c>
      <c r="F44" s="5"/>
    </row>
    <row r="45" spans="1:6" ht="24" customHeight="1">
      <c r="A45" s="21">
        <v>7</v>
      </c>
      <c r="B45" s="48" t="s">
        <v>486</v>
      </c>
      <c r="C45" s="51">
        <v>858474</v>
      </c>
      <c r="D45" s="51">
        <v>1060888</v>
      </c>
      <c r="E45" s="23">
        <v>4673624</v>
      </c>
      <c r="F45" s="5"/>
    </row>
    <row r="46" spans="1:6" ht="24" customHeight="1">
      <c r="A46" s="21">
        <v>8</v>
      </c>
      <c r="B46" s="48" t="s">
        <v>487</v>
      </c>
      <c r="C46" s="51">
        <v>252760969</v>
      </c>
      <c r="D46" s="51">
        <v>256722477</v>
      </c>
      <c r="E46" s="23">
        <v>295361960</v>
      </c>
      <c r="F46" s="5"/>
    </row>
    <row r="47" spans="1:6" ht="24" customHeight="1">
      <c r="A47" s="21">
        <v>9</v>
      </c>
      <c r="B47" s="48" t="s">
        <v>488</v>
      </c>
      <c r="C47" s="51">
        <v>15947527</v>
      </c>
      <c r="D47" s="51">
        <v>19594066</v>
      </c>
      <c r="E47" s="174">
        <v>19996563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489</v>
      </c>
      <c r="C49" s="175">
        <f>IF(C38=0,0,IF(C51=0,0,(C50/C51)/C38))</f>
        <v>0.9232475301271388</v>
      </c>
      <c r="D49" s="175">
        <f>IF(D38=0,0,IF(D51=0,0,(D50/D51)/D38))</f>
        <v>0.906584990035355</v>
      </c>
      <c r="E49" s="175">
        <f>IF(E38=0,0,IF(E51=0,0,(E50/E51)/E38))</f>
        <v>0.8814886638731769</v>
      </c>
      <c r="F49" s="7"/>
    </row>
    <row r="50" spans="1:6" ht="24" customHeight="1">
      <c r="A50" s="21">
        <v>11</v>
      </c>
      <c r="B50" s="48" t="s">
        <v>490</v>
      </c>
      <c r="C50" s="176">
        <v>88993730</v>
      </c>
      <c r="D50" s="176">
        <v>94927962</v>
      </c>
      <c r="E50" s="176">
        <v>105422025</v>
      </c>
      <c r="F50" s="11"/>
    </row>
    <row r="51" spans="1:6" ht="24" customHeight="1">
      <c r="A51" s="21">
        <v>12</v>
      </c>
      <c r="B51" s="48" t="s">
        <v>491</v>
      </c>
      <c r="C51" s="176">
        <v>298416528</v>
      </c>
      <c r="D51" s="176">
        <v>332737902</v>
      </c>
      <c r="E51" s="176">
        <v>404726863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492</v>
      </c>
      <c r="C53" s="175">
        <f>IF(C38=0,0,IF(C55=0,0,(C54/C55)/C38))</f>
        <v>0.7343382396053034</v>
      </c>
      <c r="D53" s="175">
        <f>IF(D38=0,0,IF(D55=0,0,(D54/D55)/D38))</f>
        <v>0.6643880331350887</v>
      </c>
      <c r="E53" s="175">
        <f>IF(E38=0,0,IF(E55=0,0,(E54/E55)/E38))</f>
        <v>0.6804911639574521</v>
      </c>
      <c r="F53" s="13"/>
    </row>
    <row r="54" spans="1:6" ht="24" customHeight="1">
      <c r="A54" s="21">
        <v>14</v>
      </c>
      <c r="B54" s="48" t="s">
        <v>493</v>
      </c>
      <c r="C54" s="176">
        <v>19767250</v>
      </c>
      <c r="D54" s="176">
        <v>19562259</v>
      </c>
      <c r="E54" s="176">
        <v>21623564</v>
      </c>
      <c r="F54" s="13"/>
    </row>
    <row r="55" spans="1:6" ht="24" customHeight="1">
      <c r="A55" s="21">
        <v>15</v>
      </c>
      <c r="B55" s="48" t="s">
        <v>494</v>
      </c>
      <c r="C55" s="176">
        <v>83335823</v>
      </c>
      <c r="D55" s="176">
        <v>93565091</v>
      </c>
      <c r="E55" s="176">
        <v>107535583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495</v>
      </c>
      <c r="C57" s="53">
        <f>+C60*C38</f>
        <v>7696214.062931658</v>
      </c>
      <c r="D57" s="53">
        <f>+D60*D38</f>
        <v>6390260.815280875</v>
      </c>
      <c r="E57" s="53">
        <f>+E60*E38</f>
        <v>4766186.35966051</v>
      </c>
      <c r="F57" s="13"/>
    </row>
    <row r="58" spans="1:6" ht="24" customHeight="1">
      <c r="A58" s="21">
        <v>17</v>
      </c>
      <c r="B58" s="48" t="s">
        <v>496</v>
      </c>
      <c r="C58" s="51">
        <v>2019940</v>
      </c>
      <c r="D58" s="51">
        <v>2588984</v>
      </c>
      <c r="E58" s="52">
        <v>1809921</v>
      </c>
      <c r="F58" s="28"/>
    </row>
    <row r="59" spans="1:6" ht="24" customHeight="1">
      <c r="A59" s="21">
        <v>18</v>
      </c>
      <c r="B59" s="48" t="s">
        <v>242</v>
      </c>
      <c r="C59" s="51">
        <v>21806478</v>
      </c>
      <c r="D59" s="51">
        <v>17717523</v>
      </c>
      <c r="E59" s="52">
        <v>14319487</v>
      </c>
      <c r="F59" s="28"/>
    </row>
    <row r="60" spans="1:6" ht="24" customHeight="1">
      <c r="A60" s="21">
        <v>19</v>
      </c>
      <c r="B60" s="48" t="s">
        <v>497</v>
      </c>
      <c r="C60" s="51">
        <v>23826418</v>
      </c>
      <c r="D60" s="51">
        <v>20306507</v>
      </c>
      <c r="E60" s="52">
        <v>16129408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498</v>
      </c>
      <c r="C62" s="178">
        <f>IF(C63=0,0,+C57/C63)</f>
        <v>0.03522142418879473</v>
      </c>
      <c r="D62" s="178">
        <f>IF(D63=0,0,+D57/D63)</f>
        <v>0.028065631436795725</v>
      </c>
      <c r="E62" s="178">
        <f>IF(E63=0,0,+E57/E63)</f>
        <v>0.018799106988431277</v>
      </c>
      <c r="F62" s="13"/>
    </row>
    <row r="63" spans="1:6" ht="24" customHeight="1">
      <c r="A63" s="21">
        <v>21</v>
      </c>
      <c r="B63" s="45" t="s">
        <v>481</v>
      </c>
      <c r="C63" s="176">
        <v>218509451</v>
      </c>
      <c r="D63" s="176">
        <v>227689900</v>
      </c>
      <c r="E63" s="176">
        <v>253532594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499</v>
      </c>
      <c r="B65" s="41" t="s">
        <v>500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501</v>
      </c>
      <c r="C67" s="179">
        <f>IF(C69=0,0,C68/C69)</f>
        <v>1.7361920417208951</v>
      </c>
      <c r="D67" s="179">
        <f>IF(D69=0,0,D68/D69)</f>
        <v>1.6320912574300284</v>
      </c>
      <c r="E67" s="179">
        <f>IF(E69=0,0,E68/E69)</f>
        <v>1.9966898726054148</v>
      </c>
      <c r="F67" s="28"/>
    </row>
    <row r="68" spans="1:6" ht="24" customHeight="1">
      <c r="A68" s="21">
        <v>2</v>
      </c>
      <c r="B68" s="48" t="s">
        <v>182</v>
      </c>
      <c r="C68" s="180">
        <v>47705472</v>
      </c>
      <c r="D68" s="180">
        <v>50995793</v>
      </c>
      <c r="E68" s="180">
        <v>49565466</v>
      </c>
      <c r="F68" s="28"/>
    </row>
    <row r="69" spans="1:6" ht="24" customHeight="1">
      <c r="A69" s="21">
        <v>3</v>
      </c>
      <c r="B69" s="48" t="s">
        <v>211</v>
      </c>
      <c r="C69" s="180">
        <v>27477071</v>
      </c>
      <c r="D69" s="180">
        <v>31245675</v>
      </c>
      <c r="E69" s="180">
        <v>24823818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502</v>
      </c>
      <c r="C71" s="181">
        <f>IF((C77/365)=0,0,+C74/(C77/365))</f>
        <v>6.321869444976984</v>
      </c>
      <c r="D71" s="181">
        <f>IF((D77/365)=0,0,+D74/(D77/365))</f>
        <v>16.162790408187256</v>
      </c>
      <c r="E71" s="181">
        <f>IF((E77/365)=0,0,+E74/(E77/365))</f>
        <v>21.883261480926794</v>
      </c>
      <c r="F71" s="28"/>
    </row>
    <row r="72" spans="1:6" ht="24" customHeight="1">
      <c r="A72" s="21">
        <v>5</v>
      </c>
      <c r="B72" s="22" t="s">
        <v>173</v>
      </c>
      <c r="C72" s="182">
        <v>3983257</v>
      </c>
      <c r="D72" s="182">
        <v>10440801</v>
      </c>
      <c r="E72" s="182">
        <v>14657330</v>
      </c>
      <c r="F72" s="28"/>
    </row>
    <row r="73" spans="1:6" ht="24" customHeight="1">
      <c r="A73" s="21">
        <v>6</v>
      </c>
      <c r="B73" s="183" t="s">
        <v>174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503</v>
      </c>
      <c r="C74" s="180">
        <f>+C72+C73</f>
        <v>3983257</v>
      </c>
      <c r="D74" s="180">
        <f>+D72+D73</f>
        <v>10440801</v>
      </c>
      <c r="E74" s="180">
        <f>+E72+E73</f>
        <v>14657330</v>
      </c>
      <c r="F74" s="28"/>
    </row>
    <row r="75" spans="1:6" ht="24" customHeight="1">
      <c r="A75" s="21">
        <v>8</v>
      </c>
      <c r="B75" s="48" t="s">
        <v>481</v>
      </c>
      <c r="C75" s="180">
        <f>+C14</f>
        <v>240315931</v>
      </c>
      <c r="D75" s="180">
        <f>+D14</f>
        <v>245407419</v>
      </c>
      <c r="E75" s="180">
        <f>+E14</f>
        <v>253532594</v>
      </c>
      <c r="F75" s="28"/>
    </row>
    <row r="76" spans="1:6" ht="24" customHeight="1">
      <c r="A76" s="21">
        <v>9</v>
      </c>
      <c r="B76" s="45" t="s">
        <v>504</v>
      </c>
      <c r="C76" s="180">
        <v>10338261</v>
      </c>
      <c r="D76" s="180">
        <v>9625585</v>
      </c>
      <c r="E76" s="180">
        <v>9056904</v>
      </c>
      <c r="F76" s="28"/>
    </row>
    <row r="77" spans="1:6" ht="24" customHeight="1">
      <c r="A77" s="21">
        <v>10</v>
      </c>
      <c r="B77" s="45" t="s">
        <v>505</v>
      </c>
      <c r="C77" s="180">
        <f>+C75-C76</f>
        <v>229977670</v>
      </c>
      <c r="D77" s="180">
        <f>+D75-D76</f>
        <v>235781834</v>
      </c>
      <c r="E77" s="180">
        <f>+E75-E76</f>
        <v>244475690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506</v>
      </c>
      <c r="C79" s="179">
        <f>IF((C84/365)=0,0,+C83/(C84/365))</f>
        <v>51.033769330095815</v>
      </c>
      <c r="D79" s="179">
        <f>IF((D84/365)=0,0,+D83/(D84/365))</f>
        <v>56.80765076638655</v>
      </c>
      <c r="E79" s="179">
        <f>IF((E84/365)=0,0,+E83/(E84/365))</f>
        <v>44.676063380442415</v>
      </c>
      <c r="F79" s="28"/>
    </row>
    <row r="80" spans="1:6" ht="24" customHeight="1">
      <c r="A80" s="21">
        <v>12</v>
      </c>
      <c r="B80" s="188" t="s">
        <v>507</v>
      </c>
      <c r="C80" s="189">
        <v>33420866</v>
      </c>
      <c r="D80" s="189">
        <v>33654146</v>
      </c>
      <c r="E80" s="189">
        <v>30390471</v>
      </c>
      <c r="F80" s="28"/>
    </row>
    <row r="81" spans="1:6" ht="24" customHeight="1">
      <c r="A81" s="21">
        <v>13</v>
      </c>
      <c r="B81" s="188" t="s">
        <v>178</v>
      </c>
      <c r="C81" s="190">
        <v>0</v>
      </c>
      <c r="D81" s="190">
        <v>810405</v>
      </c>
      <c r="E81" s="190">
        <v>0</v>
      </c>
      <c r="F81" s="28"/>
    </row>
    <row r="82" spans="1:6" ht="24" customHeight="1">
      <c r="A82" s="21">
        <v>14</v>
      </c>
      <c r="B82" s="188" t="s">
        <v>206</v>
      </c>
      <c r="C82" s="190">
        <v>2350453</v>
      </c>
      <c r="D82" s="190">
        <v>0</v>
      </c>
      <c r="E82" s="190">
        <v>1023178</v>
      </c>
      <c r="F82" s="28"/>
    </row>
    <row r="83" spans="1:6" ht="33.75" customHeight="1">
      <c r="A83" s="21">
        <v>15</v>
      </c>
      <c r="B83" s="45" t="s">
        <v>508</v>
      </c>
      <c r="C83" s="191">
        <f>+C80+C81-C82</f>
        <v>31070413</v>
      </c>
      <c r="D83" s="191">
        <f>+D80+D81-D82</f>
        <v>34464551</v>
      </c>
      <c r="E83" s="191">
        <f>+E80+E81-E82</f>
        <v>29367293</v>
      </c>
      <c r="F83" s="28"/>
    </row>
    <row r="84" spans="1:6" ht="24" customHeight="1">
      <c r="A84" s="21">
        <v>16</v>
      </c>
      <c r="B84" s="48" t="s">
        <v>232</v>
      </c>
      <c r="C84" s="180">
        <f>+C11</f>
        <v>222219540</v>
      </c>
      <c r="D84" s="191">
        <f>+D11</f>
        <v>221441319</v>
      </c>
      <c r="E84" s="191">
        <f>+E11</f>
        <v>239928524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509</v>
      </c>
      <c r="C86" s="179">
        <f>IF((C90/365)=0,0,+C87/(C90/365))</f>
        <v>43.60915090147665</v>
      </c>
      <c r="D86" s="179">
        <f>IF((D90/365)=0,0,+D87/(D90/365))</f>
        <v>48.369593117169494</v>
      </c>
      <c r="E86" s="179">
        <f>IF((E90/365)=0,0,+E87/(E90/365))</f>
        <v>37.061736363235134</v>
      </c>
      <c r="F86" s="13"/>
    </row>
    <row r="87" spans="1:6" ht="24" customHeight="1">
      <c r="A87" s="21">
        <v>18</v>
      </c>
      <c r="B87" s="48" t="s">
        <v>211</v>
      </c>
      <c r="C87" s="51">
        <f>+C69</f>
        <v>27477071</v>
      </c>
      <c r="D87" s="51">
        <f>+D69</f>
        <v>31245675</v>
      </c>
      <c r="E87" s="51">
        <f>+E69</f>
        <v>24823818</v>
      </c>
      <c r="F87" s="28"/>
    </row>
    <row r="88" spans="1:6" ht="24" customHeight="1">
      <c r="A88" s="21">
        <v>19</v>
      </c>
      <c r="B88" s="48" t="s">
        <v>481</v>
      </c>
      <c r="C88" s="51">
        <f aca="true" t="shared" si="0" ref="C88:E89">+C75</f>
        <v>240315931</v>
      </c>
      <c r="D88" s="51">
        <f t="shared" si="0"/>
        <v>245407419</v>
      </c>
      <c r="E88" s="51">
        <f t="shared" si="0"/>
        <v>253532594</v>
      </c>
      <c r="F88" s="28"/>
    </row>
    <row r="89" spans="1:6" ht="24" customHeight="1">
      <c r="A89" s="21">
        <v>20</v>
      </c>
      <c r="B89" s="48" t="s">
        <v>504</v>
      </c>
      <c r="C89" s="52">
        <f t="shared" si="0"/>
        <v>10338261</v>
      </c>
      <c r="D89" s="52">
        <f t="shared" si="0"/>
        <v>9625585</v>
      </c>
      <c r="E89" s="52">
        <f t="shared" si="0"/>
        <v>9056904</v>
      </c>
      <c r="F89" s="28"/>
    </row>
    <row r="90" spans="1:6" ht="24" customHeight="1">
      <c r="A90" s="21">
        <v>21</v>
      </c>
      <c r="B90" s="48" t="s">
        <v>510</v>
      </c>
      <c r="C90" s="51">
        <f>+C88-C89</f>
        <v>229977670</v>
      </c>
      <c r="D90" s="51">
        <f>+D88-D89</f>
        <v>235781834</v>
      </c>
      <c r="E90" s="51">
        <f>+E88-E89</f>
        <v>244475690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511</v>
      </c>
      <c r="B92" s="41" t="s">
        <v>512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513</v>
      </c>
      <c r="C94" s="192">
        <f>IF(C96=0,0,(C95/C96)*100)</f>
        <v>67.87954741286484</v>
      </c>
      <c r="D94" s="192">
        <f>IF(D96=0,0,(D95/D96)*100)</f>
        <v>62.94995459629481</v>
      </c>
      <c r="E94" s="192">
        <f>IF(E96=0,0,(E95/E96)*100)</f>
        <v>61.50717516306441</v>
      </c>
      <c r="F94" s="28"/>
    </row>
    <row r="95" spans="1:6" ht="24" customHeight="1">
      <c r="A95" s="21">
        <v>2</v>
      </c>
      <c r="B95" s="48" t="s">
        <v>224</v>
      </c>
      <c r="C95" s="51">
        <f>+C32</f>
        <v>122516497</v>
      </c>
      <c r="D95" s="51">
        <f>+D32</f>
        <v>99996300</v>
      </c>
      <c r="E95" s="51">
        <f>+E32</f>
        <v>93058584</v>
      </c>
      <c r="F95" s="28"/>
    </row>
    <row r="96" spans="1:6" ht="24" customHeight="1">
      <c r="A96" s="21">
        <v>3</v>
      </c>
      <c r="B96" s="48" t="s">
        <v>200</v>
      </c>
      <c r="C96" s="51">
        <v>180491034</v>
      </c>
      <c r="D96" s="51">
        <v>158850472</v>
      </c>
      <c r="E96" s="51">
        <v>151297119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514</v>
      </c>
      <c r="C98" s="192">
        <f>IF(C104=0,0,(C101/C104)*100)</f>
        <v>7.133706172731954</v>
      </c>
      <c r="D98" s="192">
        <f>IF(D104=0,0,(D101/D104)*100)</f>
        <v>-1.6837836713914496</v>
      </c>
      <c r="E98" s="192">
        <f>IF(E104=0,0,(E101/E104)*100)</f>
        <v>16.26802964376729</v>
      </c>
      <c r="F98" s="28"/>
    </row>
    <row r="99" spans="1:6" ht="24" customHeight="1">
      <c r="A99" s="21">
        <v>5</v>
      </c>
      <c r="B99" s="48" t="s">
        <v>515</v>
      </c>
      <c r="C99" s="51">
        <f>+C28</f>
        <v>-6840053</v>
      </c>
      <c r="D99" s="51">
        <f>+D28</f>
        <v>-10484783</v>
      </c>
      <c r="E99" s="51">
        <f>+E28</f>
        <v>-1919571</v>
      </c>
      <c r="F99" s="28"/>
    </row>
    <row r="100" spans="1:6" ht="24" customHeight="1">
      <c r="A100" s="21">
        <v>6</v>
      </c>
      <c r="B100" s="48" t="s">
        <v>504</v>
      </c>
      <c r="C100" s="52">
        <f>+C76</f>
        <v>10338261</v>
      </c>
      <c r="D100" s="52">
        <f>+D76</f>
        <v>9625585</v>
      </c>
      <c r="E100" s="52">
        <f>+E76</f>
        <v>9056904</v>
      </c>
      <c r="F100" s="28"/>
    </row>
    <row r="101" spans="1:6" ht="24" customHeight="1">
      <c r="A101" s="21">
        <v>7</v>
      </c>
      <c r="B101" s="48" t="s">
        <v>516</v>
      </c>
      <c r="C101" s="51">
        <f>+C99+C100</f>
        <v>3498208</v>
      </c>
      <c r="D101" s="51">
        <f>+D99+D100</f>
        <v>-859198</v>
      </c>
      <c r="E101" s="51">
        <f>+E99+E100</f>
        <v>7137333</v>
      </c>
      <c r="F101" s="28"/>
    </row>
    <row r="102" spans="1:6" ht="24" customHeight="1">
      <c r="A102" s="21">
        <v>8</v>
      </c>
      <c r="B102" s="48" t="s">
        <v>211</v>
      </c>
      <c r="C102" s="180">
        <f>+C69</f>
        <v>27477071</v>
      </c>
      <c r="D102" s="180">
        <f>+D69</f>
        <v>31245675</v>
      </c>
      <c r="E102" s="180">
        <f>+E69</f>
        <v>24823818</v>
      </c>
      <c r="F102" s="28"/>
    </row>
    <row r="103" spans="1:6" ht="24" customHeight="1">
      <c r="A103" s="21">
        <v>9</v>
      </c>
      <c r="B103" s="48" t="s">
        <v>215</v>
      </c>
      <c r="C103" s="194">
        <v>21560665</v>
      </c>
      <c r="D103" s="194">
        <v>19782139</v>
      </c>
      <c r="E103" s="194">
        <v>19049553</v>
      </c>
      <c r="F103" s="28"/>
    </row>
    <row r="104" spans="1:6" ht="24" customHeight="1">
      <c r="A104" s="21">
        <v>10</v>
      </c>
      <c r="B104" s="195" t="s">
        <v>517</v>
      </c>
      <c r="C104" s="180">
        <f>+C102+C103</f>
        <v>49037736</v>
      </c>
      <c r="D104" s="180">
        <f>+D102+D103</f>
        <v>51027814</v>
      </c>
      <c r="E104" s="180">
        <f>+E102+E103</f>
        <v>43873371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518</v>
      </c>
      <c r="C106" s="197">
        <f>IF(C109=0,0,(C107/C109)*100)</f>
        <v>14.96466525347022</v>
      </c>
      <c r="D106" s="197">
        <f>IF(D109=0,0,(D107/D109)*100)</f>
        <v>16.515609290917542</v>
      </c>
      <c r="E106" s="197">
        <f>IF(E109=0,0,(E107/E109)*100)</f>
        <v>16.992123417410816</v>
      </c>
      <c r="F106" s="28"/>
    </row>
    <row r="107" spans="1:6" ht="24" customHeight="1">
      <c r="A107" s="17">
        <v>12</v>
      </c>
      <c r="B107" s="48" t="s">
        <v>215</v>
      </c>
      <c r="C107" s="180">
        <f>+C103</f>
        <v>21560665</v>
      </c>
      <c r="D107" s="180">
        <f>+D103</f>
        <v>19782139</v>
      </c>
      <c r="E107" s="180">
        <f>+E103</f>
        <v>19049553</v>
      </c>
      <c r="F107" s="28"/>
    </row>
    <row r="108" spans="1:6" ht="24" customHeight="1">
      <c r="A108" s="17">
        <v>13</v>
      </c>
      <c r="B108" s="48" t="s">
        <v>224</v>
      </c>
      <c r="C108" s="180">
        <f>+C32</f>
        <v>122516497</v>
      </c>
      <c r="D108" s="180">
        <f>+D32</f>
        <v>99996300</v>
      </c>
      <c r="E108" s="180">
        <f>+E32</f>
        <v>93058584</v>
      </c>
      <c r="F108" s="28"/>
    </row>
    <row r="109" spans="1:6" ht="24" customHeight="1">
      <c r="A109" s="17">
        <v>14</v>
      </c>
      <c r="B109" s="48" t="s">
        <v>519</v>
      </c>
      <c r="C109" s="180">
        <f>+C107+C108</f>
        <v>144077162</v>
      </c>
      <c r="D109" s="180">
        <f>+D107+D108</f>
        <v>119778439</v>
      </c>
      <c r="E109" s="180">
        <f>+E107+E108</f>
        <v>112108137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520</v>
      </c>
      <c r="C111" s="197">
        <f>IF((+C113+C115)=0,0,((+C112+C113+C114)/(+C113+C115)))</f>
        <v>3.5706976993697093</v>
      </c>
      <c r="D111" s="197">
        <f>IF((+D113+D115)=0,0,((+D112+D113+D114)/(+D113+D115)))</f>
        <v>0.39253578016418256</v>
      </c>
      <c r="E111" s="197">
        <f>IF((+E113+E115)=0,0,((+E112+E113+E114)/(+E113+E115)))</f>
        <v>3.444562045766598</v>
      </c>
    </row>
    <row r="112" spans="1:6" ht="24" customHeight="1">
      <c r="A112" s="17">
        <v>16</v>
      </c>
      <c r="B112" s="48" t="s">
        <v>521</v>
      </c>
      <c r="C112" s="180">
        <f>+C17</f>
        <v>-6840053</v>
      </c>
      <c r="D112" s="180">
        <f>+D17</f>
        <v>-10484783</v>
      </c>
      <c r="E112" s="180">
        <f>+E17</f>
        <v>-1919571</v>
      </c>
      <c r="F112" s="28"/>
    </row>
    <row r="113" spans="1:6" ht="24" customHeight="1">
      <c r="A113" s="17">
        <v>17</v>
      </c>
      <c r="B113" s="48" t="s">
        <v>343</v>
      </c>
      <c r="C113" s="180">
        <v>1360801</v>
      </c>
      <c r="D113" s="180">
        <v>1414401</v>
      </c>
      <c r="E113" s="180">
        <v>1281962</v>
      </c>
      <c r="F113" s="28"/>
    </row>
    <row r="114" spans="1:6" ht="24" customHeight="1">
      <c r="A114" s="17">
        <v>18</v>
      </c>
      <c r="B114" s="48" t="s">
        <v>522</v>
      </c>
      <c r="C114" s="180">
        <v>10338261</v>
      </c>
      <c r="D114" s="180">
        <v>9625585</v>
      </c>
      <c r="E114" s="180">
        <v>9056904</v>
      </c>
      <c r="F114" s="28"/>
    </row>
    <row r="115" spans="1:6" ht="24" customHeight="1">
      <c r="A115" s="17">
        <v>19</v>
      </c>
      <c r="B115" s="48" t="s">
        <v>259</v>
      </c>
      <c r="C115" s="180">
        <v>0</v>
      </c>
      <c r="D115" s="180">
        <v>0</v>
      </c>
      <c r="E115" s="180">
        <v>1162266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523</v>
      </c>
      <c r="B117" s="30" t="s">
        <v>524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525</v>
      </c>
      <c r="C119" s="197">
        <f>IF(+C121=0,0,(+C120)/(+C121))</f>
        <v>17.345449394245318</v>
      </c>
      <c r="D119" s="197">
        <f>IF(+D121=0,0,(+D120)/(+D121))</f>
        <v>19.602885538904907</v>
      </c>
      <c r="E119" s="197">
        <f>IF(+E121=0,0,(+E120)/(+E121))</f>
        <v>21.793407217300746</v>
      </c>
    </row>
    <row r="120" spans="1:6" ht="24" customHeight="1">
      <c r="A120" s="17">
        <v>21</v>
      </c>
      <c r="B120" s="48" t="s">
        <v>526</v>
      </c>
      <c r="C120" s="180">
        <v>179321783</v>
      </c>
      <c r="D120" s="180">
        <v>188689241</v>
      </c>
      <c r="E120" s="180">
        <v>197380797</v>
      </c>
      <c r="F120" s="28"/>
    </row>
    <row r="121" spans="1:6" ht="24" customHeight="1">
      <c r="A121" s="17">
        <v>22</v>
      </c>
      <c r="B121" s="48" t="s">
        <v>522</v>
      </c>
      <c r="C121" s="180">
        <v>10338261</v>
      </c>
      <c r="D121" s="180">
        <v>9625585</v>
      </c>
      <c r="E121" s="180">
        <v>9056904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527</v>
      </c>
      <c r="B123" s="30" t="s">
        <v>528</v>
      </c>
      <c r="C123" s="27"/>
      <c r="D123" s="27"/>
      <c r="E123" s="53"/>
    </row>
    <row r="124" spans="1:5" ht="24" customHeight="1">
      <c r="A124" s="44">
        <v>1</v>
      </c>
      <c r="B124" s="48" t="s">
        <v>529</v>
      </c>
      <c r="C124" s="198">
        <v>71532</v>
      </c>
      <c r="D124" s="198">
        <v>70997</v>
      </c>
      <c r="E124" s="198">
        <v>67682</v>
      </c>
    </row>
    <row r="125" spans="1:5" ht="24" customHeight="1">
      <c r="A125" s="44">
        <v>2</v>
      </c>
      <c r="B125" s="48" t="s">
        <v>530</v>
      </c>
      <c r="C125" s="198">
        <v>14584</v>
      </c>
      <c r="D125" s="198">
        <v>14736</v>
      </c>
      <c r="E125" s="198">
        <v>13916</v>
      </c>
    </row>
    <row r="126" spans="1:5" ht="24" customHeight="1">
      <c r="A126" s="44">
        <v>3</v>
      </c>
      <c r="B126" s="48" t="s">
        <v>531</v>
      </c>
      <c r="C126" s="199">
        <f>IF(C125=0,0,C124/C125)</f>
        <v>4.904827207899068</v>
      </c>
      <c r="D126" s="199">
        <f>IF(D125=0,0,D124/D125)</f>
        <v>4.81792888165038</v>
      </c>
      <c r="E126" s="199">
        <f>IF(E125=0,0,E124/E125)</f>
        <v>4.863610232825525</v>
      </c>
    </row>
    <row r="127" spans="1:5" ht="24" customHeight="1">
      <c r="A127" s="44">
        <v>4</v>
      </c>
      <c r="B127" s="48" t="s">
        <v>532</v>
      </c>
      <c r="C127" s="198">
        <v>235</v>
      </c>
      <c r="D127" s="198">
        <v>238</v>
      </c>
      <c r="E127" s="198">
        <v>214</v>
      </c>
    </row>
    <row r="128" spans="1:8" ht="24" customHeight="1">
      <c r="A128" s="44">
        <v>5</v>
      </c>
      <c r="B128" s="48" t="s">
        <v>533</v>
      </c>
      <c r="C128" s="198">
        <v>0</v>
      </c>
      <c r="D128" s="198">
        <v>0</v>
      </c>
      <c r="E128" s="198">
        <v>292</v>
      </c>
      <c r="G128" s="6"/>
      <c r="H128" s="12"/>
    </row>
    <row r="129" spans="1:8" ht="24" customHeight="1">
      <c r="A129" s="44">
        <v>6</v>
      </c>
      <c r="B129" s="48" t="s">
        <v>534</v>
      </c>
      <c r="C129" s="198">
        <v>393</v>
      </c>
      <c r="D129" s="198">
        <v>292</v>
      </c>
      <c r="E129" s="198">
        <v>393</v>
      </c>
      <c r="G129" s="6"/>
      <c r="H129" s="12"/>
    </row>
    <row r="130" spans="1:5" ht="24" customHeight="1">
      <c r="A130" s="44">
        <v>6</v>
      </c>
      <c r="B130" s="48" t="s">
        <v>535</v>
      </c>
      <c r="C130" s="171">
        <v>0.8339</v>
      </c>
      <c r="D130" s="171">
        <v>0.8172</v>
      </c>
      <c r="E130" s="171">
        <v>0.8664</v>
      </c>
    </row>
    <row r="131" spans="1:5" ht="24" customHeight="1">
      <c r="A131" s="44">
        <v>7</v>
      </c>
      <c r="B131" s="48" t="s">
        <v>536</v>
      </c>
      <c r="C131" s="171">
        <v>0.4986</v>
      </c>
      <c r="D131" s="171">
        <v>0.6661</v>
      </c>
      <c r="E131" s="171">
        <v>0.635</v>
      </c>
    </row>
    <row r="132" spans="1:5" ht="24" customHeight="1">
      <c r="A132" s="44">
        <v>8</v>
      </c>
      <c r="B132" s="48" t="s">
        <v>537</v>
      </c>
      <c r="C132" s="199">
        <v>1647.9</v>
      </c>
      <c r="D132" s="199">
        <v>1625</v>
      </c>
      <c r="E132" s="199">
        <v>1589.2</v>
      </c>
    </row>
    <row r="133" ht="24" customHeight="1">
      <c r="B133" s="55"/>
    </row>
    <row r="134" spans="1:6" ht="19.5" customHeight="1">
      <c r="A134" s="200" t="s">
        <v>169</v>
      </c>
      <c r="B134" s="30" t="s">
        <v>538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539</v>
      </c>
      <c r="C135" s="203">
        <f>IF(C149=0,0,C143/C149)</f>
        <v>0.35804854618671345</v>
      </c>
      <c r="D135" s="203">
        <f>IF(D149=0,0,D143/D149)</f>
        <v>0.33418648724224775</v>
      </c>
      <c r="E135" s="203">
        <f>IF(E149=0,0,E143/E149)</f>
        <v>0.32590927595260977</v>
      </c>
      <c r="G135" s="6"/>
    </row>
    <row r="136" spans="1:5" ht="19.5" customHeight="1">
      <c r="A136" s="202">
        <v>2</v>
      </c>
      <c r="B136" s="195" t="s">
        <v>540</v>
      </c>
      <c r="C136" s="203">
        <f>IF(C149=0,0,C144/C149)</f>
        <v>0.45118893212356864</v>
      </c>
      <c r="D136" s="203">
        <f>IF(D149=0,0,D144/D149)</f>
        <v>0.4689295144888197</v>
      </c>
      <c r="E136" s="203">
        <f>IF(E149=0,0,E144/E149)</f>
        <v>0.47901530227089895</v>
      </c>
    </row>
    <row r="137" spans="1:7" ht="19.5" customHeight="1">
      <c r="A137" s="202">
        <v>3</v>
      </c>
      <c r="B137" s="195" t="s">
        <v>541</v>
      </c>
      <c r="C137" s="203">
        <f>IF(C149=0,0,C145/C149)</f>
        <v>0.12599905655027505</v>
      </c>
      <c r="D137" s="203">
        <f>IF(D149=0,0,D145/D149)</f>
        <v>0.13186184210457705</v>
      </c>
      <c r="E137" s="203">
        <f>IF(E149=0,0,E145/E149)</f>
        <v>0.12727395808076702</v>
      </c>
      <c r="G137" s="6"/>
    </row>
    <row r="138" spans="1:7" ht="19.5" customHeight="1">
      <c r="A138" s="202">
        <v>4</v>
      </c>
      <c r="B138" s="195" t="s">
        <v>542</v>
      </c>
      <c r="C138" s="203">
        <f>IF(C149=0,0,C146/C149)</f>
        <v>0.03986778217314371</v>
      </c>
      <c r="D138" s="203">
        <f>IF(D149=0,0,D146/D149)</f>
        <v>0.03657206795180734</v>
      </c>
      <c r="E138" s="203">
        <f>IF(E149=0,0,E146/E149)</f>
        <v>0.04263504642655064</v>
      </c>
      <c r="G138" s="6"/>
    </row>
    <row r="139" spans="1:5" ht="19.5" customHeight="1">
      <c r="A139" s="202">
        <v>5</v>
      </c>
      <c r="B139" s="195" t="s">
        <v>543</v>
      </c>
      <c r="C139" s="203">
        <f>IF(C149=0,0,C147/C149)</f>
        <v>0.024111759912781302</v>
      </c>
      <c r="D139" s="203">
        <f>IF(D149=0,0,D147/D149)</f>
        <v>0.02761403435260552</v>
      </c>
      <c r="E139" s="203">
        <f>IF(E149=0,0,E147/E149)</f>
        <v>0.0236669728290906</v>
      </c>
    </row>
    <row r="140" spans="1:5" ht="19.5" customHeight="1">
      <c r="A140" s="202">
        <v>6</v>
      </c>
      <c r="B140" s="195" t="s">
        <v>544</v>
      </c>
      <c r="C140" s="203">
        <f>IF(C149=0,0,C148/C149)</f>
        <v>0.0007839230535178426</v>
      </c>
      <c r="D140" s="203">
        <f>IF(D149=0,0,D148/D149)</f>
        <v>0.0008360538599426476</v>
      </c>
      <c r="E140" s="203">
        <f>IF(E149=0,0,E148/E149)</f>
        <v>0.0014994444400830552</v>
      </c>
    </row>
    <row r="141" spans="1:5" ht="19.5" customHeight="1">
      <c r="A141" s="202">
        <v>7</v>
      </c>
      <c r="B141" s="195" t="s">
        <v>545</v>
      </c>
      <c r="C141" s="203">
        <f>SUM(C135:C140)</f>
        <v>0.9999999999999999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546</v>
      </c>
      <c r="C143" s="204">
        <f>+C46-C147</f>
        <v>236813442</v>
      </c>
      <c r="D143" s="205">
        <f>+D46-D147</f>
        <v>237128411</v>
      </c>
      <c r="E143" s="205">
        <f>+E46-E147</f>
        <v>275365397</v>
      </c>
    </row>
    <row r="144" spans="1:5" ht="19.5" customHeight="1">
      <c r="A144" s="202">
        <v>9</v>
      </c>
      <c r="B144" s="201" t="s">
        <v>547</v>
      </c>
      <c r="C144" s="206">
        <f>+C51</f>
        <v>298416528</v>
      </c>
      <c r="D144" s="205">
        <f>+D51</f>
        <v>332737902</v>
      </c>
      <c r="E144" s="205">
        <f>+E51</f>
        <v>404726863</v>
      </c>
    </row>
    <row r="145" spans="1:5" ht="19.5" customHeight="1">
      <c r="A145" s="202">
        <v>10</v>
      </c>
      <c r="B145" s="201" t="s">
        <v>548</v>
      </c>
      <c r="C145" s="206">
        <f>+C55</f>
        <v>83335823</v>
      </c>
      <c r="D145" s="205">
        <f>+D55</f>
        <v>93565091</v>
      </c>
      <c r="E145" s="205">
        <f>+E55</f>
        <v>107535583</v>
      </c>
    </row>
    <row r="146" spans="1:5" ht="19.5" customHeight="1">
      <c r="A146" s="202">
        <v>11</v>
      </c>
      <c r="B146" s="201" t="s">
        <v>549</v>
      </c>
      <c r="C146" s="204">
        <v>26368566</v>
      </c>
      <c r="D146" s="205">
        <v>25950410</v>
      </c>
      <c r="E146" s="205">
        <v>36022959</v>
      </c>
    </row>
    <row r="147" spans="1:5" ht="19.5" customHeight="1">
      <c r="A147" s="202">
        <v>12</v>
      </c>
      <c r="B147" s="201" t="s">
        <v>550</v>
      </c>
      <c r="C147" s="206">
        <f>+C47</f>
        <v>15947527</v>
      </c>
      <c r="D147" s="205">
        <f>+D47</f>
        <v>19594066</v>
      </c>
      <c r="E147" s="205">
        <f>+E47</f>
        <v>19996563</v>
      </c>
    </row>
    <row r="148" spans="1:5" ht="19.5" customHeight="1">
      <c r="A148" s="202">
        <v>13</v>
      </c>
      <c r="B148" s="201" t="s">
        <v>551</v>
      </c>
      <c r="C148" s="206">
        <v>518487</v>
      </c>
      <c r="D148" s="205">
        <v>593238</v>
      </c>
      <c r="E148" s="205">
        <v>1266902</v>
      </c>
    </row>
    <row r="149" spans="1:5" ht="19.5" customHeight="1">
      <c r="A149" s="202">
        <v>14</v>
      </c>
      <c r="B149" s="201" t="s">
        <v>552</v>
      </c>
      <c r="C149" s="204">
        <f>SUM(C143:C148)</f>
        <v>661400373</v>
      </c>
      <c r="D149" s="205">
        <f>SUM(D143:D148)</f>
        <v>709569118</v>
      </c>
      <c r="E149" s="205">
        <f>SUM(E143:E148)</f>
        <v>844914267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553</v>
      </c>
      <c r="B151" s="30" t="s">
        <v>554</v>
      </c>
      <c r="C151" s="201"/>
      <c r="D151" s="201"/>
      <c r="E151" s="201"/>
    </row>
    <row r="152" spans="1:5" ht="19.5" customHeight="1">
      <c r="A152" s="202">
        <v>1</v>
      </c>
      <c r="B152" s="195" t="s">
        <v>555</v>
      </c>
      <c r="C152" s="203">
        <f>IF(C166=0,0,C160/C166)</f>
        <v>0.4344614357532156</v>
      </c>
      <c r="D152" s="203">
        <f>IF(D166=0,0,D160/D166)</f>
        <v>0.42030582265547933</v>
      </c>
      <c r="E152" s="203">
        <f>IF(E166=0,0,E160/E166)</f>
        <v>0.3970725369166439</v>
      </c>
    </row>
    <row r="153" spans="1:5" ht="19.5" customHeight="1">
      <c r="A153" s="202">
        <v>2</v>
      </c>
      <c r="B153" s="195" t="s">
        <v>556</v>
      </c>
      <c r="C153" s="203">
        <f>IF(C166=0,0,C161/C166)</f>
        <v>0.44841035868861245</v>
      </c>
      <c r="D153" s="203">
        <f>IF(D166=0,0,D161/D166)</f>
        <v>0.4665093818608648</v>
      </c>
      <c r="E153" s="203">
        <f>IF(E166=0,0,E161/E166)</f>
        <v>0.47116482628611234</v>
      </c>
    </row>
    <row r="154" spans="1:5" ht="19.5" customHeight="1">
      <c r="A154" s="202">
        <v>3</v>
      </c>
      <c r="B154" s="195" t="s">
        <v>557</v>
      </c>
      <c r="C154" s="203">
        <f>IF(C166=0,0,C162/C166)</f>
        <v>0.09960072089109508</v>
      </c>
      <c r="D154" s="203">
        <f>IF(D166=0,0,D162/D166)</f>
        <v>0.0961358188000722</v>
      </c>
      <c r="E154" s="203">
        <f>IF(E166=0,0,E162/E166)</f>
        <v>0.09664263967369847</v>
      </c>
    </row>
    <row r="155" spans="1:7" ht="19.5" customHeight="1">
      <c r="A155" s="202">
        <v>4</v>
      </c>
      <c r="B155" s="195" t="s">
        <v>558</v>
      </c>
      <c r="C155" s="203">
        <f>IF(C166=0,0,C163/C166)</f>
        <v>0.012598246010507982</v>
      </c>
      <c r="D155" s="203">
        <f>IF(D166=0,0,D163/D166)</f>
        <v>0.011062328308526768</v>
      </c>
      <c r="E155" s="203">
        <f>IF(E166=0,0,E163/E166)</f>
        <v>0.01313729075730425</v>
      </c>
      <c r="G155" s="6"/>
    </row>
    <row r="156" spans="1:5" ht="19.5" customHeight="1">
      <c r="A156" s="202">
        <v>5</v>
      </c>
      <c r="B156" s="195" t="s">
        <v>559</v>
      </c>
      <c r="C156" s="203">
        <f>IF(C166=0,0,C164/C166)</f>
        <v>0.004325570287534278</v>
      </c>
      <c r="D156" s="203">
        <f>IF(D166=0,0,D164/D166)</f>
        <v>0.005213576639342675</v>
      </c>
      <c r="E156" s="203">
        <f>IF(E166=0,0,E164/E166)</f>
        <v>0.020887923942711266</v>
      </c>
    </row>
    <row r="157" spans="1:5" ht="19.5" customHeight="1">
      <c r="A157" s="202">
        <v>6</v>
      </c>
      <c r="B157" s="195" t="s">
        <v>560</v>
      </c>
      <c r="C157" s="203">
        <f>IF(C166=0,0,C165/C166)</f>
        <v>0.0006036683690346117</v>
      </c>
      <c r="D157" s="203">
        <f>IF(D166=0,0,D165/D166)</f>
        <v>0.0007730717357141912</v>
      </c>
      <c r="E157" s="203">
        <f>IF(E166=0,0,E165/E166)</f>
        <v>0.0010947824235297571</v>
      </c>
    </row>
    <row r="158" spans="1:5" ht="19.5" customHeight="1">
      <c r="A158" s="202">
        <v>7</v>
      </c>
      <c r="B158" s="195" t="s">
        <v>561</v>
      </c>
      <c r="C158" s="203">
        <f>SUM(C152:C157)</f>
        <v>1</v>
      </c>
      <c r="D158" s="203">
        <f>SUM(D152:D157)</f>
        <v>0.9999999999999999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562</v>
      </c>
      <c r="C160" s="207">
        <f>+C44-C164</f>
        <v>86225358</v>
      </c>
      <c r="D160" s="208">
        <f>+D44-D164</f>
        <v>85526201</v>
      </c>
      <c r="E160" s="208">
        <f>+E44-E164</f>
        <v>88844049</v>
      </c>
    </row>
    <row r="161" spans="1:5" ht="19.5" customHeight="1">
      <c r="A161" s="202">
        <v>9</v>
      </c>
      <c r="B161" s="201" t="s">
        <v>563</v>
      </c>
      <c r="C161" s="209">
        <f>+C50</f>
        <v>88993730</v>
      </c>
      <c r="D161" s="208">
        <f>+D50</f>
        <v>94927962</v>
      </c>
      <c r="E161" s="208">
        <f>+E50</f>
        <v>105422025</v>
      </c>
    </row>
    <row r="162" spans="1:5" ht="19.5" customHeight="1">
      <c r="A162" s="202">
        <v>10</v>
      </c>
      <c r="B162" s="201" t="s">
        <v>564</v>
      </c>
      <c r="C162" s="209">
        <f>+C54</f>
        <v>19767250</v>
      </c>
      <c r="D162" s="208">
        <f>+D54</f>
        <v>19562259</v>
      </c>
      <c r="E162" s="208">
        <f>+E54</f>
        <v>21623564</v>
      </c>
    </row>
    <row r="163" spans="1:5" ht="19.5" customHeight="1">
      <c r="A163" s="202">
        <v>11</v>
      </c>
      <c r="B163" s="201" t="s">
        <v>565</v>
      </c>
      <c r="C163" s="207">
        <v>2500310</v>
      </c>
      <c r="D163" s="208">
        <v>2251025</v>
      </c>
      <c r="E163" s="208">
        <v>2939438</v>
      </c>
    </row>
    <row r="164" spans="1:5" ht="19.5" customHeight="1">
      <c r="A164" s="202">
        <v>12</v>
      </c>
      <c r="B164" s="201" t="s">
        <v>566</v>
      </c>
      <c r="C164" s="209">
        <f>+C45</f>
        <v>858474</v>
      </c>
      <c r="D164" s="208">
        <f>+D45</f>
        <v>1060888</v>
      </c>
      <c r="E164" s="208">
        <f>+E45</f>
        <v>4673624</v>
      </c>
    </row>
    <row r="165" spans="1:5" ht="19.5" customHeight="1">
      <c r="A165" s="202">
        <v>13</v>
      </c>
      <c r="B165" s="201" t="s">
        <v>567</v>
      </c>
      <c r="C165" s="209">
        <v>119807</v>
      </c>
      <c r="D165" s="208">
        <v>157309</v>
      </c>
      <c r="E165" s="208">
        <v>244955</v>
      </c>
    </row>
    <row r="166" spans="1:5" ht="19.5" customHeight="1">
      <c r="A166" s="202">
        <v>14</v>
      </c>
      <c r="B166" s="201" t="s">
        <v>568</v>
      </c>
      <c r="C166" s="207">
        <f>SUM(C160:C165)</f>
        <v>198464929</v>
      </c>
      <c r="D166" s="208">
        <f>SUM(D160:D165)</f>
        <v>203485644</v>
      </c>
      <c r="E166" s="208">
        <f>SUM(E160:E165)</f>
        <v>223747655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569</v>
      </c>
      <c r="B168" s="30" t="s">
        <v>530</v>
      </c>
      <c r="C168" s="201"/>
      <c r="D168" s="201"/>
      <c r="E168" s="201"/>
    </row>
    <row r="169" spans="1:5" ht="19.5" customHeight="1">
      <c r="A169" s="202">
        <v>1</v>
      </c>
      <c r="B169" s="201" t="s">
        <v>570</v>
      </c>
      <c r="C169" s="198">
        <v>5265</v>
      </c>
      <c r="D169" s="198">
        <v>4942</v>
      </c>
      <c r="E169" s="198">
        <v>4524</v>
      </c>
    </row>
    <row r="170" spans="1:5" ht="19.5" customHeight="1">
      <c r="A170" s="202">
        <v>2</v>
      </c>
      <c r="B170" s="201" t="s">
        <v>571</v>
      </c>
      <c r="C170" s="198">
        <v>6299</v>
      </c>
      <c r="D170" s="198">
        <v>6566</v>
      </c>
      <c r="E170" s="198">
        <v>6496</v>
      </c>
    </row>
    <row r="171" spans="1:5" ht="19.5" customHeight="1">
      <c r="A171" s="202">
        <v>3</v>
      </c>
      <c r="B171" s="201" t="s">
        <v>572</v>
      </c>
      <c r="C171" s="198">
        <v>3009</v>
      </c>
      <c r="D171" s="198">
        <v>3216</v>
      </c>
      <c r="E171" s="198">
        <v>2881</v>
      </c>
    </row>
    <row r="172" spans="1:5" ht="19.5" customHeight="1">
      <c r="A172" s="202">
        <v>4</v>
      </c>
      <c r="B172" s="201" t="s">
        <v>573</v>
      </c>
      <c r="C172" s="198">
        <v>2496</v>
      </c>
      <c r="D172" s="198">
        <v>2730</v>
      </c>
      <c r="E172" s="198">
        <v>2363</v>
      </c>
    </row>
    <row r="173" spans="1:5" ht="19.5" customHeight="1">
      <c r="A173" s="202">
        <v>5</v>
      </c>
      <c r="B173" s="201" t="s">
        <v>574</v>
      </c>
      <c r="C173" s="198">
        <v>513</v>
      </c>
      <c r="D173" s="198">
        <v>486</v>
      </c>
      <c r="E173" s="198">
        <v>518</v>
      </c>
    </row>
    <row r="174" spans="1:5" ht="19.5" customHeight="1">
      <c r="A174" s="202">
        <v>6</v>
      </c>
      <c r="B174" s="201" t="s">
        <v>575</v>
      </c>
      <c r="C174" s="198">
        <v>11</v>
      </c>
      <c r="D174" s="198">
        <v>12</v>
      </c>
      <c r="E174" s="198">
        <v>15</v>
      </c>
    </row>
    <row r="175" spans="1:5" ht="19.5" customHeight="1">
      <c r="A175" s="202">
        <v>7</v>
      </c>
      <c r="B175" s="201" t="s">
        <v>576</v>
      </c>
      <c r="C175" s="198">
        <v>345</v>
      </c>
      <c r="D175" s="198">
        <v>335</v>
      </c>
      <c r="E175" s="198">
        <v>265</v>
      </c>
    </row>
    <row r="176" spans="1:5" ht="19.5" customHeight="1">
      <c r="A176" s="202">
        <v>8</v>
      </c>
      <c r="B176" s="201" t="s">
        <v>577</v>
      </c>
      <c r="C176" s="198">
        <f>+C169+C170+C171+C174</f>
        <v>14584</v>
      </c>
      <c r="D176" s="198">
        <f>+D169+D170+D171+D174</f>
        <v>14736</v>
      </c>
      <c r="E176" s="198">
        <f>+E169+E170+E171+E174</f>
        <v>13916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578</v>
      </c>
      <c r="B178" s="30" t="s">
        <v>579</v>
      </c>
      <c r="C178" s="201"/>
      <c r="D178" s="201"/>
      <c r="E178" s="201"/>
    </row>
    <row r="179" spans="1:5" ht="19.5" customHeight="1">
      <c r="A179" s="202">
        <v>1</v>
      </c>
      <c r="B179" s="201" t="s">
        <v>570</v>
      </c>
      <c r="C179" s="210">
        <v>1.14065</v>
      </c>
      <c r="D179" s="210">
        <v>1.1925</v>
      </c>
      <c r="E179" s="210">
        <v>1.29365</v>
      </c>
    </row>
    <row r="180" spans="1:5" ht="19.5" customHeight="1">
      <c r="A180" s="202">
        <v>2</v>
      </c>
      <c r="B180" s="201" t="s">
        <v>571</v>
      </c>
      <c r="C180" s="210">
        <v>1.44707</v>
      </c>
      <c r="D180" s="210">
        <v>1.5816</v>
      </c>
      <c r="E180" s="210">
        <v>1.5927</v>
      </c>
    </row>
    <row r="181" spans="1:5" ht="19.5" customHeight="1">
      <c r="A181" s="202">
        <v>3</v>
      </c>
      <c r="B181" s="201" t="s">
        <v>572</v>
      </c>
      <c r="C181" s="210">
        <v>0.907694</v>
      </c>
      <c r="D181" s="210">
        <v>1.005844</v>
      </c>
      <c r="E181" s="210">
        <v>1.755999</v>
      </c>
    </row>
    <row r="182" spans="1:5" ht="19.5" customHeight="1">
      <c r="A182" s="202">
        <v>4</v>
      </c>
      <c r="B182" s="201" t="s">
        <v>573</v>
      </c>
      <c r="C182" s="210">
        <v>0.87372</v>
      </c>
      <c r="D182" s="210">
        <v>0.9802</v>
      </c>
      <c r="E182" s="210">
        <v>1.8863</v>
      </c>
    </row>
    <row r="183" spans="1:5" ht="19.5" customHeight="1">
      <c r="A183" s="202">
        <v>5</v>
      </c>
      <c r="B183" s="201" t="s">
        <v>574</v>
      </c>
      <c r="C183" s="210">
        <v>1.073</v>
      </c>
      <c r="D183" s="210">
        <v>1.1499</v>
      </c>
      <c r="E183" s="210">
        <v>1.1616</v>
      </c>
    </row>
    <row r="184" spans="1:5" ht="19.5" customHeight="1">
      <c r="A184" s="202">
        <v>6</v>
      </c>
      <c r="B184" s="201" t="s">
        <v>575</v>
      </c>
      <c r="C184" s="210">
        <v>1.19</v>
      </c>
      <c r="D184" s="210">
        <v>1.3294</v>
      </c>
      <c r="E184" s="210">
        <v>1.6601</v>
      </c>
    </row>
    <row r="185" spans="1:5" ht="19.5" customHeight="1">
      <c r="A185" s="202">
        <v>7</v>
      </c>
      <c r="B185" s="201" t="s">
        <v>576</v>
      </c>
      <c r="C185" s="210">
        <v>1.0742</v>
      </c>
      <c r="D185" s="210">
        <v>1.119</v>
      </c>
      <c r="E185" s="210">
        <v>1.1466</v>
      </c>
    </row>
    <row r="186" spans="1:5" ht="19.5" customHeight="1">
      <c r="A186" s="202">
        <v>8</v>
      </c>
      <c r="B186" s="201" t="s">
        <v>580</v>
      </c>
      <c r="C186" s="210">
        <v>1.224969</v>
      </c>
      <c r="D186" s="210">
        <v>1.325249</v>
      </c>
      <c r="E186" s="210">
        <v>1.529361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581</v>
      </c>
      <c r="B188" s="30" t="s">
        <v>582</v>
      </c>
      <c r="C188" s="201"/>
      <c r="D188" s="201"/>
      <c r="E188" s="201"/>
    </row>
    <row r="189" spans="1:5" ht="19.5" customHeight="1">
      <c r="A189" s="202">
        <v>1</v>
      </c>
      <c r="B189" s="201" t="s">
        <v>583</v>
      </c>
      <c r="C189" s="198">
        <v>9065</v>
      </c>
      <c r="D189" s="198">
        <v>9294</v>
      </c>
      <c r="E189" s="198">
        <v>8895</v>
      </c>
    </row>
    <row r="190" spans="1:5" ht="19.5" customHeight="1">
      <c r="A190" s="202">
        <v>2</v>
      </c>
      <c r="B190" s="201" t="s">
        <v>584</v>
      </c>
      <c r="C190" s="198">
        <v>44759</v>
      </c>
      <c r="D190" s="198">
        <v>45166</v>
      </c>
      <c r="E190" s="198">
        <v>49237</v>
      </c>
    </row>
    <row r="191" spans="1:5" ht="19.5" customHeight="1">
      <c r="A191" s="202">
        <v>3</v>
      </c>
      <c r="B191" s="201" t="s">
        <v>585</v>
      </c>
      <c r="C191" s="198">
        <f>+C190+C189</f>
        <v>53824</v>
      </c>
      <c r="D191" s="198">
        <f>+D190+D189</f>
        <v>54460</v>
      </c>
      <c r="E191" s="198">
        <f>+E190+E189</f>
        <v>58132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FILING&amp;RWATERBURY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157</v>
      </c>
      <c r="B2" s="660"/>
      <c r="C2" s="660"/>
      <c r="D2" s="660"/>
      <c r="E2" s="660"/>
      <c r="F2" s="660"/>
    </row>
    <row r="3" spans="1:6" ht="20.25" customHeight="1">
      <c r="A3" s="660" t="s">
        <v>158</v>
      </c>
      <c r="B3" s="660"/>
      <c r="C3" s="660"/>
      <c r="D3" s="660"/>
      <c r="E3" s="660"/>
      <c r="F3" s="660"/>
    </row>
    <row r="4" spans="1:6" ht="20.25" customHeight="1">
      <c r="A4" s="660" t="s">
        <v>159</v>
      </c>
      <c r="B4" s="660"/>
      <c r="C4" s="660"/>
      <c r="D4" s="660"/>
      <c r="E4" s="660"/>
      <c r="F4" s="660"/>
    </row>
    <row r="5" spans="1:6" ht="20.25" customHeight="1">
      <c r="A5" s="660" t="s">
        <v>586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311</v>
      </c>
      <c r="B8" s="221" t="s">
        <v>166</v>
      </c>
      <c r="C8" s="222" t="s">
        <v>587</v>
      </c>
      <c r="D8" s="223" t="s">
        <v>588</v>
      </c>
      <c r="E8" s="223" t="s">
        <v>589</v>
      </c>
      <c r="F8" s="224" t="s">
        <v>265</v>
      </c>
      <c r="G8" s="212"/>
    </row>
    <row r="9" spans="1:7" ht="20.25" customHeight="1">
      <c r="A9" s="225"/>
      <c r="B9" s="226"/>
      <c r="C9" s="661"/>
      <c r="D9" s="687"/>
      <c r="E9" s="687"/>
      <c r="F9" s="688"/>
      <c r="G9" s="212"/>
    </row>
    <row r="10" spans="1:6" ht="20.25" customHeight="1">
      <c r="A10" s="689" t="s">
        <v>169</v>
      </c>
      <c r="B10" s="690" t="s">
        <v>270</v>
      </c>
      <c r="C10" s="692"/>
      <c r="D10" s="693"/>
      <c r="E10" s="693"/>
      <c r="F10" s="694"/>
    </row>
    <row r="11" spans="1:6" ht="20.25" customHeight="1">
      <c r="A11" s="677"/>
      <c r="B11" s="691"/>
      <c r="C11" s="683"/>
      <c r="D11" s="684"/>
      <c r="E11" s="684"/>
      <c r="F11" s="685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267</v>
      </c>
      <c r="B13" s="231" t="s">
        <v>590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591</v>
      </c>
      <c r="C14" s="237">
        <v>739390</v>
      </c>
      <c r="D14" s="237">
        <v>873350</v>
      </c>
      <c r="E14" s="237">
        <f aca="true" t="shared" si="0" ref="E14:E24">D14-C14</f>
        <v>133960</v>
      </c>
      <c r="F14" s="238">
        <f aca="true" t="shared" si="1" ref="F14:F24">IF(C14=0,0,E14/C14)</f>
        <v>0.18117637512003137</v>
      </c>
    </row>
    <row r="15" spans="1:6" ht="20.25" customHeight="1">
      <c r="A15" s="235">
        <v>2</v>
      </c>
      <c r="B15" s="236" t="s">
        <v>592</v>
      </c>
      <c r="C15" s="237">
        <v>217915</v>
      </c>
      <c r="D15" s="237">
        <v>264902</v>
      </c>
      <c r="E15" s="237">
        <f t="shared" si="0"/>
        <v>46987</v>
      </c>
      <c r="F15" s="238">
        <f t="shared" si="1"/>
        <v>0.21562076956611523</v>
      </c>
    </row>
    <row r="16" spans="1:6" ht="20.25" customHeight="1">
      <c r="A16" s="235">
        <v>3</v>
      </c>
      <c r="B16" s="236" t="s">
        <v>593</v>
      </c>
      <c r="C16" s="237">
        <v>270667</v>
      </c>
      <c r="D16" s="237">
        <v>322857</v>
      </c>
      <c r="E16" s="237">
        <f t="shared" si="0"/>
        <v>52190</v>
      </c>
      <c r="F16" s="238">
        <f t="shared" si="1"/>
        <v>0.19281995958133055</v>
      </c>
    </row>
    <row r="17" spans="1:6" ht="20.25" customHeight="1">
      <c r="A17" s="235">
        <v>4</v>
      </c>
      <c r="B17" s="236" t="s">
        <v>594</v>
      </c>
      <c r="C17" s="237">
        <v>70678</v>
      </c>
      <c r="D17" s="237">
        <v>71397</v>
      </c>
      <c r="E17" s="237">
        <f t="shared" si="0"/>
        <v>719</v>
      </c>
      <c r="F17" s="238">
        <f t="shared" si="1"/>
        <v>0.01017289679956988</v>
      </c>
    </row>
    <row r="18" spans="1:6" ht="20.25" customHeight="1">
      <c r="A18" s="235">
        <v>5</v>
      </c>
      <c r="B18" s="236" t="s">
        <v>530</v>
      </c>
      <c r="C18" s="239">
        <v>17</v>
      </c>
      <c r="D18" s="239">
        <v>23</v>
      </c>
      <c r="E18" s="239">
        <f t="shared" si="0"/>
        <v>6</v>
      </c>
      <c r="F18" s="238">
        <f t="shared" si="1"/>
        <v>0.35294117647058826</v>
      </c>
    </row>
    <row r="19" spans="1:6" ht="20.25" customHeight="1">
      <c r="A19" s="235">
        <v>6</v>
      </c>
      <c r="B19" s="236" t="s">
        <v>529</v>
      </c>
      <c r="C19" s="239">
        <v>112</v>
      </c>
      <c r="D19" s="239">
        <v>83</v>
      </c>
      <c r="E19" s="239">
        <f t="shared" si="0"/>
        <v>-29</v>
      </c>
      <c r="F19" s="238">
        <f t="shared" si="1"/>
        <v>-0.25892857142857145</v>
      </c>
    </row>
    <row r="20" spans="1:6" ht="20.25" customHeight="1">
      <c r="A20" s="235">
        <v>7</v>
      </c>
      <c r="B20" s="236" t="s">
        <v>595</v>
      </c>
      <c r="C20" s="239">
        <v>122</v>
      </c>
      <c r="D20" s="239">
        <v>162</v>
      </c>
      <c r="E20" s="239">
        <f t="shared" si="0"/>
        <v>40</v>
      </c>
      <c r="F20" s="238">
        <f t="shared" si="1"/>
        <v>0.32786885245901637</v>
      </c>
    </row>
    <row r="21" spans="1:6" ht="20.25" customHeight="1">
      <c r="A21" s="235">
        <v>8</v>
      </c>
      <c r="B21" s="236" t="s">
        <v>596</v>
      </c>
      <c r="C21" s="239">
        <v>18</v>
      </c>
      <c r="D21" s="239">
        <v>19</v>
      </c>
      <c r="E21" s="239">
        <f t="shared" si="0"/>
        <v>1</v>
      </c>
      <c r="F21" s="238">
        <f t="shared" si="1"/>
        <v>0.05555555555555555</v>
      </c>
    </row>
    <row r="22" spans="1:6" ht="20.25" customHeight="1">
      <c r="A22" s="235">
        <v>9</v>
      </c>
      <c r="B22" s="236" t="s">
        <v>597</v>
      </c>
      <c r="C22" s="239">
        <v>13</v>
      </c>
      <c r="D22" s="239">
        <v>12</v>
      </c>
      <c r="E22" s="239">
        <f t="shared" si="0"/>
        <v>-1</v>
      </c>
      <c r="F22" s="238">
        <f t="shared" si="1"/>
        <v>-0.07692307692307693</v>
      </c>
    </row>
    <row r="23" spans="1:6" s="240" customFormat="1" ht="20.25" customHeight="1">
      <c r="A23" s="241"/>
      <c r="B23" s="242" t="s">
        <v>598</v>
      </c>
      <c r="C23" s="243">
        <f>+C14+C16</f>
        <v>1010057</v>
      </c>
      <c r="D23" s="243">
        <f>+D14+D16</f>
        <v>1196207</v>
      </c>
      <c r="E23" s="243">
        <f t="shared" si="0"/>
        <v>186150</v>
      </c>
      <c r="F23" s="244">
        <f t="shared" si="1"/>
        <v>0.18429652979980338</v>
      </c>
    </row>
    <row r="24" spans="1:6" s="240" customFormat="1" ht="20.25" customHeight="1">
      <c r="A24" s="241"/>
      <c r="B24" s="242" t="s">
        <v>599</v>
      </c>
      <c r="C24" s="243">
        <f>+C15+C17</f>
        <v>288593</v>
      </c>
      <c r="D24" s="243">
        <f>+D15+D17</f>
        <v>336299</v>
      </c>
      <c r="E24" s="243">
        <f t="shared" si="0"/>
        <v>47706</v>
      </c>
      <c r="F24" s="244">
        <f t="shared" si="1"/>
        <v>0.16530546478951325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281</v>
      </c>
      <c r="B26" s="231" t="s">
        <v>600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591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592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593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594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530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529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595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596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597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598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599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298</v>
      </c>
      <c r="B39" s="231" t="s">
        <v>601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591</v>
      </c>
      <c r="C40" s="237">
        <v>284836</v>
      </c>
      <c r="D40" s="237">
        <v>4543191</v>
      </c>
      <c r="E40" s="237">
        <f aca="true" t="shared" si="4" ref="E40:E50">D40-C40</f>
        <v>4258355</v>
      </c>
      <c r="F40" s="238">
        <f aca="true" t="shared" si="5" ref="F40:F50">IF(C40=0,0,E40/C40)</f>
        <v>14.950199412995548</v>
      </c>
    </row>
    <row r="41" spans="1:6" ht="20.25" customHeight="1">
      <c r="A41" s="235">
        <v>2</v>
      </c>
      <c r="B41" s="236" t="s">
        <v>592</v>
      </c>
      <c r="C41" s="237">
        <v>77827</v>
      </c>
      <c r="D41" s="237">
        <v>986461</v>
      </c>
      <c r="E41" s="237">
        <f t="shared" si="4"/>
        <v>908634</v>
      </c>
      <c r="F41" s="238">
        <f t="shared" si="5"/>
        <v>11.67504850501754</v>
      </c>
    </row>
    <row r="42" spans="1:6" ht="20.25" customHeight="1">
      <c r="A42" s="235">
        <v>3</v>
      </c>
      <c r="B42" s="236" t="s">
        <v>593</v>
      </c>
      <c r="C42" s="237">
        <v>257993</v>
      </c>
      <c r="D42" s="237">
        <v>1909114</v>
      </c>
      <c r="E42" s="237">
        <f t="shared" si="4"/>
        <v>1651121</v>
      </c>
      <c r="F42" s="238">
        <f t="shared" si="5"/>
        <v>6.399867438263829</v>
      </c>
    </row>
    <row r="43" spans="1:6" ht="20.25" customHeight="1">
      <c r="A43" s="235">
        <v>4</v>
      </c>
      <c r="B43" s="236" t="s">
        <v>594</v>
      </c>
      <c r="C43" s="237">
        <v>45016</v>
      </c>
      <c r="D43" s="237">
        <v>345612</v>
      </c>
      <c r="E43" s="237">
        <f t="shared" si="4"/>
        <v>300596</v>
      </c>
      <c r="F43" s="238">
        <f t="shared" si="5"/>
        <v>6.677536875777501</v>
      </c>
    </row>
    <row r="44" spans="1:6" ht="20.25" customHeight="1">
      <c r="A44" s="235">
        <v>5</v>
      </c>
      <c r="B44" s="236" t="s">
        <v>530</v>
      </c>
      <c r="C44" s="239">
        <v>6</v>
      </c>
      <c r="D44" s="239">
        <v>85</v>
      </c>
      <c r="E44" s="239">
        <f t="shared" si="4"/>
        <v>79</v>
      </c>
      <c r="F44" s="238">
        <f t="shared" si="5"/>
        <v>13.166666666666666</v>
      </c>
    </row>
    <row r="45" spans="1:6" ht="20.25" customHeight="1">
      <c r="A45" s="235">
        <v>6</v>
      </c>
      <c r="B45" s="236" t="s">
        <v>529</v>
      </c>
      <c r="C45" s="239">
        <v>40</v>
      </c>
      <c r="D45" s="239">
        <v>457</v>
      </c>
      <c r="E45" s="239">
        <f t="shared" si="4"/>
        <v>417</v>
      </c>
      <c r="F45" s="238">
        <f t="shared" si="5"/>
        <v>10.425</v>
      </c>
    </row>
    <row r="46" spans="1:6" ht="20.25" customHeight="1">
      <c r="A46" s="235">
        <v>7</v>
      </c>
      <c r="B46" s="236" t="s">
        <v>595</v>
      </c>
      <c r="C46" s="239">
        <v>181</v>
      </c>
      <c r="D46" s="239">
        <v>1086</v>
      </c>
      <c r="E46" s="239">
        <f t="shared" si="4"/>
        <v>905</v>
      </c>
      <c r="F46" s="238">
        <f t="shared" si="5"/>
        <v>5</v>
      </c>
    </row>
    <row r="47" spans="1:6" ht="20.25" customHeight="1">
      <c r="A47" s="235">
        <v>8</v>
      </c>
      <c r="B47" s="236" t="s">
        <v>596</v>
      </c>
      <c r="C47" s="239">
        <v>16</v>
      </c>
      <c r="D47" s="239">
        <v>89</v>
      </c>
      <c r="E47" s="239">
        <f t="shared" si="4"/>
        <v>73</v>
      </c>
      <c r="F47" s="238">
        <f t="shared" si="5"/>
        <v>4.5625</v>
      </c>
    </row>
    <row r="48" spans="1:6" ht="20.25" customHeight="1">
      <c r="A48" s="235">
        <v>9</v>
      </c>
      <c r="B48" s="236" t="s">
        <v>597</v>
      </c>
      <c r="C48" s="239">
        <v>5</v>
      </c>
      <c r="D48" s="239">
        <v>59</v>
      </c>
      <c r="E48" s="239">
        <f t="shared" si="4"/>
        <v>54</v>
      </c>
      <c r="F48" s="238">
        <f t="shared" si="5"/>
        <v>10.8</v>
      </c>
    </row>
    <row r="49" spans="1:6" s="240" customFormat="1" ht="20.25" customHeight="1">
      <c r="A49" s="241"/>
      <c r="B49" s="242" t="s">
        <v>598</v>
      </c>
      <c r="C49" s="243">
        <f>+C40+C42</f>
        <v>542829</v>
      </c>
      <c r="D49" s="243">
        <f>+D40+D42</f>
        <v>6452305</v>
      </c>
      <c r="E49" s="243">
        <f t="shared" si="4"/>
        <v>5909476</v>
      </c>
      <c r="F49" s="244">
        <f t="shared" si="5"/>
        <v>10.886441218136834</v>
      </c>
    </row>
    <row r="50" spans="1:6" s="240" customFormat="1" ht="20.25" customHeight="1">
      <c r="A50" s="241"/>
      <c r="B50" s="242" t="s">
        <v>599</v>
      </c>
      <c r="C50" s="243">
        <f>+C41+C43</f>
        <v>122843</v>
      </c>
      <c r="D50" s="243">
        <f>+D41+D43</f>
        <v>1332073</v>
      </c>
      <c r="E50" s="243">
        <f t="shared" si="4"/>
        <v>1209230</v>
      </c>
      <c r="F50" s="244">
        <f t="shared" si="5"/>
        <v>9.843702937896339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328</v>
      </c>
      <c r="B52" s="231" t="s">
        <v>602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591</v>
      </c>
      <c r="C53" s="237">
        <v>16723863</v>
      </c>
      <c r="D53" s="237">
        <v>23042540</v>
      </c>
      <c r="E53" s="237">
        <f aca="true" t="shared" si="6" ref="E53:E63">D53-C53</f>
        <v>6318677</v>
      </c>
      <c r="F53" s="238">
        <f aca="true" t="shared" si="7" ref="F53:F63">IF(C53=0,0,E53/C53)</f>
        <v>0.3778240111151353</v>
      </c>
    </row>
    <row r="54" spans="1:6" ht="20.25" customHeight="1">
      <c r="A54" s="235">
        <v>2</v>
      </c>
      <c r="B54" s="236" t="s">
        <v>592</v>
      </c>
      <c r="C54" s="237">
        <v>4420561</v>
      </c>
      <c r="D54" s="237">
        <v>5684461</v>
      </c>
      <c r="E54" s="237">
        <f t="shared" si="6"/>
        <v>1263900</v>
      </c>
      <c r="F54" s="238">
        <f t="shared" si="7"/>
        <v>0.28591393716770336</v>
      </c>
    </row>
    <row r="55" spans="1:6" ht="20.25" customHeight="1">
      <c r="A55" s="235">
        <v>3</v>
      </c>
      <c r="B55" s="236" t="s">
        <v>593</v>
      </c>
      <c r="C55" s="237">
        <v>6001532</v>
      </c>
      <c r="D55" s="237">
        <v>7870733</v>
      </c>
      <c r="E55" s="237">
        <f t="shared" si="6"/>
        <v>1869201</v>
      </c>
      <c r="F55" s="238">
        <f t="shared" si="7"/>
        <v>0.3114539754182765</v>
      </c>
    </row>
    <row r="56" spans="1:6" ht="20.25" customHeight="1">
      <c r="A56" s="235">
        <v>4</v>
      </c>
      <c r="B56" s="236" t="s">
        <v>594</v>
      </c>
      <c r="C56" s="237">
        <v>1347658</v>
      </c>
      <c r="D56" s="237">
        <v>1439150</v>
      </c>
      <c r="E56" s="237">
        <f t="shared" si="6"/>
        <v>91492</v>
      </c>
      <c r="F56" s="238">
        <f t="shared" si="7"/>
        <v>0.06788962778390363</v>
      </c>
    </row>
    <row r="57" spans="1:6" ht="20.25" customHeight="1">
      <c r="A57" s="235">
        <v>5</v>
      </c>
      <c r="B57" s="236" t="s">
        <v>530</v>
      </c>
      <c r="C57" s="239">
        <v>434</v>
      </c>
      <c r="D57" s="239">
        <v>483</v>
      </c>
      <c r="E57" s="239">
        <f t="shared" si="6"/>
        <v>49</v>
      </c>
      <c r="F57" s="238">
        <f t="shared" si="7"/>
        <v>0.11290322580645161</v>
      </c>
    </row>
    <row r="58" spans="1:6" ht="20.25" customHeight="1">
      <c r="A58" s="235">
        <v>6</v>
      </c>
      <c r="B58" s="236" t="s">
        <v>529</v>
      </c>
      <c r="C58" s="239">
        <v>2272</v>
      </c>
      <c r="D58" s="239">
        <v>2693</v>
      </c>
      <c r="E58" s="239">
        <f t="shared" si="6"/>
        <v>421</v>
      </c>
      <c r="F58" s="238">
        <f t="shared" si="7"/>
        <v>0.18529929577464788</v>
      </c>
    </row>
    <row r="59" spans="1:6" ht="20.25" customHeight="1">
      <c r="A59" s="235">
        <v>7</v>
      </c>
      <c r="B59" s="236" t="s">
        <v>595</v>
      </c>
      <c r="C59" s="239">
        <v>3912</v>
      </c>
      <c r="D59" s="239">
        <v>3990</v>
      </c>
      <c r="E59" s="239">
        <f t="shared" si="6"/>
        <v>78</v>
      </c>
      <c r="F59" s="238">
        <f t="shared" si="7"/>
        <v>0.019938650306748466</v>
      </c>
    </row>
    <row r="60" spans="1:6" ht="20.25" customHeight="1">
      <c r="A60" s="235">
        <v>8</v>
      </c>
      <c r="B60" s="236" t="s">
        <v>596</v>
      </c>
      <c r="C60" s="239">
        <v>463</v>
      </c>
      <c r="D60" s="239">
        <v>489</v>
      </c>
      <c r="E60" s="239">
        <f t="shared" si="6"/>
        <v>26</v>
      </c>
      <c r="F60" s="238">
        <f t="shared" si="7"/>
        <v>0.056155507559395246</v>
      </c>
    </row>
    <row r="61" spans="1:6" ht="20.25" customHeight="1">
      <c r="A61" s="235">
        <v>9</v>
      </c>
      <c r="B61" s="236" t="s">
        <v>597</v>
      </c>
      <c r="C61" s="239">
        <v>311</v>
      </c>
      <c r="D61" s="239">
        <v>370</v>
      </c>
      <c r="E61" s="239">
        <f t="shared" si="6"/>
        <v>59</v>
      </c>
      <c r="F61" s="238">
        <f t="shared" si="7"/>
        <v>0.18971061093247588</v>
      </c>
    </row>
    <row r="62" spans="1:6" s="240" customFormat="1" ht="20.25" customHeight="1">
      <c r="A62" s="241"/>
      <c r="B62" s="242" t="s">
        <v>598</v>
      </c>
      <c r="C62" s="243">
        <f>+C53+C55</f>
        <v>22725395</v>
      </c>
      <c r="D62" s="243">
        <f>+D53+D55</f>
        <v>30913273</v>
      </c>
      <c r="E62" s="243">
        <f t="shared" si="6"/>
        <v>8187878</v>
      </c>
      <c r="F62" s="244">
        <f t="shared" si="7"/>
        <v>0.36029639968854227</v>
      </c>
    </row>
    <row r="63" spans="1:6" s="240" customFormat="1" ht="20.25" customHeight="1">
      <c r="A63" s="241"/>
      <c r="B63" s="242" t="s">
        <v>599</v>
      </c>
      <c r="C63" s="243">
        <f>+C54+C56</f>
        <v>5768219</v>
      </c>
      <c r="D63" s="243">
        <f>+D54+D56</f>
        <v>7123611</v>
      </c>
      <c r="E63" s="243">
        <f t="shared" si="6"/>
        <v>1355392</v>
      </c>
      <c r="F63" s="244">
        <f t="shared" si="7"/>
        <v>0.2349758218264598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333</v>
      </c>
      <c r="B65" s="231" t="s">
        <v>603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591</v>
      </c>
      <c r="C66" s="237">
        <v>0</v>
      </c>
      <c r="D66" s="237">
        <v>924840</v>
      </c>
      <c r="E66" s="237">
        <f aca="true" t="shared" si="8" ref="E66:E76">D66-C66</f>
        <v>924840</v>
      </c>
      <c r="F66" s="238">
        <f aca="true" t="shared" si="9" ref="F66:F76">IF(C66=0,0,E66/C66)</f>
        <v>0</v>
      </c>
    </row>
    <row r="67" spans="1:6" ht="20.25" customHeight="1">
      <c r="A67" s="235">
        <v>2</v>
      </c>
      <c r="B67" s="236" t="s">
        <v>592</v>
      </c>
      <c r="C67" s="237">
        <v>0</v>
      </c>
      <c r="D67" s="237">
        <v>217218</v>
      </c>
      <c r="E67" s="237">
        <f t="shared" si="8"/>
        <v>217218</v>
      </c>
      <c r="F67" s="238">
        <f t="shared" si="9"/>
        <v>0</v>
      </c>
    </row>
    <row r="68" spans="1:6" ht="20.25" customHeight="1">
      <c r="A68" s="235">
        <v>3</v>
      </c>
      <c r="B68" s="236" t="s">
        <v>593</v>
      </c>
      <c r="C68" s="237">
        <v>0</v>
      </c>
      <c r="D68" s="237">
        <v>482976</v>
      </c>
      <c r="E68" s="237">
        <f t="shared" si="8"/>
        <v>482976</v>
      </c>
      <c r="F68" s="238">
        <f t="shared" si="9"/>
        <v>0</v>
      </c>
    </row>
    <row r="69" spans="1:6" ht="20.25" customHeight="1">
      <c r="A69" s="235">
        <v>4</v>
      </c>
      <c r="B69" s="236" t="s">
        <v>594</v>
      </c>
      <c r="C69" s="237">
        <v>0</v>
      </c>
      <c r="D69" s="237">
        <v>66628</v>
      </c>
      <c r="E69" s="237">
        <f t="shared" si="8"/>
        <v>66628</v>
      </c>
      <c r="F69" s="238">
        <f t="shared" si="9"/>
        <v>0</v>
      </c>
    </row>
    <row r="70" spans="1:6" ht="20.25" customHeight="1">
      <c r="A70" s="235">
        <v>5</v>
      </c>
      <c r="B70" s="236" t="s">
        <v>530</v>
      </c>
      <c r="C70" s="239">
        <v>0</v>
      </c>
      <c r="D70" s="239">
        <v>23</v>
      </c>
      <c r="E70" s="239">
        <f t="shared" si="8"/>
        <v>23</v>
      </c>
      <c r="F70" s="238">
        <f t="shared" si="9"/>
        <v>0</v>
      </c>
    </row>
    <row r="71" spans="1:6" ht="20.25" customHeight="1">
      <c r="A71" s="235">
        <v>6</v>
      </c>
      <c r="B71" s="236" t="s">
        <v>529</v>
      </c>
      <c r="C71" s="239">
        <v>0</v>
      </c>
      <c r="D71" s="239">
        <v>92</v>
      </c>
      <c r="E71" s="239">
        <f t="shared" si="8"/>
        <v>92</v>
      </c>
      <c r="F71" s="238">
        <f t="shared" si="9"/>
        <v>0</v>
      </c>
    </row>
    <row r="72" spans="1:6" ht="20.25" customHeight="1">
      <c r="A72" s="235">
        <v>7</v>
      </c>
      <c r="B72" s="236" t="s">
        <v>595</v>
      </c>
      <c r="C72" s="239">
        <v>0</v>
      </c>
      <c r="D72" s="239">
        <v>167</v>
      </c>
      <c r="E72" s="239">
        <f t="shared" si="8"/>
        <v>167</v>
      </c>
      <c r="F72" s="238">
        <f t="shared" si="9"/>
        <v>0</v>
      </c>
    </row>
    <row r="73" spans="1:6" ht="20.25" customHeight="1">
      <c r="A73" s="235">
        <v>8</v>
      </c>
      <c r="B73" s="236" t="s">
        <v>596</v>
      </c>
      <c r="C73" s="239">
        <v>0</v>
      </c>
      <c r="D73" s="239">
        <v>33</v>
      </c>
      <c r="E73" s="239">
        <f t="shared" si="8"/>
        <v>33</v>
      </c>
      <c r="F73" s="238">
        <f t="shared" si="9"/>
        <v>0</v>
      </c>
    </row>
    <row r="74" spans="1:6" ht="20.25" customHeight="1">
      <c r="A74" s="235">
        <v>9</v>
      </c>
      <c r="B74" s="236" t="s">
        <v>597</v>
      </c>
      <c r="C74" s="239">
        <v>0</v>
      </c>
      <c r="D74" s="239">
        <v>14</v>
      </c>
      <c r="E74" s="239">
        <f t="shared" si="8"/>
        <v>14</v>
      </c>
      <c r="F74" s="238">
        <f t="shared" si="9"/>
        <v>0</v>
      </c>
    </row>
    <row r="75" spans="1:6" s="240" customFormat="1" ht="20.25" customHeight="1">
      <c r="A75" s="241"/>
      <c r="B75" s="242" t="s">
        <v>598</v>
      </c>
      <c r="C75" s="243">
        <f>+C66+C68</f>
        <v>0</v>
      </c>
      <c r="D75" s="243">
        <f>+D66+D68</f>
        <v>1407816</v>
      </c>
      <c r="E75" s="243">
        <f t="shared" si="8"/>
        <v>1407816</v>
      </c>
      <c r="F75" s="244">
        <f t="shared" si="9"/>
        <v>0</v>
      </c>
    </row>
    <row r="76" spans="1:6" s="240" customFormat="1" ht="20.25" customHeight="1">
      <c r="A76" s="241"/>
      <c r="B76" s="242" t="s">
        <v>599</v>
      </c>
      <c r="C76" s="243">
        <f>+C67+C69</f>
        <v>0</v>
      </c>
      <c r="D76" s="243">
        <f>+D67+D69</f>
        <v>283846</v>
      </c>
      <c r="E76" s="243">
        <f t="shared" si="8"/>
        <v>283846</v>
      </c>
      <c r="F76" s="244">
        <f t="shared" si="9"/>
        <v>0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339</v>
      </c>
      <c r="B78" s="231" t="s">
        <v>604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591</v>
      </c>
      <c r="C79" s="237">
        <v>1692711</v>
      </c>
      <c r="D79" s="237">
        <v>1265714</v>
      </c>
      <c r="E79" s="237">
        <f aca="true" t="shared" si="10" ref="E79:E89">D79-C79</f>
        <v>-426997</v>
      </c>
      <c r="F79" s="238">
        <f aca="true" t="shared" si="11" ref="F79:F89">IF(C79=0,0,E79/C79)</f>
        <v>-0.25225629183008796</v>
      </c>
    </row>
    <row r="80" spans="1:6" ht="20.25" customHeight="1">
      <c r="A80" s="235">
        <v>2</v>
      </c>
      <c r="B80" s="236" t="s">
        <v>592</v>
      </c>
      <c r="C80" s="237">
        <v>560353</v>
      </c>
      <c r="D80" s="237">
        <v>297221</v>
      </c>
      <c r="E80" s="237">
        <f t="shared" si="10"/>
        <v>-263132</v>
      </c>
      <c r="F80" s="238">
        <f t="shared" si="11"/>
        <v>-0.4695825667034887</v>
      </c>
    </row>
    <row r="81" spans="1:6" ht="20.25" customHeight="1">
      <c r="A81" s="235">
        <v>3</v>
      </c>
      <c r="B81" s="236" t="s">
        <v>593</v>
      </c>
      <c r="C81" s="237">
        <v>494275</v>
      </c>
      <c r="D81" s="237">
        <v>662503</v>
      </c>
      <c r="E81" s="237">
        <f t="shared" si="10"/>
        <v>168228</v>
      </c>
      <c r="F81" s="238">
        <f t="shared" si="11"/>
        <v>0.3403530423347327</v>
      </c>
    </row>
    <row r="82" spans="1:6" ht="20.25" customHeight="1">
      <c r="A82" s="235">
        <v>4</v>
      </c>
      <c r="B82" s="236" t="s">
        <v>594</v>
      </c>
      <c r="C82" s="237">
        <v>67251</v>
      </c>
      <c r="D82" s="237">
        <v>89328</v>
      </c>
      <c r="E82" s="237">
        <f t="shared" si="10"/>
        <v>22077</v>
      </c>
      <c r="F82" s="238">
        <f t="shared" si="11"/>
        <v>0.3282776464290494</v>
      </c>
    </row>
    <row r="83" spans="1:6" ht="20.25" customHeight="1">
      <c r="A83" s="235">
        <v>5</v>
      </c>
      <c r="B83" s="236" t="s">
        <v>530</v>
      </c>
      <c r="C83" s="239">
        <v>43</v>
      </c>
      <c r="D83" s="239">
        <v>32</v>
      </c>
      <c r="E83" s="239">
        <f t="shared" si="10"/>
        <v>-11</v>
      </c>
      <c r="F83" s="238">
        <f t="shared" si="11"/>
        <v>-0.2558139534883721</v>
      </c>
    </row>
    <row r="84" spans="1:6" ht="20.25" customHeight="1">
      <c r="A84" s="235">
        <v>6</v>
      </c>
      <c r="B84" s="236" t="s">
        <v>529</v>
      </c>
      <c r="C84" s="239">
        <v>288</v>
      </c>
      <c r="D84" s="239">
        <v>164</v>
      </c>
      <c r="E84" s="239">
        <f t="shared" si="10"/>
        <v>-124</v>
      </c>
      <c r="F84" s="238">
        <f t="shared" si="11"/>
        <v>-0.4305555555555556</v>
      </c>
    </row>
    <row r="85" spans="1:6" ht="20.25" customHeight="1">
      <c r="A85" s="235">
        <v>7</v>
      </c>
      <c r="B85" s="236" t="s">
        <v>595</v>
      </c>
      <c r="C85" s="239">
        <v>436</v>
      </c>
      <c r="D85" s="239">
        <v>539</v>
      </c>
      <c r="E85" s="239">
        <f t="shared" si="10"/>
        <v>103</v>
      </c>
      <c r="F85" s="238">
        <f t="shared" si="11"/>
        <v>0.23623853211009174</v>
      </c>
    </row>
    <row r="86" spans="1:6" ht="20.25" customHeight="1">
      <c r="A86" s="235">
        <v>8</v>
      </c>
      <c r="B86" s="236" t="s">
        <v>596</v>
      </c>
      <c r="C86" s="239">
        <v>31</v>
      </c>
      <c r="D86" s="239">
        <v>70</v>
      </c>
      <c r="E86" s="239">
        <f t="shared" si="10"/>
        <v>39</v>
      </c>
      <c r="F86" s="238">
        <f t="shared" si="11"/>
        <v>1.2580645161290323</v>
      </c>
    </row>
    <row r="87" spans="1:6" ht="20.25" customHeight="1">
      <c r="A87" s="235">
        <v>9</v>
      </c>
      <c r="B87" s="236" t="s">
        <v>597</v>
      </c>
      <c r="C87" s="239">
        <v>31</v>
      </c>
      <c r="D87" s="239">
        <v>24</v>
      </c>
      <c r="E87" s="239">
        <f t="shared" si="10"/>
        <v>-7</v>
      </c>
      <c r="F87" s="238">
        <f t="shared" si="11"/>
        <v>-0.22580645161290322</v>
      </c>
    </row>
    <row r="88" spans="1:6" s="240" customFormat="1" ht="20.25" customHeight="1">
      <c r="A88" s="241"/>
      <c r="B88" s="242" t="s">
        <v>598</v>
      </c>
      <c r="C88" s="243">
        <f>+C79+C81</f>
        <v>2186986</v>
      </c>
      <c r="D88" s="243">
        <f>+D79+D81</f>
        <v>1928217</v>
      </c>
      <c r="E88" s="243">
        <f t="shared" si="10"/>
        <v>-258769</v>
      </c>
      <c r="F88" s="244">
        <f t="shared" si="11"/>
        <v>-0.11832220233691482</v>
      </c>
    </row>
    <row r="89" spans="1:6" s="240" customFormat="1" ht="20.25" customHeight="1">
      <c r="A89" s="241"/>
      <c r="B89" s="242" t="s">
        <v>599</v>
      </c>
      <c r="C89" s="243">
        <f>+C80+C82</f>
        <v>627604</v>
      </c>
      <c r="D89" s="243">
        <f>+D80+D82</f>
        <v>386549</v>
      </c>
      <c r="E89" s="243">
        <f t="shared" si="10"/>
        <v>-241055</v>
      </c>
      <c r="F89" s="244">
        <f t="shared" si="11"/>
        <v>-0.38408773685317493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341</v>
      </c>
      <c r="B91" s="231" t="s">
        <v>605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591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592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593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594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530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529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595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596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597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598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599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344</v>
      </c>
      <c r="B104" s="231" t="s">
        <v>606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591</v>
      </c>
      <c r="C105" s="237">
        <v>2823313</v>
      </c>
      <c r="D105" s="237">
        <v>3637996</v>
      </c>
      <c r="E105" s="237">
        <f aca="true" t="shared" si="14" ref="E105:E115">D105-C105</f>
        <v>814683</v>
      </c>
      <c r="F105" s="238">
        <f aca="true" t="shared" si="15" ref="F105:F115">IF(C105=0,0,E105/C105)</f>
        <v>0.28855567909048696</v>
      </c>
    </row>
    <row r="106" spans="1:6" ht="20.25" customHeight="1">
      <c r="A106" s="235">
        <v>2</v>
      </c>
      <c r="B106" s="236" t="s">
        <v>592</v>
      </c>
      <c r="C106" s="237">
        <v>828855</v>
      </c>
      <c r="D106" s="237">
        <v>848357</v>
      </c>
      <c r="E106" s="237">
        <f t="shared" si="14"/>
        <v>19502</v>
      </c>
      <c r="F106" s="238">
        <f t="shared" si="15"/>
        <v>0.023528844007697367</v>
      </c>
    </row>
    <row r="107" spans="1:6" ht="20.25" customHeight="1">
      <c r="A107" s="235">
        <v>3</v>
      </c>
      <c r="B107" s="236" t="s">
        <v>593</v>
      </c>
      <c r="C107" s="237">
        <v>1353526</v>
      </c>
      <c r="D107" s="237">
        <v>1780835</v>
      </c>
      <c r="E107" s="237">
        <f t="shared" si="14"/>
        <v>427309</v>
      </c>
      <c r="F107" s="238">
        <f t="shared" si="15"/>
        <v>0.3157006219311635</v>
      </c>
    </row>
    <row r="108" spans="1:6" ht="20.25" customHeight="1">
      <c r="A108" s="235">
        <v>4</v>
      </c>
      <c r="B108" s="236" t="s">
        <v>594</v>
      </c>
      <c r="C108" s="237">
        <v>276048</v>
      </c>
      <c r="D108" s="237">
        <v>365890</v>
      </c>
      <c r="E108" s="237">
        <f t="shared" si="14"/>
        <v>89842</v>
      </c>
      <c r="F108" s="238">
        <f t="shared" si="15"/>
        <v>0.32545789138120906</v>
      </c>
    </row>
    <row r="109" spans="1:6" ht="20.25" customHeight="1">
      <c r="A109" s="235">
        <v>5</v>
      </c>
      <c r="B109" s="236" t="s">
        <v>530</v>
      </c>
      <c r="C109" s="239">
        <v>78</v>
      </c>
      <c r="D109" s="239">
        <v>85</v>
      </c>
      <c r="E109" s="239">
        <f t="shared" si="14"/>
        <v>7</v>
      </c>
      <c r="F109" s="238">
        <f t="shared" si="15"/>
        <v>0.08974358974358974</v>
      </c>
    </row>
    <row r="110" spans="1:6" ht="20.25" customHeight="1">
      <c r="A110" s="235">
        <v>6</v>
      </c>
      <c r="B110" s="236" t="s">
        <v>529</v>
      </c>
      <c r="C110" s="239">
        <v>426</v>
      </c>
      <c r="D110" s="239">
        <v>485</v>
      </c>
      <c r="E110" s="239">
        <f t="shared" si="14"/>
        <v>59</v>
      </c>
      <c r="F110" s="238">
        <f t="shared" si="15"/>
        <v>0.13849765258215962</v>
      </c>
    </row>
    <row r="111" spans="1:6" ht="20.25" customHeight="1">
      <c r="A111" s="235">
        <v>7</v>
      </c>
      <c r="B111" s="236" t="s">
        <v>595</v>
      </c>
      <c r="C111" s="239">
        <v>912</v>
      </c>
      <c r="D111" s="239">
        <v>1050</v>
      </c>
      <c r="E111" s="239">
        <f t="shared" si="14"/>
        <v>138</v>
      </c>
      <c r="F111" s="238">
        <f t="shared" si="15"/>
        <v>0.1513157894736842</v>
      </c>
    </row>
    <row r="112" spans="1:6" ht="20.25" customHeight="1">
      <c r="A112" s="235">
        <v>8</v>
      </c>
      <c r="B112" s="236" t="s">
        <v>596</v>
      </c>
      <c r="C112" s="239">
        <v>230</v>
      </c>
      <c r="D112" s="239">
        <v>238</v>
      </c>
      <c r="E112" s="239">
        <f t="shared" si="14"/>
        <v>8</v>
      </c>
      <c r="F112" s="238">
        <f t="shared" si="15"/>
        <v>0.034782608695652174</v>
      </c>
    </row>
    <row r="113" spans="1:6" ht="20.25" customHeight="1">
      <c r="A113" s="235">
        <v>9</v>
      </c>
      <c r="B113" s="236" t="s">
        <v>597</v>
      </c>
      <c r="C113" s="239">
        <v>71</v>
      </c>
      <c r="D113" s="239">
        <v>75</v>
      </c>
      <c r="E113" s="239">
        <f t="shared" si="14"/>
        <v>4</v>
      </c>
      <c r="F113" s="238">
        <f t="shared" si="15"/>
        <v>0.056338028169014086</v>
      </c>
    </row>
    <row r="114" spans="1:6" s="240" customFormat="1" ht="20.25" customHeight="1">
      <c r="A114" s="241"/>
      <c r="B114" s="242" t="s">
        <v>598</v>
      </c>
      <c r="C114" s="243">
        <f>+C105+C107</f>
        <v>4176839</v>
      </c>
      <c r="D114" s="243">
        <f>+D105+D107</f>
        <v>5418831</v>
      </c>
      <c r="E114" s="243">
        <f t="shared" si="14"/>
        <v>1241992</v>
      </c>
      <c r="F114" s="244">
        <f t="shared" si="15"/>
        <v>0.29735213638830704</v>
      </c>
    </row>
    <row r="115" spans="1:6" s="240" customFormat="1" ht="20.25" customHeight="1">
      <c r="A115" s="241"/>
      <c r="B115" s="242" t="s">
        <v>599</v>
      </c>
      <c r="C115" s="243">
        <f>+C106+C108</f>
        <v>1104903</v>
      </c>
      <c r="D115" s="243">
        <f>+D106+D108</f>
        <v>1214247</v>
      </c>
      <c r="E115" s="243">
        <f t="shared" si="14"/>
        <v>109344</v>
      </c>
      <c r="F115" s="244">
        <f t="shared" si="15"/>
        <v>0.09896253336265717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347</v>
      </c>
      <c r="B117" s="231" t="s">
        <v>607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591</v>
      </c>
      <c r="C118" s="237">
        <v>238341</v>
      </c>
      <c r="D118" s="237">
        <v>1572905</v>
      </c>
      <c r="E118" s="237">
        <f aca="true" t="shared" si="16" ref="E118:E128">D118-C118</f>
        <v>1334564</v>
      </c>
      <c r="F118" s="238">
        <f aca="true" t="shared" si="17" ref="F118:F128">IF(C118=0,0,E118/C118)</f>
        <v>5.59938911056008</v>
      </c>
    </row>
    <row r="119" spans="1:6" ht="20.25" customHeight="1">
      <c r="A119" s="235">
        <v>2</v>
      </c>
      <c r="B119" s="236" t="s">
        <v>592</v>
      </c>
      <c r="C119" s="237">
        <v>83664</v>
      </c>
      <c r="D119" s="237">
        <v>401812</v>
      </c>
      <c r="E119" s="237">
        <f t="shared" si="16"/>
        <v>318148</v>
      </c>
      <c r="F119" s="238">
        <f t="shared" si="17"/>
        <v>3.802686938229107</v>
      </c>
    </row>
    <row r="120" spans="1:6" ht="20.25" customHeight="1">
      <c r="A120" s="235">
        <v>3</v>
      </c>
      <c r="B120" s="236" t="s">
        <v>593</v>
      </c>
      <c r="C120" s="237">
        <v>158118</v>
      </c>
      <c r="D120" s="237">
        <v>501864</v>
      </c>
      <c r="E120" s="237">
        <f t="shared" si="16"/>
        <v>343746</v>
      </c>
      <c r="F120" s="238">
        <f t="shared" si="17"/>
        <v>2.173983986642887</v>
      </c>
    </row>
    <row r="121" spans="1:6" ht="20.25" customHeight="1">
      <c r="A121" s="235">
        <v>4</v>
      </c>
      <c r="B121" s="236" t="s">
        <v>594</v>
      </c>
      <c r="C121" s="237">
        <v>40155</v>
      </c>
      <c r="D121" s="237">
        <v>122644</v>
      </c>
      <c r="E121" s="237">
        <f t="shared" si="16"/>
        <v>82489</v>
      </c>
      <c r="F121" s="238">
        <f t="shared" si="17"/>
        <v>2.0542647241937493</v>
      </c>
    </row>
    <row r="122" spans="1:6" ht="20.25" customHeight="1">
      <c r="A122" s="235">
        <v>5</v>
      </c>
      <c r="B122" s="236" t="s">
        <v>530</v>
      </c>
      <c r="C122" s="239">
        <v>10</v>
      </c>
      <c r="D122" s="239">
        <v>31</v>
      </c>
      <c r="E122" s="239">
        <f t="shared" si="16"/>
        <v>21</v>
      </c>
      <c r="F122" s="238">
        <f t="shared" si="17"/>
        <v>2.1</v>
      </c>
    </row>
    <row r="123" spans="1:6" ht="20.25" customHeight="1">
      <c r="A123" s="235">
        <v>6</v>
      </c>
      <c r="B123" s="236" t="s">
        <v>529</v>
      </c>
      <c r="C123" s="239">
        <v>43</v>
      </c>
      <c r="D123" s="239">
        <v>128</v>
      </c>
      <c r="E123" s="239">
        <f t="shared" si="16"/>
        <v>85</v>
      </c>
      <c r="F123" s="238">
        <f t="shared" si="17"/>
        <v>1.9767441860465116</v>
      </c>
    </row>
    <row r="124" spans="1:6" ht="20.25" customHeight="1">
      <c r="A124" s="235">
        <v>7</v>
      </c>
      <c r="B124" s="236" t="s">
        <v>595</v>
      </c>
      <c r="C124" s="239">
        <v>116</v>
      </c>
      <c r="D124" s="239">
        <v>337</v>
      </c>
      <c r="E124" s="239">
        <f t="shared" si="16"/>
        <v>221</v>
      </c>
      <c r="F124" s="238">
        <f t="shared" si="17"/>
        <v>1.9051724137931034</v>
      </c>
    </row>
    <row r="125" spans="1:6" ht="20.25" customHeight="1">
      <c r="A125" s="235">
        <v>8</v>
      </c>
      <c r="B125" s="236" t="s">
        <v>596</v>
      </c>
      <c r="C125" s="239">
        <v>10</v>
      </c>
      <c r="D125" s="239">
        <v>40</v>
      </c>
      <c r="E125" s="239">
        <f t="shared" si="16"/>
        <v>30</v>
      </c>
      <c r="F125" s="238">
        <f t="shared" si="17"/>
        <v>3</v>
      </c>
    </row>
    <row r="126" spans="1:6" ht="20.25" customHeight="1">
      <c r="A126" s="235">
        <v>9</v>
      </c>
      <c r="B126" s="236" t="s">
        <v>597</v>
      </c>
      <c r="C126" s="239">
        <v>7</v>
      </c>
      <c r="D126" s="239">
        <v>19</v>
      </c>
      <c r="E126" s="239">
        <f t="shared" si="16"/>
        <v>12</v>
      </c>
      <c r="F126" s="238">
        <f t="shared" si="17"/>
        <v>1.7142857142857142</v>
      </c>
    </row>
    <row r="127" spans="1:6" s="240" customFormat="1" ht="20.25" customHeight="1">
      <c r="A127" s="241"/>
      <c r="B127" s="242" t="s">
        <v>598</v>
      </c>
      <c r="C127" s="243">
        <f>+C118+C120</f>
        <v>396459</v>
      </c>
      <c r="D127" s="243">
        <f>+D118+D120</f>
        <v>2074769</v>
      </c>
      <c r="E127" s="243">
        <f t="shared" si="16"/>
        <v>1678310</v>
      </c>
      <c r="F127" s="244">
        <f t="shared" si="17"/>
        <v>4.233249844246189</v>
      </c>
    </row>
    <row r="128" spans="1:6" s="240" customFormat="1" ht="20.25" customHeight="1">
      <c r="A128" s="241"/>
      <c r="B128" s="242" t="s">
        <v>599</v>
      </c>
      <c r="C128" s="243">
        <f>+C119+C121</f>
        <v>123819</v>
      </c>
      <c r="D128" s="243">
        <f>+D119+D121</f>
        <v>524456</v>
      </c>
      <c r="E128" s="243">
        <f t="shared" si="16"/>
        <v>400637</v>
      </c>
      <c r="F128" s="244">
        <f t="shared" si="17"/>
        <v>3.2356665778273124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356</v>
      </c>
      <c r="B130" s="231" t="s">
        <v>608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591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592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593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594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530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529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595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596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597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598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599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375</v>
      </c>
      <c r="B143" s="231" t="s">
        <v>609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591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592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593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594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530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529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595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596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597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598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599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610</v>
      </c>
      <c r="B156" s="231" t="s">
        <v>611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591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592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593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594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530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529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595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596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597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598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599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612</v>
      </c>
      <c r="B169" s="231" t="s">
        <v>613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591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592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593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594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530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529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595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596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597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598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599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614</v>
      </c>
      <c r="B182" s="231" t="s">
        <v>615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591</v>
      </c>
      <c r="C183" s="237">
        <v>2040271</v>
      </c>
      <c r="D183" s="237">
        <v>2899124</v>
      </c>
      <c r="E183" s="237">
        <f aca="true" t="shared" si="26" ref="E183:E193">D183-C183</f>
        <v>858853</v>
      </c>
      <c r="F183" s="238">
        <f aca="true" t="shared" si="27" ref="F183:F193">IF(C183=0,0,E183/C183)</f>
        <v>0.42095045217032445</v>
      </c>
    </row>
    <row r="184" spans="1:6" ht="20.25" customHeight="1">
      <c r="A184" s="235">
        <v>2</v>
      </c>
      <c r="B184" s="236" t="s">
        <v>592</v>
      </c>
      <c r="C184" s="237">
        <v>562298</v>
      </c>
      <c r="D184" s="237">
        <v>707737</v>
      </c>
      <c r="E184" s="237">
        <f t="shared" si="26"/>
        <v>145439</v>
      </c>
      <c r="F184" s="238">
        <f t="shared" si="27"/>
        <v>0.25865110670854247</v>
      </c>
    </row>
    <row r="185" spans="1:6" ht="20.25" customHeight="1">
      <c r="A185" s="235">
        <v>3</v>
      </c>
      <c r="B185" s="236" t="s">
        <v>593</v>
      </c>
      <c r="C185" s="237">
        <v>211107</v>
      </c>
      <c r="D185" s="237">
        <v>660268</v>
      </c>
      <c r="E185" s="237">
        <f t="shared" si="26"/>
        <v>449161</v>
      </c>
      <c r="F185" s="238">
        <f t="shared" si="27"/>
        <v>2.127646169951731</v>
      </c>
    </row>
    <row r="186" spans="1:6" ht="20.25" customHeight="1">
      <c r="A186" s="235">
        <v>4</v>
      </c>
      <c r="B186" s="236" t="s">
        <v>594</v>
      </c>
      <c r="C186" s="237">
        <v>43253</v>
      </c>
      <c r="D186" s="237">
        <v>124590</v>
      </c>
      <c r="E186" s="237">
        <f t="shared" si="26"/>
        <v>81337</v>
      </c>
      <c r="F186" s="238">
        <f t="shared" si="27"/>
        <v>1.8804938385776708</v>
      </c>
    </row>
    <row r="187" spans="1:6" ht="20.25" customHeight="1">
      <c r="A187" s="235">
        <v>5</v>
      </c>
      <c r="B187" s="236" t="s">
        <v>530</v>
      </c>
      <c r="C187" s="239">
        <v>26</v>
      </c>
      <c r="D187" s="239">
        <v>53</v>
      </c>
      <c r="E187" s="239">
        <f t="shared" si="26"/>
        <v>27</v>
      </c>
      <c r="F187" s="238">
        <f t="shared" si="27"/>
        <v>1.0384615384615385</v>
      </c>
    </row>
    <row r="188" spans="1:6" ht="20.25" customHeight="1">
      <c r="A188" s="235">
        <v>6</v>
      </c>
      <c r="B188" s="236" t="s">
        <v>529</v>
      </c>
      <c r="C188" s="239">
        <v>289</v>
      </c>
      <c r="D188" s="239">
        <v>360</v>
      </c>
      <c r="E188" s="239">
        <f t="shared" si="26"/>
        <v>71</v>
      </c>
      <c r="F188" s="238">
        <f t="shared" si="27"/>
        <v>0.24567474048442905</v>
      </c>
    </row>
    <row r="189" spans="1:6" ht="20.25" customHeight="1">
      <c r="A189" s="235">
        <v>7</v>
      </c>
      <c r="B189" s="236" t="s">
        <v>595</v>
      </c>
      <c r="C189" s="239">
        <v>100</v>
      </c>
      <c r="D189" s="239">
        <v>339</v>
      </c>
      <c r="E189" s="239">
        <f t="shared" si="26"/>
        <v>239</v>
      </c>
      <c r="F189" s="238">
        <f t="shared" si="27"/>
        <v>2.39</v>
      </c>
    </row>
    <row r="190" spans="1:6" ht="20.25" customHeight="1">
      <c r="A190" s="235">
        <v>8</v>
      </c>
      <c r="B190" s="236" t="s">
        <v>596</v>
      </c>
      <c r="C190" s="239">
        <v>38</v>
      </c>
      <c r="D190" s="239">
        <v>122</v>
      </c>
      <c r="E190" s="239">
        <f t="shared" si="26"/>
        <v>84</v>
      </c>
      <c r="F190" s="238">
        <f t="shared" si="27"/>
        <v>2.210526315789474</v>
      </c>
    </row>
    <row r="191" spans="1:6" ht="20.25" customHeight="1">
      <c r="A191" s="235">
        <v>9</v>
      </c>
      <c r="B191" s="236" t="s">
        <v>597</v>
      </c>
      <c r="C191" s="239">
        <v>24</v>
      </c>
      <c r="D191" s="239">
        <v>44</v>
      </c>
      <c r="E191" s="239">
        <f t="shared" si="26"/>
        <v>20</v>
      </c>
      <c r="F191" s="238">
        <f t="shared" si="27"/>
        <v>0.8333333333333334</v>
      </c>
    </row>
    <row r="192" spans="1:6" s="240" customFormat="1" ht="20.25" customHeight="1">
      <c r="A192" s="241"/>
      <c r="B192" s="242" t="s">
        <v>598</v>
      </c>
      <c r="C192" s="243">
        <f>+C183+C185</f>
        <v>2251378</v>
      </c>
      <c r="D192" s="243">
        <f>+D183+D185</f>
        <v>3559392</v>
      </c>
      <c r="E192" s="243">
        <f t="shared" si="26"/>
        <v>1308014</v>
      </c>
      <c r="F192" s="244">
        <f t="shared" si="27"/>
        <v>0.5809837352945618</v>
      </c>
    </row>
    <row r="193" spans="1:6" s="240" customFormat="1" ht="20.25" customHeight="1">
      <c r="A193" s="241"/>
      <c r="B193" s="242" t="s">
        <v>599</v>
      </c>
      <c r="C193" s="243">
        <f>+C184+C186</f>
        <v>605551</v>
      </c>
      <c r="D193" s="243">
        <f>+D184+D186</f>
        <v>832327</v>
      </c>
      <c r="E193" s="243">
        <f t="shared" si="26"/>
        <v>226776</v>
      </c>
      <c r="F193" s="244">
        <f t="shared" si="27"/>
        <v>0.37449529436826956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6" t="s">
        <v>201</v>
      </c>
      <c r="B195" s="678" t="s">
        <v>616</v>
      </c>
      <c r="C195" s="680"/>
      <c r="D195" s="681"/>
      <c r="E195" s="681"/>
      <c r="F195" s="682"/>
      <c r="G195" s="686"/>
      <c r="H195" s="686"/>
      <c r="I195" s="686"/>
    </row>
    <row r="196" spans="1:9" ht="20.25" customHeight="1">
      <c r="A196" s="677"/>
      <c r="B196" s="679"/>
      <c r="C196" s="683"/>
      <c r="D196" s="684"/>
      <c r="E196" s="684"/>
      <c r="F196" s="685"/>
      <c r="G196" s="686"/>
      <c r="H196" s="686"/>
      <c r="I196" s="686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617</v>
      </c>
      <c r="C198" s="243">
        <f aca="true" t="shared" si="28" ref="C198:D206">+C183+C170+C157+C144+C131+C118+C105+C92+C79+C66+C53+C40+C27+C14</f>
        <v>24542725</v>
      </c>
      <c r="D198" s="243">
        <f t="shared" si="28"/>
        <v>38759660</v>
      </c>
      <c r="E198" s="243">
        <f aca="true" t="shared" si="29" ref="E198:E208">D198-C198</f>
        <v>14216935</v>
      </c>
      <c r="F198" s="251">
        <f aca="true" t="shared" si="30" ref="F198:F208">IF(C198=0,0,E198/C198)</f>
        <v>0.5792728802527022</v>
      </c>
    </row>
    <row r="199" spans="1:6" ht="20.25" customHeight="1">
      <c r="A199" s="249"/>
      <c r="B199" s="250" t="s">
        <v>618</v>
      </c>
      <c r="C199" s="243">
        <f t="shared" si="28"/>
        <v>6751473</v>
      </c>
      <c r="D199" s="243">
        <f t="shared" si="28"/>
        <v>9408169</v>
      </c>
      <c r="E199" s="243">
        <f t="shared" si="29"/>
        <v>2656696</v>
      </c>
      <c r="F199" s="251">
        <f t="shared" si="30"/>
        <v>0.393498722426943</v>
      </c>
    </row>
    <row r="200" spans="1:6" ht="20.25" customHeight="1">
      <c r="A200" s="249"/>
      <c r="B200" s="250" t="s">
        <v>619</v>
      </c>
      <c r="C200" s="243">
        <f t="shared" si="28"/>
        <v>8747218</v>
      </c>
      <c r="D200" s="243">
        <f t="shared" si="28"/>
        <v>14191150</v>
      </c>
      <c r="E200" s="243">
        <f t="shared" si="29"/>
        <v>5443932</v>
      </c>
      <c r="F200" s="251">
        <f t="shared" si="30"/>
        <v>0.6223615325466908</v>
      </c>
    </row>
    <row r="201" spans="1:6" ht="20.25" customHeight="1">
      <c r="A201" s="249"/>
      <c r="B201" s="250" t="s">
        <v>620</v>
      </c>
      <c r="C201" s="243">
        <f t="shared" si="28"/>
        <v>1890059</v>
      </c>
      <c r="D201" s="243">
        <f t="shared" si="28"/>
        <v>2625239</v>
      </c>
      <c r="E201" s="243">
        <f t="shared" si="29"/>
        <v>735180</v>
      </c>
      <c r="F201" s="251">
        <f t="shared" si="30"/>
        <v>0.3889719844724424</v>
      </c>
    </row>
    <row r="202" spans="1:6" ht="20.25" customHeight="1">
      <c r="A202" s="249"/>
      <c r="B202" s="250" t="s">
        <v>621</v>
      </c>
      <c r="C202" s="252">
        <f t="shared" si="28"/>
        <v>614</v>
      </c>
      <c r="D202" s="252">
        <f t="shared" si="28"/>
        <v>815</v>
      </c>
      <c r="E202" s="252">
        <f t="shared" si="29"/>
        <v>201</v>
      </c>
      <c r="F202" s="251">
        <f t="shared" si="30"/>
        <v>0.3273615635179153</v>
      </c>
    </row>
    <row r="203" spans="1:6" ht="20.25" customHeight="1">
      <c r="A203" s="249"/>
      <c r="B203" s="250" t="s">
        <v>622</v>
      </c>
      <c r="C203" s="252">
        <f t="shared" si="28"/>
        <v>3470</v>
      </c>
      <c r="D203" s="252">
        <f t="shared" si="28"/>
        <v>4462</v>
      </c>
      <c r="E203" s="252">
        <f t="shared" si="29"/>
        <v>992</v>
      </c>
      <c r="F203" s="251">
        <f t="shared" si="30"/>
        <v>0.2858789625360231</v>
      </c>
    </row>
    <row r="204" spans="1:6" ht="39.75" customHeight="1">
      <c r="A204" s="249"/>
      <c r="B204" s="250" t="s">
        <v>623</v>
      </c>
      <c r="C204" s="252">
        <f t="shared" si="28"/>
        <v>5779</v>
      </c>
      <c r="D204" s="252">
        <f t="shared" si="28"/>
        <v>7670</v>
      </c>
      <c r="E204" s="252">
        <f t="shared" si="29"/>
        <v>1891</v>
      </c>
      <c r="F204" s="251">
        <f t="shared" si="30"/>
        <v>0.3272192420834054</v>
      </c>
    </row>
    <row r="205" spans="1:6" ht="39.75" customHeight="1">
      <c r="A205" s="249"/>
      <c r="B205" s="250" t="s">
        <v>624</v>
      </c>
      <c r="C205" s="252">
        <f t="shared" si="28"/>
        <v>806</v>
      </c>
      <c r="D205" s="252">
        <f t="shared" si="28"/>
        <v>1100</v>
      </c>
      <c r="E205" s="252">
        <f t="shared" si="29"/>
        <v>294</v>
      </c>
      <c r="F205" s="251">
        <f t="shared" si="30"/>
        <v>0.36476426799007444</v>
      </c>
    </row>
    <row r="206" spans="1:6" ht="39.75" customHeight="1">
      <c r="A206" s="249"/>
      <c r="B206" s="250" t="s">
        <v>625</v>
      </c>
      <c r="C206" s="252">
        <f t="shared" si="28"/>
        <v>462</v>
      </c>
      <c r="D206" s="252">
        <f t="shared" si="28"/>
        <v>617</v>
      </c>
      <c r="E206" s="252">
        <f t="shared" si="29"/>
        <v>155</v>
      </c>
      <c r="F206" s="251">
        <f t="shared" si="30"/>
        <v>0.3354978354978355</v>
      </c>
    </row>
    <row r="207" spans="1:6" ht="20.25" customHeight="1">
      <c r="A207" s="249"/>
      <c r="B207" s="242" t="s">
        <v>626</v>
      </c>
      <c r="C207" s="243">
        <f>+C198+C200</f>
        <v>33289943</v>
      </c>
      <c r="D207" s="243">
        <f>+D198+D200</f>
        <v>52950810</v>
      </c>
      <c r="E207" s="243">
        <f t="shared" si="29"/>
        <v>19660867</v>
      </c>
      <c r="F207" s="251">
        <f t="shared" si="30"/>
        <v>0.590594793148189</v>
      </c>
    </row>
    <row r="208" spans="1:6" ht="20.25" customHeight="1">
      <c r="A208" s="249"/>
      <c r="B208" s="242" t="s">
        <v>627</v>
      </c>
      <c r="C208" s="243">
        <f>+C199+C201</f>
        <v>8641532</v>
      </c>
      <c r="D208" s="243">
        <f>+D199+D201</f>
        <v>12033408</v>
      </c>
      <c r="E208" s="243">
        <f t="shared" si="29"/>
        <v>3391876</v>
      </c>
      <c r="F208" s="251">
        <f t="shared" si="30"/>
        <v>0.3925086431433686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FILING&amp;RWATERBURY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157</v>
      </c>
      <c r="B2" s="660"/>
      <c r="C2" s="660"/>
      <c r="D2" s="660"/>
      <c r="E2" s="660"/>
      <c r="F2" s="660"/>
    </row>
    <row r="3" spans="1:6" ht="20.25" customHeight="1">
      <c r="A3" s="660" t="s">
        <v>158</v>
      </c>
      <c r="B3" s="660"/>
      <c r="C3" s="660"/>
      <c r="D3" s="660"/>
      <c r="E3" s="660"/>
      <c r="F3" s="660"/>
    </row>
    <row r="4" spans="1:6" ht="20.25" customHeight="1">
      <c r="A4" s="660" t="s">
        <v>159</v>
      </c>
      <c r="B4" s="660"/>
      <c r="C4" s="660"/>
      <c r="D4" s="660"/>
      <c r="E4" s="660"/>
      <c r="F4" s="660"/>
    </row>
    <row r="5" spans="1:6" ht="20.25" customHeight="1">
      <c r="A5" s="660" t="s">
        <v>628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587</v>
      </c>
      <c r="D8" s="223" t="s">
        <v>588</v>
      </c>
      <c r="E8" s="223" t="s">
        <v>589</v>
      </c>
      <c r="F8" s="224" t="s">
        <v>265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6" t="s">
        <v>169</v>
      </c>
      <c r="B10" s="678" t="s">
        <v>272</v>
      </c>
      <c r="C10" s="680"/>
      <c r="D10" s="681"/>
      <c r="E10" s="681"/>
      <c r="F10" s="682"/>
    </row>
    <row r="11" spans="1:6" ht="20.25" customHeight="1">
      <c r="A11" s="677"/>
      <c r="B11" s="679"/>
      <c r="C11" s="683"/>
      <c r="D11" s="684"/>
      <c r="E11" s="684"/>
      <c r="F11" s="685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267</v>
      </c>
      <c r="B13" s="261" t="s">
        <v>629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591</v>
      </c>
      <c r="C14" s="237">
        <v>14046608</v>
      </c>
      <c r="D14" s="237">
        <v>3581650</v>
      </c>
      <c r="E14" s="237">
        <f aca="true" t="shared" si="0" ref="E14:E24">D14-C14</f>
        <v>-10464958</v>
      </c>
      <c r="F14" s="238">
        <f aca="true" t="shared" si="1" ref="F14:F24">IF(C14=0,0,E14/C14)</f>
        <v>-0.7450167328653294</v>
      </c>
    </row>
    <row r="15" spans="1:6" ht="20.25" customHeight="1">
      <c r="A15" s="235">
        <v>2</v>
      </c>
      <c r="B15" s="236" t="s">
        <v>592</v>
      </c>
      <c r="C15" s="237">
        <v>3182997</v>
      </c>
      <c r="D15" s="237">
        <v>781135</v>
      </c>
      <c r="E15" s="237">
        <f t="shared" si="0"/>
        <v>-2401862</v>
      </c>
      <c r="F15" s="238">
        <f t="shared" si="1"/>
        <v>-0.754591348970797</v>
      </c>
    </row>
    <row r="16" spans="1:6" ht="20.25" customHeight="1">
      <c r="A16" s="235">
        <v>3</v>
      </c>
      <c r="B16" s="236" t="s">
        <v>593</v>
      </c>
      <c r="C16" s="237">
        <v>17639765</v>
      </c>
      <c r="D16" s="237">
        <v>5702796</v>
      </c>
      <c r="E16" s="237">
        <f t="shared" si="0"/>
        <v>-11936969</v>
      </c>
      <c r="F16" s="238">
        <f t="shared" si="1"/>
        <v>-0.6767079380025754</v>
      </c>
    </row>
    <row r="17" spans="1:6" ht="20.25" customHeight="1">
      <c r="A17" s="235">
        <v>4</v>
      </c>
      <c r="B17" s="236" t="s">
        <v>594</v>
      </c>
      <c r="C17" s="237">
        <v>3682003</v>
      </c>
      <c r="D17" s="237">
        <v>1068024</v>
      </c>
      <c r="E17" s="237">
        <f t="shared" si="0"/>
        <v>-2613979</v>
      </c>
      <c r="F17" s="238">
        <f t="shared" si="1"/>
        <v>-0.7099339680060011</v>
      </c>
    </row>
    <row r="18" spans="1:6" ht="20.25" customHeight="1">
      <c r="A18" s="235">
        <v>5</v>
      </c>
      <c r="B18" s="236" t="s">
        <v>530</v>
      </c>
      <c r="C18" s="239">
        <v>1077</v>
      </c>
      <c r="D18" s="239">
        <v>232</v>
      </c>
      <c r="E18" s="239">
        <f t="shared" si="0"/>
        <v>-845</v>
      </c>
      <c r="F18" s="238">
        <f t="shared" si="1"/>
        <v>-0.7845868152274837</v>
      </c>
    </row>
    <row r="19" spans="1:6" ht="20.25" customHeight="1">
      <c r="A19" s="235">
        <v>6</v>
      </c>
      <c r="B19" s="236" t="s">
        <v>529</v>
      </c>
      <c r="C19" s="239">
        <v>3385</v>
      </c>
      <c r="D19" s="239">
        <v>698</v>
      </c>
      <c r="E19" s="239">
        <f t="shared" si="0"/>
        <v>-2687</v>
      </c>
      <c r="F19" s="238">
        <f t="shared" si="1"/>
        <v>-0.7937961595273264</v>
      </c>
    </row>
    <row r="20" spans="1:6" ht="20.25" customHeight="1">
      <c r="A20" s="235">
        <v>7</v>
      </c>
      <c r="B20" s="236" t="s">
        <v>595</v>
      </c>
      <c r="C20" s="239">
        <v>9790</v>
      </c>
      <c r="D20" s="239">
        <v>2909</v>
      </c>
      <c r="E20" s="239">
        <f t="shared" si="0"/>
        <v>-6881</v>
      </c>
      <c r="F20" s="238">
        <f t="shared" si="1"/>
        <v>-0.7028600612870276</v>
      </c>
    </row>
    <row r="21" spans="1:6" ht="20.25" customHeight="1">
      <c r="A21" s="235">
        <v>8</v>
      </c>
      <c r="B21" s="236" t="s">
        <v>596</v>
      </c>
      <c r="C21" s="239">
        <v>5882</v>
      </c>
      <c r="D21" s="239">
        <v>1729</v>
      </c>
      <c r="E21" s="239">
        <f t="shared" si="0"/>
        <v>-4153</v>
      </c>
      <c r="F21" s="238">
        <f t="shared" si="1"/>
        <v>-0.7060523631417885</v>
      </c>
    </row>
    <row r="22" spans="1:6" ht="20.25" customHeight="1">
      <c r="A22" s="235">
        <v>9</v>
      </c>
      <c r="B22" s="236" t="s">
        <v>597</v>
      </c>
      <c r="C22" s="239">
        <v>311</v>
      </c>
      <c r="D22" s="239">
        <v>77</v>
      </c>
      <c r="E22" s="239">
        <f t="shared" si="0"/>
        <v>-234</v>
      </c>
      <c r="F22" s="238">
        <f t="shared" si="1"/>
        <v>-0.752411575562701</v>
      </c>
    </row>
    <row r="23" spans="1:6" s="240" customFormat="1" ht="39.75" customHeight="1">
      <c r="A23" s="245"/>
      <c r="B23" s="242" t="s">
        <v>598</v>
      </c>
      <c r="C23" s="243">
        <f>+C14+C16</f>
        <v>31686373</v>
      </c>
      <c r="D23" s="243">
        <f>+D14+D16</f>
        <v>9284446</v>
      </c>
      <c r="E23" s="243">
        <f t="shared" si="0"/>
        <v>-22401927</v>
      </c>
      <c r="F23" s="244">
        <f t="shared" si="1"/>
        <v>-0.7069893105152805</v>
      </c>
    </row>
    <row r="24" spans="1:6" s="240" customFormat="1" ht="39.75" customHeight="1">
      <c r="A24" s="245"/>
      <c r="B24" s="242" t="s">
        <v>627</v>
      </c>
      <c r="C24" s="243">
        <f>+C15+C17</f>
        <v>6865000</v>
      </c>
      <c r="D24" s="243">
        <f>+D15+D17</f>
        <v>1849159</v>
      </c>
      <c r="E24" s="243">
        <f t="shared" si="0"/>
        <v>-5015841</v>
      </c>
      <c r="F24" s="244">
        <f t="shared" si="1"/>
        <v>-0.7306396212672979</v>
      </c>
    </row>
    <row r="25" spans="1:6" ht="42" customHeight="1">
      <c r="A25" s="227" t="s">
        <v>281</v>
      </c>
      <c r="B25" s="261" t="s">
        <v>630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591</v>
      </c>
      <c r="C26" s="237">
        <v>4388984</v>
      </c>
      <c r="D26" s="237">
        <v>13908471</v>
      </c>
      <c r="E26" s="237">
        <f aca="true" t="shared" si="2" ref="E26:E36">D26-C26</f>
        <v>9519487</v>
      </c>
      <c r="F26" s="238">
        <f aca="true" t="shared" si="3" ref="F26:F36">IF(C26=0,0,E26/C26)</f>
        <v>2.168950034905573</v>
      </c>
    </row>
    <row r="27" spans="1:6" ht="20.25" customHeight="1">
      <c r="A27" s="235">
        <v>2</v>
      </c>
      <c r="B27" s="236" t="s">
        <v>592</v>
      </c>
      <c r="C27" s="237">
        <v>1076671</v>
      </c>
      <c r="D27" s="237">
        <v>3132903</v>
      </c>
      <c r="E27" s="237">
        <f t="shared" si="2"/>
        <v>2056232</v>
      </c>
      <c r="F27" s="238">
        <f t="shared" si="3"/>
        <v>1.9098053165730293</v>
      </c>
    </row>
    <row r="28" spans="1:6" ht="20.25" customHeight="1">
      <c r="A28" s="235">
        <v>3</v>
      </c>
      <c r="B28" s="236" t="s">
        <v>593</v>
      </c>
      <c r="C28" s="237">
        <v>4967821</v>
      </c>
      <c r="D28" s="237">
        <v>21424290</v>
      </c>
      <c r="E28" s="237">
        <f t="shared" si="2"/>
        <v>16456469</v>
      </c>
      <c r="F28" s="238">
        <f t="shared" si="3"/>
        <v>3.312613115488662</v>
      </c>
    </row>
    <row r="29" spans="1:6" ht="20.25" customHeight="1">
      <c r="A29" s="235">
        <v>4</v>
      </c>
      <c r="B29" s="236" t="s">
        <v>594</v>
      </c>
      <c r="C29" s="237">
        <v>1014877</v>
      </c>
      <c r="D29" s="237">
        <v>4215878</v>
      </c>
      <c r="E29" s="237">
        <f t="shared" si="2"/>
        <v>3201001</v>
      </c>
      <c r="F29" s="238">
        <f t="shared" si="3"/>
        <v>3.154077784795596</v>
      </c>
    </row>
    <row r="30" spans="1:6" ht="20.25" customHeight="1">
      <c r="A30" s="235">
        <v>5</v>
      </c>
      <c r="B30" s="236" t="s">
        <v>530</v>
      </c>
      <c r="C30" s="239">
        <v>357</v>
      </c>
      <c r="D30" s="239">
        <v>974</v>
      </c>
      <c r="E30" s="239">
        <f t="shared" si="2"/>
        <v>617</v>
      </c>
      <c r="F30" s="238">
        <f t="shared" si="3"/>
        <v>1.7282913165266107</v>
      </c>
    </row>
    <row r="31" spans="1:6" ht="20.25" customHeight="1">
      <c r="A31" s="235">
        <v>6</v>
      </c>
      <c r="B31" s="236" t="s">
        <v>529</v>
      </c>
      <c r="C31" s="239">
        <v>1145</v>
      </c>
      <c r="D31" s="239">
        <v>2883</v>
      </c>
      <c r="E31" s="239">
        <f t="shared" si="2"/>
        <v>1738</v>
      </c>
      <c r="F31" s="238">
        <f t="shared" si="3"/>
        <v>1.5179039301310044</v>
      </c>
    </row>
    <row r="32" spans="1:6" ht="20.25" customHeight="1">
      <c r="A32" s="235">
        <v>7</v>
      </c>
      <c r="B32" s="236" t="s">
        <v>595</v>
      </c>
      <c r="C32" s="239">
        <v>3114</v>
      </c>
      <c r="D32" s="239">
        <v>10979</v>
      </c>
      <c r="E32" s="239">
        <f t="shared" si="2"/>
        <v>7865</v>
      </c>
      <c r="F32" s="238">
        <f t="shared" si="3"/>
        <v>2.525690430314708</v>
      </c>
    </row>
    <row r="33" spans="1:6" ht="20.25" customHeight="1">
      <c r="A33" s="235">
        <v>8</v>
      </c>
      <c r="B33" s="236" t="s">
        <v>596</v>
      </c>
      <c r="C33" s="239">
        <v>2027</v>
      </c>
      <c r="D33" s="239">
        <v>6852</v>
      </c>
      <c r="E33" s="239">
        <f t="shared" si="2"/>
        <v>4825</v>
      </c>
      <c r="F33" s="238">
        <f t="shared" si="3"/>
        <v>2.3803650715342872</v>
      </c>
    </row>
    <row r="34" spans="1:6" ht="20.25" customHeight="1">
      <c r="A34" s="235">
        <v>9</v>
      </c>
      <c r="B34" s="236" t="s">
        <v>597</v>
      </c>
      <c r="C34" s="239">
        <v>92</v>
      </c>
      <c r="D34" s="239">
        <v>186</v>
      </c>
      <c r="E34" s="239">
        <f t="shared" si="2"/>
        <v>94</v>
      </c>
      <c r="F34" s="238">
        <f t="shared" si="3"/>
        <v>1.0217391304347827</v>
      </c>
    </row>
    <row r="35" spans="1:6" s="240" customFormat="1" ht="39.75" customHeight="1">
      <c r="A35" s="245"/>
      <c r="B35" s="242" t="s">
        <v>598</v>
      </c>
      <c r="C35" s="243">
        <f>+C26+C28</f>
        <v>9356805</v>
      </c>
      <c r="D35" s="243">
        <f>+D26+D28</f>
        <v>35332761</v>
      </c>
      <c r="E35" s="243">
        <f t="shared" si="2"/>
        <v>25975956</v>
      </c>
      <c r="F35" s="244">
        <f t="shared" si="3"/>
        <v>2.7761566047384765</v>
      </c>
    </row>
    <row r="36" spans="1:6" s="240" customFormat="1" ht="39.75" customHeight="1">
      <c r="A36" s="245"/>
      <c r="B36" s="242" t="s">
        <v>627</v>
      </c>
      <c r="C36" s="243">
        <f>+C27+C29</f>
        <v>2091548</v>
      </c>
      <c r="D36" s="243">
        <f>+D27+D29</f>
        <v>7348781</v>
      </c>
      <c r="E36" s="243">
        <f t="shared" si="2"/>
        <v>5257233</v>
      </c>
      <c r="F36" s="244">
        <f t="shared" si="3"/>
        <v>2.513560769344046</v>
      </c>
    </row>
    <row r="37" spans="1:6" ht="42" customHeight="1">
      <c r="A37" s="227" t="s">
        <v>298</v>
      </c>
      <c r="B37" s="261" t="s">
        <v>631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591</v>
      </c>
      <c r="C38" s="237">
        <v>2571443</v>
      </c>
      <c r="D38" s="237">
        <v>0</v>
      </c>
      <c r="E38" s="237">
        <f aca="true" t="shared" si="4" ref="E38:E48">D38-C38</f>
        <v>-2571443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592</v>
      </c>
      <c r="C39" s="237">
        <v>586762</v>
      </c>
      <c r="D39" s="237">
        <v>0</v>
      </c>
      <c r="E39" s="237">
        <f t="shared" si="4"/>
        <v>-586762</v>
      </c>
      <c r="F39" s="238">
        <f t="shared" si="5"/>
        <v>-1</v>
      </c>
    </row>
    <row r="40" spans="1:6" ht="20.25" customHeight="1">
      <c r="A40" s="235">
        <v>3</v>
      </c>
      <c r="B40" s="236" t="s">
        <v>593</v>
      </c>
      <c r="C40" s="237">
        <v>2731204</v>
      </c>
      <c r="D40" s="237">
        <v>0</v>
      </c>
      <c r="E40" s="237">
        <f t="shared" si="4"/>
        <v>-2731204</v>
      </c>
      <c r="F40" s="238">
        <f t="shared" si="5"/>
        <v>-1</v>
      </c>
    </row>
    <row r="41" spans="1:6" ht="20.25" customHeight="1">
      <c r="A41" s="235">
        <v>4</v>
      </c>
      <c r="B41" s="236" t="s">
        <v>594</v>
      </c>
      <c r="C41" s="237">
        <v>609219</v>
      </c>
      <c r="D41" s="237">
        <v>0</v>
      </c>
      <c r="E41" s="237">
        <f t="shared" si="4"/>
        <v>-609219</v>
      </c>
      <c r="F41" s="238">
        <f t="shared" si="5"/>
        <v>-1</v>
      </c>
    </row>
    <row r="42" spans="1:6" ht="20.25" customHeight="1">
      <c r="A42" s="235">
        <v>5</v>
      </c>
      <c r="B42" s="236" t="s">
        <v>530</v>
      </c>
      <c r="C42" s="239">
        <v>199</v>
      </c>
      <c r="D42" s="239">
        <v>0</v>
      </c>
      <c r="E42" s="239">
        <f t="shared" si="4"/>
        <v>-199</v>
      </c>
      <c r="F42" s="238">
        <f t="shared" si="5"/>
        <v>-1</v>
      </c>
    </row>
    <row r="43" spans="1:6" ht="20.25" customHeight="1">
      <c r="A43" s="235">
        <v>6</v>
      </c>
      <c r="B43" s="236" t="s">
        <v>529</v>
      </c>
      <c r="C43" s="239">
        <v>624</v>
      </c>
      <c r="D43" s="239">
        <v>0</v>
      </c>
      <c r="E43" s="239">
        <f t="shared" si="4"/>
        <v>-624</v>
      </c>
      <c r="F43" s="238">
        <f t="shared" si="5"/>
        <v>-1</v>
      </c>
    </row>
    <row r="44" spans="1:6" ht="20.25" customHeight="1">
      <c r="A44" s="235">
        <v>7</v>
      </c>
      <c r="B44" s="236" t="s">
        <v>595</v>
      </c>
      <c r="C44" s="239">
        <v>1402</v>
      </c>
      <c r="D44" s="239">
        <v>0</v>
      </c>
      <c r="E44" s="239">
        <f t="shared" si="4"/>
        <v>-1402</v>
      </c>
      <c r="F44" s="238">
        <f t="shared" si="5"/>
        <v>-1</v>
      </c>
    </row>
    <row r="45" spans="1:6" ht="20.25" customHeight="1">
      <c r="A45" s="235">
        <v>8</v>
      </c>
      <c r="B45" s="236" t="s">
        <v>596</v>
      </c>
      <c r="C45" s="239">
        <v>958</v>
      </c>
      <c r="D45" s="239">
        <v>0</v>
      </c>
      <c r="E45" s="239">
        <f t="shared" si="4"/>
        <v>-958</v>
      </c>
      <c r="F45" s="238">
        <f t="shared" si="5"/>
        <v>-1</v>
      </c>
    </row>
    <row r="46" spans="1:6" ht="20.25" customHeight="1">
      <c r="A46" s="235">
        <v>9</v>
      </c>
      <c r="B46" s="236" t="s">
        <v>597</v>
      </c>
      <c r="C46" s="239">
        <v>45</v>
      </c>
      <c r="D46" s="239">
        <v>0</v>
      </c>
      <c r="E46" s="239">
        <f t="shared" si="4"/>
        <v>-45</v>
      </c>
      <c r="F46" s="238">
        <f t="shared" si="5"/>
        <v>-1</v>
      </c>
    </row>
    <row r="47" spans="1:6" s="240" customFormat="1" ht="39.75" customHeight="1">
      <c r="A47" s="245"/>
      <c r="B47" s="242" t="s">
        <v>598</v>
      </c>
      <c r="C47" s="243">
        <f>+C38+C40</f>
        <v>5302647</v>
      </c>
      <c r="D47" s="243">
        <f>+D38+D40</f>
        <v>0</v>
      </c>
      <c r="E47" s="243">
        <f t="shared" si="4"/>
        <v>-5302647</v>
      </c>
      <c r="F47" s="244">
        <f t="shared" si="5"/>
        <v>-1</v>
      </c>
    </row>
    <row r="48" spans="1:6" s="240" customFormat="1" ht="39.75" customHeight="1">
      <c r="A48" s="245"/>
      <c r="B48" s="242" t="s">
        <v>627</v>
      </c>
      <c r="C48" s="243">
        <f>+C39+C41</f>
        <v>1195981</v>
      </c>
      <c r="D48" s="243">
        <f>+D39+D41</f>
        <v>0</v>
      </c>
      <c r="E48" s="243">
        <f t="shared" si="4"/>
        <v>-1195981</v>
      </c>
      <c r="F48" s="244">
        <f t="shared" si="5"/>
        <v>-1</v>
      </c>
    </row>
    <row r="49" spans="1:6" ht="42" customHeight="1">
      <c r="A49" s="227" t="s">
        <v>328</v>
      </c>
      <c r="B49" s="261" t="s">
        <v>632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591</v>
      </c>
      <c r="C50" s="237">
        <v>79014</v>
      </c>
      <c r="D50" s="237">
        <v>1095989</v>
      </c>
      <c r="E50" s="237">
        <f aca="true" t="shared" si="6" ref="E50:E60">D50-C50</f>
        <v>1016975</v>
      </c>
      <c r="F50" s="238">
        <f aca="true" t="shared" si="7" ref="F50:F60">IF(C50=0,0,E50/C50)</f>
        <v>12.870820360948693</v>
      </c>
    </row>
    <row r="51" spans="1:6" ht="20.25" customHeight="1">
      <c r="A51" s="235">
        <v>2</v>
      </c>
      <c r="B51" s="236" t="s">
        <v>592</v>
      </c>
      <c r="C51" s="237">
        <v>15986</v>
      </c>
      <c r="D51" s="237">
        <v>236817</v>
      </c>
      <c r="E51" s="237">
        <f t="shared" si="6"/>
        <v>220831</v>
      </c>
      <c r="F51" s="238">
        <f t="shared" si="7"/>
        <v>13.814024771675216</v>
      </c>
    </row>
    <row r="52" spans="1:6" ht="20.25" customHeight="1">
      <c r="A52" s="235">
        <v>3</v>
      </c>
      <c r="B52" s="236" t="s">
        <v>593</v>
      </c>
      <c r="C52" s="237">
        <v>38629</v>
      </c>
      <c r="D52" s="237">
        <v>1332963</v>
      </c>
      <c r="E52" s="237">
        <f t="shared" si="6"/>
        <v>1294334</v>
      </c>
      <c r="F52" s="238">
        <f t="shared" si="7"/>
        <v>33.50679541277279</v>
      </c>
    </row>
    <row r="53" spans="1:6" ht="20.25" customHeight="1">
      <c r="A53" s="235">
        <v>4</v>
      </c>
      <c r="B53" s="236" t="s">
        <v>594</v>
      </c>
      <c r="C53" s="237">
        <v>4565</v>
      </c>
      <c r="D53" s="237">
        <v>246343</v>
      </c>
      <c r="E53" s="237">
        <f t="shared" si="6"/>
        <v>241778</v>
      </c>
      <c r="F53" s="238">
        <f t="shared" si="7"/>
        <v>52.96341730558598</v>
      </c>
    </row>
    <row r="54" spans="1:6" ht="20.25" customHeight="1">
      <c r="A54" s="235">
        <v>5</v>
      </c>
      <c r="B54" s="236" t="s">
        <v>530</v>
      </c>
      <c r="C54" s="239">
        <v>7</v>
      </c>
      <c r="D54" s="239">
        <v>40</v>
      </c>
      <c r="E54" s="239">
        <f t="shared" si="6"/>
        <v>33</v>
      </c>
      <c r="F54" s="238">
        <f t="shared" si="7"/>
        <v>4.714285714285714</v>
      </c>
    </row>
    <row r="55" spans="1:6" ht="20.25" customHeight="1">
      <c r="A55" s="235">
        <v>6</v>
      </c>
      <c r="B55" s="236" t="s">
        <v>529</v>
      </c>
      <c r="C55" s="239">
        <v>17</v>
      </c>
      <c r="D55" s="239">
        <v>204</v>
      </c>
      <c r="E55" s="239">
        <f t="shared" si="6"/>
        <v>187</v>
      </c>
      <c r="F55" s="238">
        <f t="shared" si="7"/>
        <v>11</v>
      </c>
    </row>
    <row r="56" spans="1:6" ht="20.25" customHeight="1">
      <c r="A56" s="235">
        <v>7</v>
      </c>
      <c r="B56" s="236" t="s">
        <v>595</v>
      </c>
      <c r="C56" s="239">
        <v>4</v>
      </c>
      <c r="D56" s="239">
        <v>265</v>
      </c>
      <c r="E56" s="239">
        <f t="shared" si="6"/>
        <v>261</v>
      </c>
      <c r="F56" s="238">
        <f t="shared" si="7"/>
        <v>65.25</v>
      </c>
    </row>
    <row r="57" spans="1:6" ht="20.25" customHeight="1">
      <c r="A57" s="235">
        <v>8</v>
      </c>
      <c r="B57" s="236" t="s">
        <v>596</v>
      </c>
      <c r="C57" s="239">
        <v>25</v>
      </c>
      <c r="D57" s="239">
        <v>674</v>
      </c>
      <c r="E57" s="239">
        <f t="shared" si="6"/>
        <v>649</v>
      </c>
      <c r="F57" s="238">
        <f t="shared" si="7"/>
        <v>25.96</v>
      </c>
    </row>
    <row r="58" spans="1:6" ht="20.25" customHeight="1">
      <c r="A58" s="235">
        <v>9</v>
      </c>
      <c r="B58" s="236" t="s">
        <v>597</v>
      </c>
      <c r="C58" s="239">
        <v>4</v>
      </c>
      <c r="D58" s="239">
        <v>0</v>
      </c>
      <c r="E58" s="239">
        <f t="shared" si="6"/>
        <v>-4</v>
      </c>
      <c r="F58" s="238">
        <f t="shared" si="7"/>
        <v>-1</v>
      </c>
    </row>
    <row r="59" spans="1:6" s="240" customFormat="1" ht="39.75" customHeight="1">
      <c r="A59" s="245"/>
      <c r="B59" s="242" t="s">
        <v>598</v>
      </c>
      <c r="C59" s="243">
        <f>+C50+C52</f>
        <v>117643</v>
      </c>
      <c r="D59" s="243">
        <f>+D50+D52</f>
        <v>2428952</v>
      </c>
      <c r="E59" s="243">
        <f t="shared" si="6"/>
        <v>2311309</v>
      </c>
      <c r="F59" s="244">
        <f t="shared" si="7"/>
        <v>19.64680431474886</v>
      </c>
    </row>
    <row r="60" spans="1:6" s="240" customFormat="1" ht="39.75" customHeight="1">
      <c r="A60" s="245"/>
      <c r="B60" s="242" t="s">
        <v>627</v>
      </c>
      <c r="C60" s="243">
        <f>+C51+C53</f>
        <v>20551</v>
      </c>
      <c r="D60" s="243">
        <f>+D51+D53</f>
        <v>483160</v>
      </c>
      <c r="E60" s="243">
        <f t="shared" si="6"/>
        <v>462609</v>
      </c>
      <c r="F60" s="244">
        <f t="shared" si="7"/>
        <v>22.51029147000146</v>
      </c>
    </row>
    <row r="61" spans="1:6" ht="42" customHeight="1">
      <c r="A61" s="227" t="s">
        <v>333</v>
      </c>
      <c r="B61" s="261" t="s">
        <v>606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591</v>
      </c>
      <c r="C62" s="237">
        <v>1166334</v>
      </c>
      <c r="D62" s="237">
        <v>0</v>
      </c>
      <c r="E62" s="237">
        <f aca="true" t="shared" si="8" ref="E62:E72">D62-C62</f>
        <v>-1166334</v>
      </c>
      <c r="F62" s="238">
        <f aca="true" t="shared" si="9" ref="F62:F72">IF(C62=0,0,E62/C62)</f>
        <v>-1</v>
      </c>
    </row>
    <row r="63" spans="1:6" ht="20.25" customHeight="1">
      <c r="A63" s="235">
        <v>2</v>
      </c>
      <c r="B63" s="236" t="s">
        <v>592</v>
      </c>
      <c r="C63" s="237">
        <v>293381</v>
      </c>
      <c r="D63" s="237">
        <v>0</v>
      </c>
      <c r="E63" s="237">
        <f t="shared" si="8"/>
        <v>-293381</v>
      </c>
      <c r="F63" s="238">
        <f t="shared" si="9"/>
        <v>-1</v>
      </c>
    </row>
    <row r="64" spans="1:6" ht="20.25" customHeight="1">
      <c r="A64" s="235">
        <v>3</v>
      </c>
      <c r="B64" s="236" t="s">
        <v>593</v>
      </c>
      <c r="C64" s="237">
        <v>1586996</v>
      </c>
      <c r="D64" s="237">
        <v>2723</v>
      </c>
      <c r="E64" s="237">
        <f t="shared" si="8"/>
        <v>-1584273</v>
      </c>
      <c r="F64" s="238">
        <f t="shared" si="9"/>
        <v>-0.9982841796702702</v>
      </c>
    </row>
    <row r="65" spans="1:6" ht="20.25" customHeight="1">
      <c r="A65" s="235">
        <v>4</v>
      </c>
      <c r="B65" s="236" t="s">
        <v>594</v>
      </c>
      <c r="C65" s="237">
        <v>310639</v>
      </c>
      <c r="D65" s="237">
        <v>219</v>
      </c>
      <c r="E65" s="237">
        <f t="shared" si="8"/>
        <v>-310420</v>
      </c>
      <c r="F65" s="238">
        <f t="shared" si="9"/>
        <v>-0.9992950015934895</v>
      </c>
    </row>
    <row r="66" spans="1:6" ht="20.25" customHeight="1">
      <c r="A66" s="235">
        <v>5</v>
      </c>
      <c r="B66" s="236" t="s">
        <v>530</v>
      </c>
      <c r="C66" s="239">
        <v>104</v>
      </c>
      <c r="D66" s="239">
        <v>0</v>
      </c>
      <c r="E66" s="239">
        <f t="shared" si="8"/>
        <v>-104</v>
      </c>
      <c r="F66" s="238">
        <f t="shared" si="9"/>
        <v>-1</v>
      </c>
    </row>
    <row r="67" spans="1:6" ht="20.25" customHeight="1">
      <c r="A67" s="235">
        <v>6</v>
      </c>
      <c r="B67" s="236" t="s">
        <v>529</v>
      </c>
      <c r="C67" s="239">
        <v>312</v>
      </c>
      <c r="D67" s="239">
        <v>0</v>
      </c>
      <c r="E67" s="239">
        <f t="shared" si="8"/>
        <v>-312</v>
      </c>
      <c r="F67" s="238">
        <f t="shared" si="9"/>
        <v>-1</v>
      </c>
    </row>
    <row r="68" spans="1:6" ht="20.25" customHeight="1">
      <c r="A68" s="235">
        <v>7</v>
      </c>
      <c r="B68" s="236" t="s">
        <v>595</v>
      </c>
      <c r="C68" s="239">
        <v>872</v>
      </c>
      <c r="D68" s="239">
        <v>0</v>
      </c>
      <c r="E68" s="239">
        <f t="shared" si="8"/>
        <v>-872</v>
      </c>
      <c r="F68" s="238">
        <f t="shared" si="9"/>
        <v>-1</v>
      </c>
    </row>
    <row r="69" spans="1:6" ht="20.25" customHeight="1">
      <c r="A69" s="235">
        <v>8</v>
      </c>
      <c r="B69" s="236" t="s">
        <v>596</v>
      </c>
      <c r="C69" s="239">
        <v>701</v>
      </c>
      <c r="D69" s="239">
        <v>2</v>
      </c>
      <c r="E69" s="239">
        <f t="shared" si="8"/>
        <v>-699</v>
      </c>
      <c r="F69" s="238">
        <f t="shared" si="9"/>
        <v>-0.9971469329529244</v>
      </c>
    </row>
    <row r="70" spans="1:6" ht="20.25" customHeight="1">
      <c r="A70" s="235">
        <v>9</v>
      </c>
      <c r="B70" s="236" t="s">
        <v>597</v>
      </c>
      <c r="C70" s="239">
        <v>31</v>
      </c>
      <c r="D70" s="239">
        <v>0</v>
      </c>
      <c r="E70" s="239">
        <f t="shared" si="8"/>
        <v>-31</v>
      </c>
      <c r="F70" s="238">
        <f t="shared" si="9"/>
        <v>-1</v>
      </c>
    </row>
    <row r="71" spans="1:6" s="240" customFormat="1" ht="39.75" customHeight="1">
      <c r="A71" s="245"/>
      <c r="B71" s="242" t="s">
        <v>598</v>
      </c>
      <c r="C71" s="243">
        <f>+C62+C64</f>
        <v>2753330</v>
      </c>
      <c r="D71" s="243">
        <f>+D62+D64</f>
        <v>2723</v>
      </c>
      <c r="E71" s="243">
        <f t="shared" si="8"/>
        <v>-2750607</v>
      </c>
      <c r="F71" s="244">
        <f t="shared" si="9"/>
        <v>-0.999011015751835</v>
      </c>
    </row>
    <row r="72" spans="1:6" s="240" customFormat="1" ht="39.75" customHeight="1">
      <c r="A72" s="245"/>
      <c r="B72" s="242" t="s">
        <v>627</v>
      </c>
      <c r="C72" s="243">
        <f>+C63+C65</f>
        <v>604020</v>
      </c>
      <c r="D72" s="243">
        <f>+D63+D65</f>
        <v>219</v>
      </c>
      <c r="E72" s="243">
        <f t="shared" si="8"/>
        <v>-603801</v>
      </c>
      <c r="F72" s="244">
        <f t="shared" si="9"/>
        <v>-0.9996374292241978</v>
      </c>
    </row>
    <row r="73" spans="1:6" ht="42" customHeight="1">
      <c r="A73" s="227" t="s">
        <v>339</v>
      </c>
      <c r="B73" s="261" t="s">
        <v>633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591</v>
      </c>
      <c r="C74" s="237">
        <v>0</v>
      </c>
      <c r="D74" s="237">
        <v>0</v>
      </c>
      <c r="E74" s="237">
        <f aca="true" t="shared" si="10" ref="E74:E84">D74-C74</f>
        <v>0</v>
      </c>
      <c r="F74" s="238">
        <f aca="true" t="shared" si="11" ref="F74:F84">IF(C74=0,0,E74/C74)</f>
        <v>0</v>
      </c>
    </row>
    <row r="75" spans="1:6" ht="20.25" customHeight="1">
      <c r="A75" s="235">
        <v>2</v>
      </c>
      <c r="B75" s="236" t="s">
        <v>592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>
      <c r="A76" s="235">
        <v>3</v>
      </c>
      <c r="B76" s="236" t="s">
        <v>593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>
      <c r="A77" s="235">
        <v>4</v>
      </c>
      <c r="B77" s="236" t="s">
        <v>594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>
      <c r="A78" s="235">
        <v>5</v>
      </c>
      <c r="B78" s="236" t="s">
        <v>530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>
      <c r="A79" s="235">
        <v>6</v>
      </c>
      <c r="B79" s="236" t="s">
        <v>529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>
      <c r="A80" s="235">
        <v>7</v>
      </c>
      <c r="B80" s="236" t="s">
        <v>595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>
      <c r="A81" s="235">
        <v>8</v>
      </c>
      <c r="B81" s="236" t="s">
        <v>596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>
      <c r="A82" s="235">
        <v>9</v>
      </c>
      <c r="B82" s="236" t="s">
        <v>597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598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75" customHeight="1">
      <c r="A84" s="245"/>
      <c r="B84" s="242" t="s">
        <v>627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>
      <c r="A85" s="227" t="s">
        <v>341</v>
      </c>
      <c r="B85" s="261" t="s">
        <v>634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591</v>
      </c>
      <c r="C86" s="237">
        <v>0</v>
      </c>
      <c r="D86" s="237">
        <v>0</v>
      </c>
      <c r="E86" s="237">
        <f aca="true" t="shared" si="12" ref="E86:E96">D86-C86</f>
        <v>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592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>
      <c r="A88" s="235">
        <v>3</v>
      </c>
      <c r="B88" s="236" t="s">
        <v>593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>
      <c r="A89" s="235">
        <v>4</v>
      </c>
      <c r="B89" s="236" t="s">
        <v>594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>
      <c r="A90" s="235">
        <v>5</v>
      </c>
      <c r="B90" s="236" t="s">
        <v>530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>
      <c r="A91" s="235">
        <v>6</v>
      </c>
      <c r="B91" s="236" t="s">
        <v>529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>
      <c r="A92" s="235">
        <v>7</v>
      </c>
      <c r="B92" s="236" t="s">
        <v>595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>
      <c r="A93" s="235">
        <v>8</v>
      </c>
      <c r="B93" s="236" t="s">
        <v>596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>
      <c r="A94" s="235">
        <v>9</v>
      </c>
      <c r="B94" s="236" t="s">
        <v>597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75" customHeight="1">
      <c r="A95" s="245"/>
      <c r="B95" s="242" t="s">
        <v>598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75" customHeight="1">
      <c r="A96" s="245"/>
      <c r="B96" s="242" t="s">
        <v>627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6" ht="42" customHeight="1">
      <c r="A97" s="227" t="s">
        <v>344</v>
      </c>
      <c r="B97" s="261" t="s">
        <v>607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591</v>
      </c>
      <c r="C98" s="237">
        <v>3215</v>
      </c>
      <c r="D98" s="237">
        <v>3342613</v>
      </c>
      <c r="E98" s="237">
        <f aca="true" t="shared" si="14" ref="E98:E108">D98-C98</f>
        <v>3339398</v>
      </c>
      <c r="F98" s="238">
        <f aca="true" t="shared" si="15" ref="F98:F108">IF(C98=0,0,E98/C98)</f>
        <v>1038.69300155521</v>
      </c>
    </row>
    <row r="99" spans="1:6" ht="20.25" customHeight="1">
      <c r="A99" s="235">
        <v>2</v>
      </c>
      <c r="B99" s="236" t="s">
        <v>592</v>
      </c>
      <c r="C99" s="237">
        <v>1881</v>
      </c>
      <c r="D99" s="237">
        <v>641450</v>
      </c>
      <c r="E99" s="237">
        <f t="shared" si="14"/>
        <v>639569</v>
      </c>
      <c r="F99" s="238">
        <f t="shared" si="15"/>
        <v>340.0154173312068</v>
      </c>
    </row>
    <row r="100" spans="1:6" ht="20.25" customHeight="1">
      <c r="A100" s="235">
        <v>3</v>
      </c>
      <c r="B100" s="236" t="s">
        <v>593</v>
      </c>
      <c r="C100" s="237">
        <v>0</v>
      </c>
      <c r="D100" s="237">
        <v>4779915</v>
      </c>
      <c r="E100" s="237">
        <f t="shared" si="14"/>
        <v>4779915</v>
      </c>
      <c r="F100" s="238">
        <f t="shared" si="15"/>
        <v>0</v>
      </c>
    </row>
    <row r="101" spans="1:6" ht="20.25" customHeight="1">
      <c r="A101" s="235">
        <v>4</v>
      </c>
      <c r="B101" s="236" t="s">
        <v>594</v>
      </c>
      <c r="C101" s="237">
        <v>0</v>
      </c>
      <c r="D101" s="237">
        <v>985034</v>
      </c>
      <c r="E101" s="237">
        <f t="shared" si="14"/>
        <v>985034</v>
      </c>
      <c r="F101" s="238">
        <f t="shared" si="15"/>
        <v>0</v>
      </c>
    </row>
    <row r="102" spans="1:6" ht="20.25" customHeight="1">
      <c r="A102" s="235">
        <v>5</v>
      </c>
      <c r="B102" s="236" t="s">
        <v>530</v>
      </c>
      <c r="C102" s="239">
        <v>1</v>
      </c>
      <c r="D102" s="239">
        <v>167</v>
      </c>
      <c r="E102" s="239">
        <f t="shared" si="14"/>
        <v>166</v>
      </c>
      <c r="F102" s="238">
        <f t="shared" si="15"/>
        <v>166</v>
      </c>
    </row>
    <row r="103" spans="1:6" ht="20.25" customHeight="1">
      <c r="A103" s="235">
        <v>6</v>
      </c>
      <c r="B103" s="236" t="s">
        <v>529</v>
      </c>
      <c r="C103" s="239">
        <v>2</v>
      </c>
      <c r="D103" s="239">
        <v>580</v>
      </c>
      <c r="E103" s="239">
        <f t="shared" si="14"/>
        <v>578</v>
      </c>
      <c r="F103" s="238">
        <f t="shared" si="15"/>
        <v>289</v>
      </c>
    </row>
    <row r="104" spans="1:6" ht="20.25" customHeight="1">
      <c r="A104" s="235">
        <v>7</v>
      </c>
      <c r="B104" s="236" t="s">
        <v>595</v>
      </c>
      <c r="C104" s="239">
        <v>0</v>
      </c>
      <c r="D104" s="239">
        <v>1732</v>
      </c>
      <c r="E104" s="239">
        <f t="shared" si="14"/>
        <v>1732</v>
      </c>
      <c r="F104" s="238">
        <f t="shared" si="15"/>
        <v>0</v>
      </c>
    </row>
    <row r="105" spans="1:6" ht="20.25" customHeight="1">
      <c r="A105" s="235">
        <v>8</v>
      </c>
      <c r="B105" s="236" t="s">
        <v>596</v>
      </c>
      <c r="C105" s="239">
        <v>0</v>
      </c>
      <c r="D105" s="239">
        <v>1818</v>
      </c>
      <c r="E105" s="239">
        <f t="shared" si="14"/>
        <v>1818</v>
      </c>
      <c r="F105" s="238">
        <f t="shared" si="15"/>
        <v>0</v>
      </c>
    </row>
    <row r="106" spans="1:6" ht="20.25" customHeight="1">
      <c r="A106" s="235">
        <v>9</v>
      </c>
      <c r="B106" s="236" t="s">
        <v>597</v>
      </c>
      <c r="C106" s="239">
        <v>0</v>
      </c>
      <c r="D106" s="239">
        <v>42</v>
      </c>
      <c r="E106" s="239">
        <f t="shared" si="14"/>
        <v>42</v>
      </c>
      <c r="F106" s="238">
        <f t="shared" si="15"/>
        <v>0</v>
      </c>
    </row>
    <row r="107" spans="1:6" s="240" customFormat="1" ht="39.75" customHeight="1">
      <c r="A107" s="245"/>
      <c r="B107" s="242" t="s">
        <v>598</v>
      </c>
      <c r="C107" s="243">
        <f>+C98+C100</f>
        <v>3215</v>
      </c>
      <c r="D107" s="243">
        <f>+D98+D100</f>
        <v>8122528</v>
      </c>
      <c r="E107" s="243">
        <f t="shared" si="14"/>
        <v>8119313</v>
      </c>
      <c r="F107" s="244">
        <f t="shared" si="15"/>
        <v>2525.4472783825818</v>
      </c>
    </row>
    <row r="108" spans="1:6" s="240" customFormat="1" ht="39.75" customHeight="1">
      <c r="A108" s="245"/>
      <c r="B108" s="242" t="s">
        <v>627</v>
      </c>
      <c r="C108" s="243">
        <f>+C99+C101</f>
        <v>1881</v>
      </c>
      <c r="D108" s="243">
        <f>+D99+D101</f>
        <v>1626484</v>
      </c>
      <c r="E108" s="243">
        <f t="shared" si="14"/>
        <v>1624603</v>
      </c>
      <c r="F108" s="244">
        <f t="shared" si="15"/>
        <v>863.6911217437533</v>
      </c>
    </row>
    <row r="109" spans="1:7" s="240" customFormat="1" ht="20.25" customHeight="1">
      <c r="A109" s="676" t="s">
        <v>201</v>
      </c>
      <c r="B109" s="678" t="s">
        <v>635</v>
      </c>
      <c r="C109" s="680"/>
      <c r="D109" s="681"/>
      <c r="E109" s="681"/>
      <c r="F109" s="682"/>
      <c r="G109" s="212"/>
    </row>
    <row r="110" spans="1:6" ht="20.25" customHeight="1">
      <c r="A110" s="677"/>
      <c r="B110" s="679"/>
      <c r="C110" s="683"/>
      <c r="D110" s="684"/>
      <c r="E110" s="684"/>
      <c r="F110" s="685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617</v>
      </c>
      <c r="C112" s="243">
        <f aca="true" t="shared" si="16" ref="C112:D120">+C98+C86+C74+C62+C50+C38+C26+C14</f>
        <v>22255598</v>
      </c>
      <c r="D112" s="243">
        <f t="shared" si="16"/>
        <v>21928723</v>
      </c>
      <c r="E112" s="243">
        <f aca="true" t="shared" si="17" ref="E112:E122">D112-C112</f>
        <v>-326875</v>
      </c>
      <c r="F112" s="244">
        <f aca="true" t="shared" si="18" ref="F112:F122">IF(C112=0,0,E112/C112)</f>
        <v>-0.014687315973266592</v>
      </c>
    </row>
    <row r="113" spans="1:6" ht="20.25" customHeight="1">
      <c r="A113" s="249"/>
      <c r="B113" s="250" t="s">
        <v>618</v>
      </c>
      <c r="C113" s="243">
        <f t="shared" si="16"/>
        <v>5157678</v>
      </c>
      <c r="D113" s="243">
        <f t="shared" si="16"/>
        <v>4792305</v>
      </c>
      <c r="E113" s="243">
        <f t="shared" si="17"/>
        <v>-365373</v>
      </c>
      <c r="F113" s="244">
        <f t="shared" si="18"/>
        <v>-0.0708405991998725</v>
      </c>
    </row>
    <row r="114" spans="1:6" ht="20.25" customHeight="1">
      <c r="A114" s="249"/>
      <c r="B114" s="250" t="s">
        <v>619</v>
      </c>
      <c r="C114" s="243">
        <f t="shared" si="16"/>
        <v>26964415</v>
      </c>
      <c r="D114" s="243">
        <f t="shared" si="16"/>
        <v>33242687</v>
      </c>
      <c r="E114" s="243">
        <f t="shared" si="17"/>
        <v>6278272</v>
      </c>
      <c r="F114" s="244">
        <f t="shared" si="18"/>
        <v>0.23283546110679576</v>
      </c>
    </row>
    <row r="115" spans="1:6" ht="20.25" customHeight="1">
      <c r="A115" s="249"/>
      <c r="B115" s="250" t="s">
        <v>620</v>
      </c>
      <c r="C115" s="243">
        <f t="shared" si="16"/>
        <v>5621303</v>
      </c>
      <c r="D115" s="243">
        <f t="shared" si="16"/>
        <v>6515498</v>
      </c>
      <c r="E115" s="243">
        <f t="shared" si="17"/>
        <v>894195</v>
      </c>
      <c r="F115" s="244">
        <f t="shared" si="18"/>
        <v>0.159072549549455</v>
      </c>
    </row>
    <row r="116" spans="1:6" ht="20.25" customHeight="1">
      <c r="A116" s="249"/>
      <c r="B116" s="250" t="s">
        <v>621</v>
      </c>
      <c r="C116" s="252">
        <f t="shared" si="16"/>
        <v>1745</v>
      </c>
      <c r="D116" s="252">
        <f t="shared" si="16"/>
        <v>1413</v>
      </c>
      <c r="E116" s="252">
        <f t="shared" si="17"/>
        <v>-332</v>
      </c>
      <c r="F116" s="244">
        <f t="shared" si="18"/>
        <v>-0.19025787965616045</v>
      </c>
    </row>
    <row r="117" spans="1:6" ht="20.25" customHeight="1">
      <c r="A117" s="249"/>
      <c r="B117" s="250" t="s">
        <v>622</v>
      </c>
      <c r="C117" s="252">
        <f t="shared" si="16"/>
        <v>5485</v>
      </c>
      <c r="D117" s="252">
        <f t="shared" si="16"/>
        <v>4365</v>
      </c>
      <c r="E117" s="252">
        <f t="shared" si="17"/>
        <v>-1120</v>
      </c>
      <c r="F117" s="244">
        <f t="shared" si="18"/>
        <v>-0.2041932543299909</v>
      </c>
    </row>
    <row r="118" spans="1:6" ht="39.75" customHeight="1">
      <c r="A118" s="249"/>
      <c r="B118" s="250" t="s">
        <v>623</v>
      </c>
      <c r="C118" s="252">
        <f t="shared" si="16"/>
        <v>15182</v>
      </c>
      <c r="D118" s="252">
        <f t="shared" si="16"/>
        <v>15885</v>
      </c>
      <c r="E118" s="252">
        <f t="shared" si="17"/>
        <v>703</v>
      </c>
      <c r="F118" s="244">
        <f t="shared" si="18"/>
        <v>0.04630483467263865</v>
      </c>
    </row>
    <row r="119" spans="1:6" ht="39.75" customHeight="1">
      <c r="A119" s="249"/>
      <c r="B119" s="250" t="s">
        <v>624</v>
      </c>
      <c r="C119" s="252">
        <f t="shared" si="16"/>
        <v>9593</v>
      </c>
      <c r="D119" s="252">
        <f t="shared" si="16"/>
        <v>11075</v>
      </c>
      <c r="E119" s="252">
        <f t="shared" si="17"/>
        <v>1482</v>
      </c>
      <c r="F119" s="244">
        <f t="shared" si="18"/>
        <v>0.1544876472427812</v>
      </c>
    </row>
    <row r="120" spans="1:6" ht="39.75" customHeight="1">
      <c r="A120" s="249"/>
      <c r="B120" s="250" t="s">
        <v>625</v>
      </c>
      <c r="C120" s="252">
        <f t="shared" si="16"/>
        <v>483</v>
      </c>
      <c r="D120" s="252">
        <f t="shared" si="16"/>
        <v>305</v>
      </c>
      <c r="E120" s="252">
        <f t="shared" si="17"/>
        <v>-178</v>
      </c>
      <c r="F120" s="244">
        <f t="shared" si="18"/>
        <v>-0.36853002070393376</v>
      </c>
    </row>
    <row r="121" spans="1:6" ht="39.75" customHeight="1">
      <c r="A121" s="249"/>
      <c r="B121" s="242" t="s">
        <v>598</v>
      </c>
      <c r="C121" s="243">
        <f>+C112+C114</f>
        <v>49220013</v>
      </c>
      <c r="D121" s="243">
        <f>+D112+D114</f>
        <v>55171410</v>
      </c>
      <c r="E121" s="243">
        <f t="shared" si="17"/>
        <v>5951397</v>
      </c>
      <c r="F121" s="244">
        <f t="shared" si="18"/>
        <v>0.12091416960820388</v>
      </c>
    </row>
    <row r="122" spans="1:6" ht="39.75" customHeight="1">
      <c r="A122" s="249"/>
      <c r="B122" s="242" t="s">
        <v>627</v>
      </c>
      <c r="C122" s="243">
        <f>+C113+C115</f>
        <v>10778981</v>
      </c>
      <c r="D122" s="243">
        <f>+D113+D115</f>
        <v>11307803</v>
      </c>
      <c r="E122" s="243">
        <f t="shared" si="17"/>
        <v>528822</v>
      </c>
      <c r="F122" s="244">
        <f t="shared" si="18"/>
        <v>0.04906048169117285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FILING&amp;RWATERBURY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G36" sqref="G36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636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637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14837426</v>
      </c>
      <c r="D13" s="23">
        <v>19343506</v>
      </c>
      <c r="E13" s="23">
        <f aca="true" t="shared" si="0" ref="E13:E22">D13-C13</f>
        <v>4506080</v>
      </c>
      <c r="F13" s="24">
        <f aca="true" t="shared" si="1" ref="F13:F22">IF(C13=0,0,E13/C13)</f>
        <v>0.3036968811167112</v>
      </c>
    </row>
    <row r="14" spans="1:6" ht="24" customHeight="1">
      <c r="A14" s="21">
        <v>2</v>
      </c>
      <c r="B14" s="22" t="s">
        <v>174</v>
      </c>
      <c r="C14" s="23">
        <v>548261</v>
      </c>
      <c r="D14" s="23">
        <v>819938</v>
      </c>
      <c r="E14" s="23">
        <f t="shared" si="0"/>
        <v>271677</v>
      </c>
      <c r="F14" s="24">
        <f t="shared" si="1"/>
        <v>0.4955249415880393</v>
      </c>
    </row>
    <row r="15" spans="1:6" ht="34.5" customHeight="1">
      <c r="A15" s="21">
        <v>3</v>
      </c>
      <c r="B15" s="22" t="s">
        <v>175</v>
      </c>
      <c r="C15" s="23">
        <v>37698199</v>
      </c>
      <c r="D15" s="23">
        <v>34132488</v>
      </c>
      <c r="E15" s="23">
        <f t="shared" si="0"/>
        <v>-3565711</v>
      </c>
      <c r="F15" s="24">
        <f t="shared" si="1"/>
        <v>-0.09458571217155494</v>
      </c>
    </row>
    <row r="16" spans="1:6" ht="34.5" customHeight="1">
      <c r="A16" s="21">
        <v>4</v>
      </c>
      <c r="B16" s="22" t="s">
        <v>176</v>
      </c>
      <c r="C16" s="23">
        <v>2737177</v>
      </c>
      <c r="D16" s="23">
        <v>573887</v>
      </c>
      <c r="E16" s="23">
        <f t="shared" si="0"/>
        <v>-2163290</v>
      </c>
      <c r="F16" s="24">
        <f t="shared" si="1"/>
        <v>-0.7903361748253767</v>
      </c>
    </row>
    <row r="17" spans="1:6" ht="24" customHeight="1">
      <c r="A17" s="21">
        <v>5</v>
      </c>
      <c r="B17" s="22" t="s">
        <v>177</v>
      </c>
      <c r="C17" s="23">
        <v>2559601</v>
      </c>
      <c r="D17" s="23">
        <v>1531902</v>
      </c>
      <c r="E17" s="23">
        <f t="shared" si="0"/>
        <v>-1027699</v>
      </c>
      <c r="F17" s="24">
        <f t="shared" si="1"/>
        <v>-0.4015075005830987</v>
      </c>
    </row>
    <row r="18" spans="1:6" ht="24" customHeight="1">
      <c r="A18" s="21">
        <v>6</v>
      </c>
      <c r="B18" s="22" t="s">
        <v>178</v>
      </c>
      <c r="C18" s="23">
        <v>575043</v>
      </c>
      <c r="D18" s="23">
        <v>0</v>
      </c>
      <c r="E18" s="23">
        <f t="shared" si="0"/>
        <v>-575043</v>
      </c>
      <c r="F18" s="24">
        <f t="shared" si="1"/>
        <v>-1</v>
      </c>
    </row>
    <row r="19" spans="1:6" ht="24" customHeight="1">
      <c r="A19" s="21">
        <v>7</v>
      </c>
      <c r="B19" s="22" t="s">
        <v>179</v>
      </c>
      <c r="C19" s="23">
        <v>608211</v>
      </c>
      <c r="D19" s="23">
        <v>584339</v>
      </c>
      <c r="E19" s="23">
        <f t="shared" si="0"/>
        <v>-23872</v>
      </c>
      <c r="F19" s="24">
        <f t="shared" si="1"/>
        <v>-0.03924953675615864</v>
      </c>
    </row>
    <row r="20" spans="1:6" ht="24" customHeight="1">
      <c r="A20" s="21">
        <v>8</v>
      </c>
      <c r="B20" s="22" t="s">
        <v>180</v>
      </c>
      <c r="C20" s="23">
        <v>1792742</v>
      </c>
      <c r="D20" s="23">
        <v>1404755</v>
      </c>
      <c r="E20" s="23">
        <f t="shared" si="0"/>
        <v>-387987</v>
      </c>
      <c r="F20" s="24">
        <f t="shared" si="1"/>
        <v>-0.2164209908620426</v>
      </c>
    </row>
    <row r="21" spans="1:6" ht="24" customHeight="1">
      <c r="A21" s="21">
        <v>9</v>
      </c>
      <c r="B21" s="22" t="s">
        <v>181</v>
      </c>
      <c r="C21" s="23">
        <v>275709</v>
      </c>
      <c r="D21" s="23">
        <v>145408</v>
      </c>
      <c r="E21" s="23">
        <f t="shared" si="0"/>
        <v>-130301</v>
      </c>
      <c r="F21" s="24">
        <f t="shared" si="1"/>
        <v>-0.47260336078981824</v>
      </c>
    </row>
    <row r="22" spans="1:6" ht="24" customHeight="1">
      <c r="A22" s="25"/>
      <c r="B22" s="26" t="s">
        <v>182</v>
      </c>
      <c r="C22" s="27">
        <f>SUM(C13:C21)</f>
        <v>61632369</v>
      </c>
      <c r="D22" s="27">
        <f>SUM(D13:D21)</f>
        <v>58536223</v>
      </c>
      <c r="E22" s="27">
        <f t="shared" si="0"/>
        <v>-3096146</v>
      </c>
      <c r="F22" s="28">
        <f t="shared" si="1"/>
        <v>-0.050235712990360636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38548695</v>
      </c>
      <c r="D25" s="23">
        <v>37864978</v>
      </c>
      <c r="E25" s="23">
        <f>D25-C25</f>
        <v>-683717</v>
      </c>
      <c r="F25" s="24">
        <f>IF(C25=0,0,E25/C25)</f>
        <v>-0.017736449962832725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188</v>
      </c>
      <c r="C28" s="23">
        <v>4666396</v>
      </c>
      <c r="D28" s="23">
        <v>2055943</v>
      </c>
      <c r="E28" s="23">
        <f>D28-C28</f>
        <v>-2610453</v>
      </c>
      <c r="F28" s="24">
        <f>IF(C28=0,0,E28/C28)</f>
        <v>-0.55941523179773</v>
      </c>
    </row>
    <row r="29" spans="1:6" ht="34.5" customHeight="1">
      <c r="A29" s="25"/>
      <c r="B29" s="26" t="s">
        <v>189</v>
      </c>
      <c r="C29" s="27">
        <f>SUM(C25:C28)</f>
        <v>43215091</v>
      </c>
      <c r="D29" s="27">
        <f>SUM(D25:D28)</f>
        <v>39920921</v>
      </c>
      <c r="E29" s="27">
        <f>D29-C29</f>
        <v>-3294170</v>
      </c>
      <c r="F29" s="28">
        <f>IF(C29=0,0,E29/C29)</f>
        <v>-0.07622730679891429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32964272</v>
      </c>
      <c r="D32" s="23">
        <v>30168049</v>
      </c>
      <c r="E32" s="23">
        <f>D32-C32</f>
        <v>-2796223</v>
      </c>
      <c r="F32" s="24">
        <f>IF(C32=0,0,E32/C32)</f>
        <v>-0.08482586844326488</v>
      </c>
    </row>
    <row r="33" spans="1:6" ht="24" customHeight="1">
      <c r="A33" s="21">
        <v>7</v>
      </c>
      <c r="B33" s="22" t="s">
        <v>192</v>
      </c>
      <c r="C33" s="23">
        <v>2275828</v>
      </c>
      <c r="D33" s="23">
        <v>4587071</v>
      </c>
      <c r="E33" s="23">
        <f>D33-C33</f>
        <v>2311243</v>
      </c>
      <c r="F33" s="24">
        <f>IF(C33=0,0,E33/C33)</f>
        <v>1.0155613693126193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193</v>
      </c>
      <c r="B35" s="30" t="s">
        <v>194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195</v>
      </c>
      <c r="C36" s="23">
        <v>255640875</v>
      </c>
      <c r="D36" s="23">
        <v>257885293</v>
      </c>
      <c r="E36" s="23">
        <f>D36-C36</f>
        <v>2244418</v>
      </c>
      <c r="F36" s="24">
        <f>IF(C36=0,0,E36/C36)</f>
        <v>0.008779574080240493</v>
      </c>
    </row>
    <row r="37" spans="1:6" ht="24" customHeight="1">
      <c r="A37" s="21">
        <v>2</v>
      </c>
      <c r="B37" s="22" t="s">
        <v>196</v>
      </c>
      <c r="C37" s="23">
        <v>198386192</v>
      </c>
      <c r="D37" s="23">
        <v>207922774</v>
      </c>
      <c r="E37" s="23">
        <f>D37-C37</f>
        <v>9536582</v>
      </c>
      <c r="F37" s="23">
        <f>IF(C37=0,0,E37/C37)</f>
        <v>0.04807079516905088</v>
      </c>
    </row>
    <row r="38" spans="1:6" ht="24" customHeight="1">
      <c r="A38" s="25"/>
      <c r="B38" s="26" t="s">
        <v>197</v>
      </c>
      <c r="C38" s="27">
        <f>C36-C37</f>
        <v>57254683</v>
      </c>
      <c r="D38" s="27">
        <f>D36-D37</f>
        <v>49962519</v>
      </c>
      <c r="E38" s="27">
        <f>D38-C38</f>
        <v>-7292164</v>
      </c>
      <c r="F38" s="28">
        <f>IF(C38=0,0,E38/C38)</f>
        <v>-0.12736362543479632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198</v>
      </c>
      <c r="C40" s="23">
        <v>193299</v>
      </c>
      <c r="D40" s="23">
        <v>134784</v>
      </c>
      <c r="E40" s="23">
        <f>D40-C40</f>
        <v>-58515</v>
      </c>
      <c r="F40" s="24">
        <f>IF(C40=0,0,E40/C40)</f>
        <v>-0.30271755156519176</v>
      </c>
    </row>
    <row r="41" spans="1:6" ht="24" customHeight="1">
      <c r="A41" s="25"/>
      <c r="B41" s="26" t="s">
        <v>199</v>
      </c>
      <c r="C41" s="27">
        <f>+C38+C40</f>
        <v>57447982</v>
      </c>
      <c r="D41" s="27">
        <f>+D38+D40</f>
        <v>50097303</v>
      </c>
      <c r="E41" s="27">
        <f>D41-C41</f>
        <v>-7350679</v>
      </c>
      <c r="F41" s="28">
        <f>IF(C41=0,0,E41/C41)</f>
        <v>-0.12795365031272987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200</v>
      </c>
      <c r="C43" s="27">
        <f>C22+C29+C31+C32+C33+C41</f>
        <v>197535542</v>
      </c>
      <c r="D43" s="27">
        <f>D22+D29+D31+D32+D33+D41</f>
        <v>183309567</v>
      </c>
      <c r="E43" s="27">
        <f>D43-C43</f>
        <v>-14225975</v>
      </c>
      <c r="F43" s="28">
        <f>IF(C43=0,0,E43/C43)</f>
        <v>-0.07201729296897871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204</v>
      </c>
      <c r="C49" s="23">
        <v>30851726</v>
      </c>
      <c r="D49" s="23">
        <v>25053002</v>
      </c>
      <c r="E49" s="23">
        <f aca="true" t="shared" si="2" ref="E49:E56">D49-C49</f>
        <v>-5798724</v>
      </c>
      <c r="F49" s="24">
        <f aca="true" t="shared" si="3" ref="F49:F56">IF(C49=0,0,E49/C49)</f>
        <v>-0.1879546058460392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0</v>
      </c>
      <c r="D50" s="23">
        <v>0</v>
      </c>
      <c r="E50" s="23">
        <f t="shared" si="2"/>
        <v>0</v>
      </c>
      <c r="F50" s="24">
        <f t="shared" si="3"/>
        <v>0</v>
      </c>
    </row>
    <row r="51" spans="1:6" ht="24" customHeight="1">
      <c r="A51" s="21">
        <f t="shared" si="4"/>
        <v>3</v>
      </c>
      <c r="B51" s="22" t="s">
        <v>206</v>
      </c>
      <c r="C51" s="23">
        <v>0</v>
      </c>
      <c r="D51" s="23">
        <v>1195037</v>
      </c>
      <c r="E51" s="23">
        <f t="shared" si="2"/>
        <v>1195037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207</v>
      </c>
      <c r="C52" s="23">
        <v>416047</v>
      </c>
      <c r="D52" s="23">
        <v>0</v>
      </c>
      <c r="E52" s="23">
        <f t="shared" si="2"/>
        <v>-416047</v>
      </c>
      <c r="F52" s="24">
        <f t="shared" si="3"/>
        <v>-1</v>
      </c>
    </row>
    <row r="53" spans="1:6" ht="24" customHeight="1">
      <c r="A53" s="21">
        <f t="shared" si="4"/>
        <v>5</v>
      </c>
      <c r="B53" s="22" t="s">
        <v>208</v>
      </c>
      <c r="C53" s="23">
        <v>835000</v>
      </c>
      <c r="D53" s="23">
        <v>865000</v>
      </c>
      <c r="E53" s="23">
        <f t="shared" si="2"/>
        <v>30000</v>
      </c>
      <c r="F53" s="24">
        <f t="shared" si="3"/>
        <v>0.03592814371257485</v>
      </c>
    </row>
    <row r="54" spans="1:6" ht="24" customHeight="1">
      <c r="A54" s="21">
        <f t="shared" si="4"/>
        <v>6</v>
      </c>
      <c r="B54" s="22" t="s">
        <v>209</v>
      </c>
      <c r="C54" s="23">
        <v>5010284</v>
      </c>
      <c r="D54" s="23">
        <v>442010</v>
      </c>
      <c r="E54" s="23">
        <f t="shared" si="2"/>
        <v>-4568274</v>
      </c>
      <c r="F54" s="24">
        <f t="shared" si="3"/>
        <v>-0.911779452023079</v>
      </c>
    </row>
    <row r="55" spans="1:6" ht="24" customHeight="1">
      <c r="A55" s="21">
        <f t="shared" si="4"/>
        <v>7</v>
      </c>
      <c r="B55" s="22" t="s">
        <v>210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211</v>
      </c>
      <c r="C56" s="27">
        <f>SUM(C49:C55)</f>
        <v>37113057</v>
      </c>
      <c r="D56" s="27">
        <f>SUM(D49:D55)</f>
        <v>27555049</v>
      </c>
      <c r="E56" s="27">
        <f t="shared" si="2"/>
        <v>-9558008</v>
      </c>
      <c r="F56" s="28">
        <f t="shared" si="3"/>
        <v>-0.2575376100114846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213</v>
      </c>
      <c r="C59" s="23">
        <v>21387150</v>
      </c>
      <c r="D59" s="23">
        <v>20547007</v>
      </c>
      <c r="E59" s="23">
        <f>D59-C59</f>
        <v>-840143</v>
      </c>
      <c r="F59" s="24">
        <f>IF(C59=0,0,E59/C59)</f>
        <v>-0.03928260661191416</v>
      </c>
    </row>
    <row r="60" spans="1:6" ht="24" customHeight="1">
      <c r="A60" s="21">
        <v>2</v>
      </c>
      <c r="B60" s="22" t="s">
        <v>214</v>
      </c>
      <c r="C60" s="23">
        <v>565884</v>
      </c>
      <c r="D60" s="23">
        <v>634843</v>
      </c>
      <c r="E60" s="23">
        <f>D60-C60</f>
        <v>68959</v>
      </c>
      <c r="F60" s="24">
        <f>IF(C60=0,0,E60/C60)</f>
        <v>0.12186066402301532</v>
      </c>
    </row>
    <row r="61" spans="1:6" ht="24" customHeight="1">
      <c r="A61" s="25"/>
      <c r="B61" s="26" t="s">
        <v>215</v>
      </c>
      <c r="C61" s="27">
        <f>SUM(C59:C60)</f>
        <v>21953034</v>
      </c>
      <c r="D61" s="27">
        <f>SUM(D59:D60)</f>
        <v>21181850</v>
      </c>
      <c r="E61" s="27">
        <f>D61-C61</f>
        <v>-771184</v>
      </c>
      <c r="F61" s="28">
        <f>IF(C61=0,0,E61/C61)</f>
        <v>-0.03512881180797151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216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>
      <c r="A64" s="21">
        <v>4</v>
      </c>
      <c r="B64" s="22" t="s">
        <v>217</v>
      </c>
      <c r="C64" s="23">
        <v>7826358</v>
      </c>
      <c r="D64" s="23">
        <v>14365164</v>
      </c>
      <c r="E64" s="23">
        <f>D64-C64</f>
        <v>6538806</v>
      </c>
      <c r="F64" s="24">
        <f>IF(C64=0,0,E64/C64)</f>
        <v>0.8354851643638075</v>
      </c>
    </row>
    <row r="65" spans="1:6" ht="24" customHeight="1">
      <c r="A65" s="25"/>
      <c r="B65" s="26" t="s">
        <v>218</v>
      </c>
      <c r="C65" s="27">
        <f>SUM(C61:C64)</f>
        <v>29779392</v>
      </c>
      <c r="D65" s="27">
        <f>SUM(D61:D64)</f>
        <v>35547014</v>
      </c>
      <c r="E65" s="27">
        <f>D65-C65</f>
        <v>5767622</v>
      </c>
      <c r="F65" s="28">
        <f>IF(C65=0,0,E65/C65)</f>
        <v>0.19367829940920217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219</v>
      </c>
      <c r="C67" s="23">
        <v>2417095</v>
      </c>
      <c r="D67" s="23">
        <v>2530345</v>
      </c>
      <c r="E67" s="23">
        <f>D67-C67</f>
        <v>113250</v>
      </c>
      <c r="F67" s="46">
        <f>IF(C67=0,0,E67/C67)</f>
        <v>0.04685376453966435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193</v>
      </c>
      <c r="B69" s="41" t="s">
        <v>220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221</v>
      </c>
      <c r="C70" s="23">
        <v>76183050</v>
      </c>
      <c r="D70" s="23">
        <v>69255238</v>
      </c>
      <c r="E70" s="23">
        <f>D70-C70</f>
        <v>-6927812</v>
      </c>
      <c r="F70" s="24">
        <f>IF(C70=0,0,E70/C70)</f>
        <v>-0.09093639595684341</v>
      </c>
    </row>
    <row r="71" spans="1:6" ht="24" customHeight="1">
      <c r="A71" s="21">
        <v>2</v>
      </c>
      <c r="B71" s="22" t="s">
        <v>222</v>
      </c>
      <c r="C71" s="23">
        <v>10702822</v>
      </c>
      <c r="D71" s="23">
        <v>7764952</v>
      </c>
      <c r="E71" s="23">
        <f>D71-C71</f>
        <v>-2937870</v>
      </c>
      <c r="F71" s="24">
        <f>IF(C71=0,0,E71/C71)</f>
        <v>-0.2744948948978129</v>
      </c>
    </row>
    <row r="72" spans="1:6" ht="24" customHeight="1">
      <c r="A72" s="21">
        <v>3</v>
      </c>
      <c r="B72" s="22" t="s">
        <v>223</v>
      </c>
      <c r="C72" s="23">
        <v>41340126</v>
      </c>
      <c r="D72" s="23">
        <v>40656969</v>
      </c>
      <c r="E72" s="23">
        <f>D72-C72</f>
        <v>-683157</v>
      </c>
      <c r="F72" s="24">
        <f>IF(C72=0,0,E72/C72)</f>
        <v>-0.016525276192917264</v>
      </c>
    </row>
    <row r="73" spans="1:6" ht="24" customHeight="1">
      <c r="A73" s="21"/>
      <c r="B73" s="26" t="s">
        <v>224</v>
      </c>
      <c r="C73" s="27">
        <f>SUM(C70:C72)</f>
        <v>128225998</v>
      </c>
      <c r="D73" s="27">
        <f>SUM(D70:D72)</f>
        <v>117677159</v>
      </c>
      <c r="E73" s="27">
        <f>D73-C73</f>
        <v>-10548839</v>
      </c>
      <c r="F73" s="28">
        <f>IF(C73=0,0,E73/C73)</f>
        <v>-0.08226755232585517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225</v>
      </c>
      <c r="C75" s="27">
        <f>C56+C65+C67+C73</f>
        <v>197535542</v>
      </c>
      <c r="D75" s="27">
        <f>D56+D65+D67+D73</f>
        <v>183309567</v>
      </c>
      <c r="E75" s="27">
        <f>D75-C75</f>
        <v>-14225975</v>
      </c>
      <c r="F75" s="28">
        <f>IF(C75=0,0,E75/C75)</f>
        <v>-0.07201729296897871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FILING&amp;RGREATER WATERBURY HEALTH NETWORK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2" sqref="A2:F2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636</v>
      </c>
      <c r="B1" s="696"/>
      <c r="C1" s="696"/>
      <c r="D1" s="696"/>
      <c r="E1" s="696"/>
      <c r="F1" s="697"/>
    </row>
    <row r="2" spans="1:6" ht="22.5" customHeight="1">
      <c r="A2" s="695" t="s">
        <v>158</v>
      </c>
      <c r="B2" s="696"/>
      <c r="C2" s="696"/>
      <c r="D2" s="696"/>
      <c r="E2" s="696"/>
      <c r="F2" s="697"/>
    </row>
    <row r="3" spans="1:6" ht="22.5" customHeight="1">
      <c r="A3" s="695" t="s">
        <v>159</v>
      </c>
      <c r="B3" s="696"/>
      <c r="C3" s="696"/>
      <c r="D3" s="696"/>
      <c r="E3" s="696"/>
      <c r="F3" s="697"/>
    </row>
    <row r="4" spans="1:6" ht="22.5" customHeight="1">
      <c r="A4" s="695" t="s">
        <v>638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738607872</v>
      </c>
      <c r="D12" s="51">
        <v>874444095</v>
      </c>
      <c r="E12" s="51">
        <f aca="true" t="shared" si="0" ref="E12:E19">D12-C12</f>
        <v>135836223</v>
      </c>
      <c r="F12" s="70">
        <f aca="true" t="shared" si="1" ref="F12:F19">IF(C12=0,0,E12/C12)</f>
        <v>0.18390844201563017</v>
      </c>
    </row>
    <row r="13" spans="1:6" ht="22.5" customHeight="1">
      <c r="A13" s="25">
        <v>2</v>
      </c>
      <c r="B13" s="48" t="s">
        <v>229</v>
      </c>
      <c r="C13" s="51">
        <v>496179702</v>
      </c>
      <c r="D13" s="51">
        <v>613049353</v>
      </c>
      <c r="E13" s="51">
        <f t="shared" si="0"/>
        <v>116869651</v>
      </c>
      <c r="F13" s="70">
        <f t="shared" si="1"/>
        <v>0.23553896003589442</v>
      </c>
    </row>
    <row r="14" spans="1:6" ht="22.5" customHeight="1">
      <c r="A14" s="25">
        <v>3</v>
      </c>
      <c r="B14" s="48" t="s">
        <v>230</v>
      </c>
      <c r="C14" s="51">
        <v>3956734</v>
      </c>
      <c r="D14" s="51">
        <v>3273671</v>
      </c>
      <c r="E14" s="51">
        <f t="shared" si="0"/>
        <v>-683063</v>
      </c>
      <c r="F14" s="70">
        <f t="shared" si="1"/>
        <v>-0.1726330352255168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238471436</v>
      </c>
      <c r="D16" s="27">
        <f>D12-D13-D14-D15</f>
        <v>258121071</v>
      </c>
      <c r="E16" s="27">
        <f t="shared" si="0"/>
        <v>19649635</v>
      </c>
      <c r="F16" s="28">
        <f t="shared" si="1"/>
        <v>0.08239827515442981</v>
      </c>
    </row>
    <row r="17" spans="1:7" ht="22.5" customHeight="1">
      <c r="A17" s="25">
        <v>5</v>
      </c>
      <c r="B17" s="48" t="s">
        <v>233</v>
      </c>
      <c r="C17" s="51">
        <v>15904506</v>
      </c>
      <c r="D17" s="51">
        <v>13154938</v>
      </c>
      <c r="E17" s="51">
        <f t="shared" si="0"/>
        <v>-2749568</v>
      </c>
      <c r="F17" s="70">
        <f t="shared" si="1"/>
        <v>-0.17287981154523127</v>
      </c>
      <c r="G17" s="64"/>
    </row>
    <row r="18" spans="1:7" ht="33" customHeight="1">
      <c r="A18" s="25">
        <v>6</v>
      </c>
      <c r="B18" s="45" t="s">
        <v>234</v>
      </c>
      <c r="C18" s="51">
        <v>4742105</v>
      </c>
      <c r="D18" s="51">
        <v>5108393</v>
      </c>
      <c r="E18" s="51">
        <f t="shared" si="0"/>
        <v>366288</v>
      </c>
      <c r="F18" s="70">
        <f t="shared" si="1"/>
        <v>0.07724164690575178</v>
      </c>
      <c r="G18" s="64"/>
    </row>
    <row r="19" spans="1:6" ht="22.5" customHeight="1">
      <c r="A19" s="29"/>
      <c r="B19" s="71" t="s">
        <v>235</v>
      </c>
      <c r="C19" s="27">
        <f>SUM(C16:C18)</f>
        <v>259118047</v>
      </c>
      <c r="D19" s="27">
        <f>SUM(D16:D18)</f>
        <v>276384402</v>
      </c>
      <c r="E19" s="27">
        <f t="shared" si="0"/>
        <v>17266355</v>
      </c>
      <c r="F19" s="28">
        <f t="shared" si="1"/>
        <v>0.06663509238320248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154419089</v>
      </c>
      <c r="D22" s="51">
        <v>152082483</v>
      </c>
      <c r="E22" s="51">
        <f aca="true" t="shared" si="2" ref="E22:E31">D22-C22</f>
        <v>-2336606</v>
      </c>
      <c r="F22" s="70">
        <f aca="true" t="shared" si="3" ref="F22:F31">IF(C22=0,0,E22/C22)</f>
        <v>-0.01513158777928032</v>
      </c>
    </row>
    <row r="23" spans="1:6" ht="22.5" customHeight="1">
      <c r="A23" s="25">
        <v>2</v>
      </c>
      <c r="B23" s="48" t="s">
        <v>238</v>
      </c>
      <c r="C23" s="51">
        <v>0</v>
      </c>
      <c r="D23" s="51">
        <v>0</v>
      </c>
      <c r="E23" s="51">
        <f t="shared" si="2"/>
        <v>0</v>
      </c>
      <c r="F23" s="70">
        <f t="shared" si="3"/>
        <v>0</v>
      </c>
    </row>
    <row r="24" spans="1:7" ht="22.5" customHeight="1">
      <c r="A24" s="25">
        <v>3</v>
      </c>
      <c r="B24" s="48" t="s">
        <v>239</v>
      </c>
      <c r="C24" s="51">
        <v>0</v>
      </c>
      <c r="D24" s="51">
        <v>0</v>
      </c>
      <c r="E24" s="51">
        <f t="shared" si="2"/>
        <v>0</v>
      </c>
      <c r="F24" s="70">
        <f t="shared" si="3"/>
        <v>0</v>
      </c>
      <c r="G24" s="64"/>
    </row>
    <row r="25" spans="1:6" ht="22.5" customHeight="1">
      <c r="A25" s="25">
        <v>4</v>
      </c>
      <c r="B25" s="48" t="s">
        <v>240</v>
      </c>
      <c r="C25" s="51">
        <v>89295673</v>
      </c>
      <c r="D25" s="51">
        <v>90618383</v>
      </c>
      <c r="E25" s="51">
        <f t="shared" si="2"/>
        <v>1322710</v>
      </c>
      <c r="F25" s="70">
        <f t="shared" si="3"/>
        <v>0.014812699827011775</v>
      </c>
    </row>
    <row r="26" spans="1:6" ht="22.5" customHeight="1">
      <c r="A26" s="25">
        <v>5</v>
      </c>
      <c r="B26" s="48" t="s">
        <v>241</v>
      </c>
      <c r="C26" s="51">
        <v>10474375</v>
      </c>
      <c r="D26" s="51">
        <v>9919723</v>
      </c>
      <c r="E26" s="51">
        <f t="shared" si="2"/>
        <v>-554652</v>
      </c>
      <c r="F26" s="70">
        <f t="shared" si="3"/>
        <v>-0.05295323109970762</v>
      </c>
    </row>
    <row r="27" spans="1:6" ht="22.5" customHeight="1">
      <c r="A27" s="25">
        <v>6</v>
      </c>
      <c r="B27" s="48" t="s">
        <v>242</v>
      </c>
      <c r="C27" s="51">
        <v>17897459</v>
      </c>
      <c r="D27" s="51">
        <v>14440795</v>
      </c>
      <c r="E27" s="51">
        <f t="shared" si="2"/>
        <v>-3456664</v>
      </c>
      <c r="F27" s="70">
        <f t="shared" si="3"/>
        <v>-0.1931371375120904</v>
      </c>
    </row>
    <row r="28" spans="1:6" ht="22.5" customHeight="1">
      <c r="A28" s="25">
        <v>7</v>
      </c>
      <c r="B28" s="48" t="s">
        <v>243</v>
      </c>
      <c r="C28" s="51">
        <v>1719620</v>
      </c>
      <c r="D28" s="51">
        <v>1607522</v>
      </c>
      <c r="E28" s="51">
        <f t="shared" si="2"/>
        <v>-112098</v>
      </c>
      <c r="F28" s="70">
        <f t="shared" si="3"/>
        <v>-0.06518765773833754</v>
      </c>
    </row>
    <row r="29" spans="1:6" ht="22.5" customHeight="1">
      <c r="A29" s="25">
        <v>8</v>
      </c>
      <c r="B29" s="48" t="s">
        <v>244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6" ht="22.5" customHeight="1">
      <c r="A30" s="25">
        <v>9</v>
      </c>
      <c r="B30" s="48" t="s">
        <v>245</v>
      </c>
      <c r="C30" s="51">
        <v>167035</v>
      </c>
      <c r="D30" s="51">
        <v>12908481</v>
      </c>
      <c r="E30" s="51">
        <f t="shared" si="2"/>
        <v>12741446</v>
      </c>
      <c r="F30" s="70">
        <f t="shared" si="3"/>
        <v>76.28009698566169</v>
      </c>
    </row>
    <row r="31" spans="1:6" ht="22.5" customHeight="1">
      <c r="A31" s="29"/>
      <c r="B31" s="71" t="s">
        <v>246</v>
      </c>
      <c r="C31" s="27">
        <f>SUM(C22:C30)</f>
        <v>273973251</v>
      </c>
      <c r="D31" s="27">
        <f>SUM(D22:D30)</f>
        <v>281577387</v>
      </c>
      <c r="E31" s="27">
        <f t="shared" si="2"/>
        <v>7604136</v>
      </c>
      <c r="F31" s="28">
        <f t="shared" si="3"/>
        <v>0.027755030727434044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-14855204</v>
      </c>
      <c r="D33" s="27">
        <f>+D19-D31</f>
        <v>-5192985</v>
      </c>
      <c r="E33" s="27">
        <f>D33-C33</f>
        <v>9662219</v>
      </c>
      <c r="F33" s="28">
        <f>IF(C33=0,0,E33/C33)</f>
        <v>-0.6504265441255468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1263709</v>
      </c>
      <c r="D36" s="51">
        <v>2668767</v>
      </c>
      <c r="E36" s="51">
        <f>D36-C36</f>
        <v>1405058</v>
      </c>
      <c r="F36" s="70">
        <f>IF(C36=0,0,E36/C36)</f>
        <v>1.1118524913567918</v>
      </c>
    </row>
    <row r="37" spans="1:6" ht="22.5" customHeight="1">
      <c r="A37" s="44">
        <v>2</v>
      </c>
      <c r="B37" s="48" t="s">
        <v>250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251</v>
      </c>
      <c r="C38" s="51">
        <v>-4235892</v>
      </c>
      <c r="D38" s="51">
        <v>-779918</v>
      </c>
      <c r="E38" s="51">
        <f>D38-C38</f>
        <v>3455974</v>
      </c>
      <c r="F38" s="70">
        <f>IF(C38=0,0,E38/C38)</f>
        <v>-0.8158786862365707</v>
      </c>
    </row>
    <row r="39" spans="1:6" ht="22.5" customHeight="1">
      <c r="A39" s="20"/>
      <c r="B39" s="71" t="s">
        <v>252</v>
      </c>
      <c r="C39" s="27">
        <f>SUM(C36:C38)</f>
        <v>-2972183</v>
      </c>
      <c r="D39" s="27">
        <f>SUM(D36:D38)</f>
        <v>1888849</v>
      </c>
      <c r="E39" s="27">
        <f>D39-C39</f>
        <v>4861032</v>
      </c>
      <c r="F39" s="28">
        <f>IF(C39=0,0,E39/C39)</f>
        <v>-1.6355089844737016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-17827387</v>
      </c>
      <c r="D41" s="27">
        <f>D33+D39</f>
        <v>-3304136</v>
      </c>
      <c r="E41" s="27">
        <f>D41-C41</f>
        <v>14523251</v>
      </c>
      <c r="F41" s="28">
        <f>IF(C41=0,0,E41/C41)</f>
        <v>-0.8146595460119871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258</v>
      </c>
      <c r="C48" s="27">
        <f>C41+C46</f>
        <v>-17827387</v>
      </c>
      <c r="D48" s="27">
        <f>D41+D46</f>
        <v>-3304136</v>
      </c>
      <c r="E48" s="27">
        <f>D48-C48</f>
        <v>14523251</v>
      </c>
      <c r="F48" s="28">
        <f>IF(C48=0,0,E48/C48)</f>
        <v>-0.8146595460119871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FILING&amp;R&amp;8GREATER WATERBURY HEALTH NETWORK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2010-08-17T20:34:30Z</cp:lastPrinted>
  <dcterms:created xsi:type="dcterms:W3CDTF">2006-08-03T13:49:12Z</dcterms:created>
  <dcterms:modified xsi:type="dcterms:W3CDTF">2010-08-17T20:34:35Z</dcterms:modified>
  <cp:category/>
  <cp:version/>
  <cp:contentType/>
  <cp:contentStatus/>
</cp:coreProperties>
</file>