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<sst xmlns="http://schemas.openxmlformats.org/spreadsheetml/2006/main" count="2300" uniqueCount="978">
  <si>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</si>
  <si>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</si>
  <si>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</si>
  <si>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</si>
  <si>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</si>
  <si>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</si>
  <si>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</si>
  <si>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</si>
  <si>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</si>
  <si>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</si>
  <si>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</si>
  <si>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</si>
  <si>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</si>
  <si>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</si>
  <si>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</si>
  <si>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</si>
  <si>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</si>
  <si>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</si>
  <si>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</si>
  <si>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</si>
  <si>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</si>
  <si>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</si>
  <si>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</si>
  <si>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</si>
  <si>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</si>
  <si>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</si>
  <si>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</si>
  <si>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</si>
  <si>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</si>
  <si>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</si>
  <si>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</si>
  <si>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</si>
  <si>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</si>
  <si>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</si>
  <si>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</si>
  <si>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</si>
  <si>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</si>
  <si>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</si>
  <si>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</si>
  <si>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</si>
  <si>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</si>
  <si>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</si>
  <si>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</si>
  <si>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</si>
  <si>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</si>
  <si>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</si>
  <si>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</si>
  <si>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</si>
  <si>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</si>
  <si>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</si>
  <si>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</si>
  <si>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</si>
  <si>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</si>
  <si>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</si>
  <si>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</si>
  <si>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</si>
  <si>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</si>
  <si>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</si>
  <si>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</si>
  <si>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</si>
  <si>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</si>
  <si>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</si>
  <si>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</si>
  <si>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</si>
  <si>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</si>
  <si>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</si>
  <si>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</si>
  <si>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</si>
  <si>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</si>
  <si>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</si>
  <si>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</si>
  <si>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</si>
  <si>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</si>
  <si>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</si>
  <si>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</si>
  <si>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</si>
  <si>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</si>
  <si>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</si>
  <si>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</si>
  <si>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</si>
  <si>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</si>
  <si>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</si>
  <si>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</si>
  <si>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</si>
  <si>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</si>
  <si>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</si>
  <si>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</si>
  <si>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</si>
  <si>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</si>
  <si>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</si>
  <si>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</si>
  <si>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</si>
  <si>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</si>
  <si>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</si>
  <si>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</si>
  <si>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</si>
  <si>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</si>
  <si>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</si>
  <si>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</si>
  <si>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</si>
  <si>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</si>
  <si>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</si>
  <si>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</si>
  <si>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</si>
  <si>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</si>
  <si>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</si>
  <si>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</si>
  <si>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</si>
  <si>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</si>
  <si>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</si>
  <si>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</si>
  <si>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</si>
  <si>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</si>
  <si>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</si>
  <si>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</si>
  <si>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SAINT VINCENT`S MEDICAL CENTER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</si>
  <si>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</si>
  <si>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</si>
  <si>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</si>
  <si>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</si>
  <si>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</si>
  <si>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</si>
  <si>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</si>
  <si>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</si>
  <si>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</si>
  <si>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</si>
  <si>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</si>
  <si>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</si>
  <si>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</si>
  <si>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</si>
  <si>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</si>
  <si>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</si>
  <si>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</si>
  <si>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</si>
  <si>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</si>
  <si>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</si>
  <si>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</si>
  <si>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</si>
  <si>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</si>
  <si>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</si>
  <si>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</si>
  <si>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</si>
  <si>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</si>
  <si>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</si>
  <si>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</si>
  <si>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</si>
  <si>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</si>
  <si>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</si>
  <si>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</si>
  <si>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</si>
  <si>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</si>
  <si>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</si>
  <si>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</si>
  <si>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</si>
  <si>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</si>
  <si>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</si>
  <si>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</si>
  <si>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</si>
  <si>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</si>
  <si>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</si>
  <si>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</si>
  <si>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</si>
  <si>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</si>
  <si>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</si>
  <si>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</si>
  <si>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</si>
  <si>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</si>
  <si>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</si>
  <si>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</si>
  <si>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</si>
  <si>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</si>
  <si>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</si>
  <si>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</si>
  <si>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</si>
  <si>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</si>
  <si>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</si>
  <si>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</si>
  <si>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</si>
  <si>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</si>
  <si>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</si>
  <si>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</si>
  <si>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</si>
  <si>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</si>
  <si>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</si>
  <si>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</si>
  <si>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</si>
  <si>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</si>
  <si>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</si>
  <si>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</si>
  <si>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</si>
  <si>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</si>
  <si>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</si>
  <si>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</si>
  <si>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</si>
  <si>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</si>
  <si>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</si>
  <si>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</si>
  <si>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</si>
  <si>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</si>
  <si>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</si>
  <si>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</si>
  <si>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</si>
  <si>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</si>
  <si>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</si>
  <si>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</si>
  <si>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</si>
  <si>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</si>
  <si>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</si>
  <si>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</si>
  <si>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</si>
  <si>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</si>
  <si>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</si>
  <si>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</si>
  <si>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</si>
  <si>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</si>
  <si>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</si>
  <si>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</si>
  <si>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</si>
  <si>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</si>
  <si>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</si>
  <si>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</si>
  <si>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</si>
  <si>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</si>
  <si>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</si>
  <si>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</si>
  <si>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</si>
  <si>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</si>
  <si>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</si>
  <si>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</si>
  <si>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</si>
  <si>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</si>
  <si>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</si>
  <si>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</si>
  <si>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</si>
  <si>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</si>
  <si>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</si>
  <si>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</si>
  <si>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</si>
  <si>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</si>
  <si>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</si>
  <si>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</si>
  <si>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</si>
  <si>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</si>
  <si>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</si>
  <si>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</si>
  <si>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</si>
  <si>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</si>
  <si>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</si>
  <si>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</si>
  <si>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</si>
  <si>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</si>
  <si>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</si>
  <si>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</si>
  <si>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</si>
  <si>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</si>
  <si>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</si>
  <si>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</si>
  <si>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</si>
  <si>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</si>
  <si>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</si>
  <si>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</si>
  <si>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</si>
  <si>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</si>
  <si>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</si>
  <si>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</si>
  <si>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</si>
  <si>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</si>
  <si>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</si>
  <si>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</si>
  <si>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</si>
  <si>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</si>
  <si>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</si>
  <si>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</si>
  <si>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</si>
  <si>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</si>
  <si>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</si>
  <si>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</si>
  <si>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</si>
  <si>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</si>
  <si>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</si>
  <si>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</si>
  <si>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</si>
  <si>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</si>
  <si>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</si>
  <si>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</si>
  <si>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</si>
  <si>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</si>
  <si>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</si>
  <si>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</si>
  <si>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</si>
  <si>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</si>
  <si>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</si>
  <si>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</si>
  <si>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</si>
  <si>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</si>
  <si>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</si>
  <si>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</si>
  <si>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</si>
  <si>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</si>
  <si>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</si>
  <si>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</si>
  <si>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</si>
  <si>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</si>
  <si>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</si>
  <si>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</si>
  <si>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</si>
  <si>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</si>
  <si>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</si>
  <si>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</si>
  <si>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</si>
  <si>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</si>
  <si>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</si>
  <si>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</si>
  <si>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</si>
  <si>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</si>
  <si>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</si>
  <si>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</si>
  <si>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</si>
  <si>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</si>
  <si>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</si>
  <si>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</si>
  <si>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</si>
  <si>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</si>
  <si>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</si>
  <si>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</si>
  <si>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</si>
  <si>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</si>
  <si>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</si>
  <si>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</si>
  <si>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</si>
  <si>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</si>
  <si>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</si>
  <si>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</si>
  <si>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</si>
  <si>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</si>
  <si>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</si>
  <si>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</si>
  <si>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</si>
  <si>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</si>
  <si>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</si>
  <si>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</si>
  <si>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</si>
  <si>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</si>
  <si>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</si>
  <si>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</si>
  <si>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</si>
  <si>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</si>
  <si>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</si>
  <si>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</si>
  <si>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</si>
  <si>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</si>
  <si>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</si>
  <si>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</si>
  <si>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</si>
  <si>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</si>
  <si>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</si>
  <si>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</si>
  <si>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</si>
  <si>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</si>
  <si>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</si>
  <si>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</si>
  <si>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</si>
  <si>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</si>
  <si>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</si>
  <si>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</si>
  <si>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</si>
  <si>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</si>
  <si>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</si>
  <si>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</si>
  <si>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</si>
  <si>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</si>
  <si>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</si>
  <si>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</si>
  <si>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</si>
  <si>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</si>
  <si>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</si>
  <si>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</si>
  <si>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</si>
  <si>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</si>
  <si>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</si>
  <si>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</si>
  <si>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</si>
  <si>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</si>
  <si>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</si>
  <si>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</si>
  <si>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</si>
  <si>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</si>
  <si>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</si>
  <si>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</si>
  <si>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</si>
  <si>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</si>
  <si>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</si>
  <si>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</si>
  <si>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</si>
  <si>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</si>
  <si>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</si>
  <si>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</si>
  <si>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</si>
  <si>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</si>
  <si>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</si>
  <si>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</si>
  <si>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</si>
  <si>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</si>
  <si>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</si>
  <si>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</si>
  <si>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</si>
  <si>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</si>
  <si>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</si>
  <si>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</si>
  <si>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</si>
  <si>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</si>
  <si>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</si>
  <si>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</si>
  <si>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</si>
  <si>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</si>
  <si>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</si>
  <si>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</si>
  <si>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</si>
  <si>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</si>
  <si>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</si>
  <si>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</si>
  <si>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</si>
  <si>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</si>
  <si>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</si>
  <si>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</si>
  <si>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</si>
  <si>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</si>
  <si>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</si>
  <si>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</si>
  <si>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</si>
  <si>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</si>
  <si>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</si>
  <si>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</si>
  <si>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</si>
  <si>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</si>
  <si>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</si>
  <si>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</si>
  <si>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</si>
  <si>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</si>
  <si>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</si>
  <si>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</si>
  <si>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</si>
  <si>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</si>
  <si>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</si>
  <si>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</si>
  <si>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</si>
  <si>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</si>
  <si>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</si>
  <si>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</si>
  <si>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</si>
  <si>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</si>
  <si>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</si>
  <si>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</si>
  <si>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</si>
  <si>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</si>
  <si>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</si>
  <si>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</si>
  <si>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</si>
  <si>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</si>
  <si>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</si>
  <si>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</si>
  <si>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</si>
  <si>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</si>
  <si>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</si>
  <si>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</si>
  <si>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</si>
  <si>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</si>
  <si>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</si>
  <si>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</si>
  <si>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</si>
  <si>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</si>
  <si>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</si>
  <si>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</si>
  <si>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</si>
  <si>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</si>
  <si>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</si>
  <si>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</si>
  <si>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</si>
  <si>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</si>
  <si>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</si>
  <si>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</si>
  <si>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</si>
  <si>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</si>
  <si>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</si>
  <si>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</si>
  <si>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</si>
  <si>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</si>
  <si>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</si>
  <si>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</si>
  <si>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</si>
  <si>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</si>
  <si>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</si>
  <si>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</si>
  <si>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</si>
  <si>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</si>
  <si>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</si>
  <si>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</si>
  <si>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</si>
  <si>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</si>
  <si>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</si>
  <si>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</si>
  <si>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</si>
  <si>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</si>
  <si>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</si>
  <si>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</si>
  <si>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</si>
  <si>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</si>
  <si>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</si>
  <si>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</si>
  <si>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</si>
  <si>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</si>
  <si>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</si>
  <si>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</si>
  <si>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</si>
  <si>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</si>
  <si>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</si>
  <si>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</si>
  <si>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</si>
  <si>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</si>
  <si>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</si>
  <si>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</si>
  <si>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</si>
  <si>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</si>
  <si>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</si>
  <si>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</si>
  <si>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</si>
  <si>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</si>
  <si>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</si>
  <si>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</si>
  <si>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</si>
  <si>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</si>
  <si>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</si>
  <si>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</si>
  <si>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</si>
  <si>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</si>
  <si>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</si>
  <si>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</si>
  <si>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</si>
  <si>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</si>
  <si>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</si>
  <si>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</si>
  <si>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</si>
  <si>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</si>
  <si>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</si>
  <si>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</si>
  <si>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</si>
  <si>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</si>
  <si>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</si>
  <si>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</si>
  <si>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</si>
  <si>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</si>
  <si>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</si>
  <si>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</si>
  <si>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</si>
  <si>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</si>
  <si>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</si>
  <si>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</si>
  <si>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</si>
  <si>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</si>
  <si>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</si>
  <si>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</si>
  <si>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</si>
  <si>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</si>
  <si>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</si>
  <si>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</si>
  <si>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</si>
  <si>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</si>
  <si>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</si>
  <si>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</si>
  <si>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</si>
  <si>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</si>
  <si>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</si>
  <si>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</si>
  <si>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</si>
  <si>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</si>
  <si>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</si>
  <si>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</si>
  <si>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</si>
  <si>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</si>
  <si>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</si>
  <si>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</si>
  <si>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</si>
  <si>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</si>
  <si>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</si>
  <si>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</si>
  <si>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</si>
  <si>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</si>
  <si>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</si>
  <si>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</si>
  <si>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</si>
  <si>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</si>
  <si>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</si>
  <si>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</si>
  <si>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</si>
  <si>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ST VINCENTS HEALTH SERVICES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</si>
  <si>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</si>
  <si>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</si>
  <si>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</si>
  <si>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</si>
  <si>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</si>
  <si>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</si>
  <si>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</si>
  <si>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</si>
  <si>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</si>
  <si>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</si>
  <si>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</si>
  <si>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</si>
  <si>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</si>
  <si>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</si>
  <si>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</si>
  <si>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</si>
  <si>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</si>
  <si>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</si>
  <si>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</si>
  <si>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</si>
  <si>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</si>
  <si>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</si>
  <si>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</si>
  <si>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</si>
  <si>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</si>
  <si>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</si>
  <si>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</si>
  <si>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</si>
  <si>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</si>
  <si>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</si>
  <si>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</si>
  <si>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</si>
  <si>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</si>
  <si>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</si>
  <si>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</si>
  <si>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</si>
  <si>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</si>
  <si>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</si>
  <si>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</si>
  <si>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</si>
  <si>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</si>
  <si>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</si>
  <si>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</si>
  <si>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</si>
  <si>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</si>
  <si>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</si>
  <si>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</si>
  <si>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</si>
  <si>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</si>
  <si>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</si>
  <si>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</si>
  <si>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</si>
  <si>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</si>
  <si>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</si>
  <si>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</si>
  <si>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</si>
  <si>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</si>
  <si>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</si>
  <si>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</si>
  <si>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</si>
  <si>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</si>
  <si>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</si>
  <si>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</si>
  <si>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</si>
  <si>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</si>
  <si>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</si>
  <si>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</si>
  <si>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</si>
  <si>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</si>
  <si>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</si>
  <si>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</si>
  <si>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</si>
  <si>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</si>
  <si>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</si>
  <si>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</si>
  <si>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</si>
  <si>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</si>
  <si>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</si>
  <si>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</si>
  <si>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</si>
  <si>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</si>
  <si>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</si>
  <si>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</si>
  <si>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</si>
  <si>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</si>
  <si>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</si>
  <si>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</si>
  <si>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</si>
  <si>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</si>
  <si>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</si>
  <si>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</si>
  <si>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</si>
  <si>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</si>
  <si>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</si>
  <si>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</si>
  <si>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</si>
  <si>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</si>
  <si>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</si>
  <si>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</si>
  <si>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</si>
  <si>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</si>
  <si>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</si>
  <si>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</si>
  <si>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St. Vincents Medical Center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</si>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</sst>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5" xfId="0" applyNumberFormat="1" applyFont="1" applyBorder="1" applyAlignment="1">
      <alignment horizontal="center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23" fillId="20" borderId="38" xfId="0" applyNumberFormat="1" applyFont="1" applyFill="1" applyBorder="1" applyAlignment="1">
      <alignment horizontal="center" wrapText="1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5" xfId="0" applyNumberFormat="1" applyFont="1" applyBorder="1" applyAlignment="1">
      <alignment horizontal="center" wrapText="1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115</v>
      </c>
      <c r="C1" s="3"/>
      <c r="D1" s="3"/>
      <c r="E1" s="4"/>
      <c r="F1" s="5"/>
    </row>
    <row r="2" spans="1:6" ht="24" customHeight="1">
      <c r="A2" s="3"/>
      <c r="B2" s="3" t="s">
        <v>116</v>
      </c>
      <c r="C2" s="3"/>
      <c r="D2" s="3"/>
      <c r="E2" s="4"/>
      <c r="F2" s="5"/>
    </row>
    <row r="3" spans="1:6" ht="24" customHeight="1">
      <c r="A3" s="3"/>
      <c r="B3" s="3" t="s">
        <v>117</v>
      </c>
      <c r="C3" s="3"/>
      <c r="D3" s="3"/>
      <c r="E3" s="4"/>
      <c r="F3" s="5"/>
    </row>
    <row r="4" spans="1:6" ht="24" customHeight="1">
      <c r="A4" s="3"/>
      <c r="B4" s="3" t="s">
        <v>118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119</v>
      </c>
      <c r="D7" s="10" t="s">
        <v>120</v>
      </c>
      <c r="E7" s="11" t="s">
        <v>121</v>
      </c>
      <c r="F7" s="11" t="s">
        <v>122</v>
      </c>
      <c r="H7" s="12"/>
    </row>
    <row r="8" spans="1:6" s="6" customFormat="1" ht="15.75" customHeight="1">
      <c r="A8" s="13" t="s">
        <v>123</v>
      </c>
      <c r="B8" s="13" t="s">
        <v>124</v>
      </c>
      <c r="C8" s="14" t="s">
        <v>125</v>
      </c>
      <c r="D8" s="14" t="s">
        <v>125</v>
      </c>
      <c r="E8" s="15" t="s">
        <v>126</v>
      </c>
      <c r="F8" s="15" t="s">
        <v>126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127</v>
      </c>
      <c r="B10" s="16" t="s">
        <v>128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129</v>
      </c>
      <c r="B12" s="16" t="s">
        <v>130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131</v>
      </c>
      <c r="C13" s="23">
        <v>10785000</v>
      </c>
      <c r="D13" s="23">
        <v>10599000</v>
      </c>
      <c r="E13" s="23">
        <f aca="true" t="shared" si="0" ref="E13:E22">D13-C13</f>
        <v>-186000</v>
      </c>
      <c r="F13" s="24">
        <f aca="true" t="shared" si="1" ref="F13:F22">IF(C13=0,0,E13/C13)</f>
        <v>-0.017246175243393603</v>
      </c>
    </row>
    <row r="14" spans="1:6" ht="24" customHeight="1">
      <c r="A14" s="21">
        <v>2</v>
      </c>
      <c r="B14" s="22" t="s">
        <v>132</v>
      </c>
      <c r="C14" s="23">
        <v>3463000</v>
      </c>
      <c r="D14" s="23">
        <v>7793000</v>
      </c>
      <c r="E14" s="23">
        <f t="shared" si="0"/>
        <v>4330000</v>
      </c>
      <c r="F14" s="24">
        <f t="shared" si="1"/>
        <v>1.250360958706324</v>
      </c>
    </row>
    <row r="15" spans="1:6" ht="24" customHeight="1">
      <c r="A15" s="21">
        <v>3</v>
      </c>
      <c r="B15" s="22" t="s">
        <v>133</v>
      </c>
      <c r="C15" s="23">
        <v>40947000</v>
      </c>
      <c r="D15" s="23">
        <v>40833000</v>
      </c>
      <c r="E15" s="23">
        <f t="shared" si="0"/>
        <v>-114000</v>
      </c>
      <c r="F15" s="24">
        <f t="shared" si="1"/>
        <v>-0.002784086746281779</v>
      </c>
    </row>
    <row r="16" spans="1:6" ht="24" customHeight="1">
      <c r="A16" s="21">
        <v>4</v>
      </c>
      <c r="B16" s="22" t="s">
        <v>134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6" ht="24" customHeight="1">
      <c r="A17" s="21">
        <v>5</v>
      </c>
      <c r="B17" s="22" t="s">
        <v>135</v>
      </c>
      <c r="C17" s="23">
        <v>4579000</v>
      </c>
      <c r="D17" s="23">
        <v>2905000</v>
      </c>
      <c r="E17" s="23">
        <f t="shared" si="0"/>
        <v>-1674000</v>
      </c>
      <c r="F17" s="24">
        <f t="shared" si="1"/>
        <v>-0.3655820048045425</v>
      </c>
    </row>
    <row r="18" spans="1:6" ht="24" customHeight="1">
      <c r="A18" s="21">
        <v>6</v>
      </c>
      <c r="B18" s="22" t="s">
        <v>136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137</v>
      </c>
      <c r="C19" s="23">
        <v>5211000</v>
      </c>
      <c r="D19" s="23">
        <v>4070000</v>
      </c>
      <c r="E19" s="23">
        <f t="shared" si="0"/>
        <v>-1141000</v>
      </c>
      <c r="F19" s="24">
        <f t="shared" si="1"/>
        <v>-0.21895989253502207</v>
      </c>
    </row>
    <row r="20" spans="1:6" ht="24" customHeight="1">
      <c r="A20" s="21">
        <v>8</v>
      </c>
      <c r="B20" s="22" t="s">
        <v>138</v>
      </c>
      <c r="C20" s="23">
        <v>2368000</v>
      </c>
      <c r="D20" s="23">
        <v>2410000</v>
      </c>
      <c r="E20" s="23">
        <f t="shared" si="0"/>
        <v>42000</v>
      </c>
      <c r="F20" s="24">
        <f t="shared" si="1"/>
        <v>0.017736486486486486</v>
      </c>
    </row>
    <row r="21" spans="1:6" ht="24" customHeight="1">
      <c r="A21" s="21">
        <v>9</v>
      </c>
      <c r="B21" s="22" t="s">
        <v>139</v>
      </c>
      <c r="C21" s="23">
        <v>1894000</v>
      </c>
      <c r="D21" s="23">
        <v>1082000</v>
      </c>
      <c r="E21" s="23">
        <f t="shared" si="0"/>
        <v>-812000</v>
      </c>
      <c r="F21" s="24">
        <f t="shared" si="1"/>
        <v>-0.42872228088701164</v>
      </c>
    </row>
    <row r="22" spans="1:6" ht="24" customHeight="1">
      <c r="A22" s="25"/>
      <c r="B22" s="26" t="s">
        <v>140</v>
      </c>
      <c r="C22" s="27">
        <f>SUM(C13:C21)</f>
        <v>69247000</v>
      </c>
      <c r="D22" s="27">
        <f>SUM(D13:D21)</f>
        <v>69692000</v>
      </c>
      <c r="E22" s="27">
        <f t="shared" si="0"/>
        <v>445000</v>
      </c>
      <c r="F22" s="28">
        <f t="shared" si="1"/>
        <v>0.006426271174202493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141</v>
      </c>
      <c r="B24" s="30" t="s">
        <v>142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143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144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145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24" customHeight="1">
      <c r="A28" s="21">
        <v>4</v>
      </c>
      <c r="B28" s="22" t="s">
        <v>146</v>
      </c>
      <c r="C28" s="23">
        <v>178845000</v>
      </c>
      <c r="D28" s="23">
        <v>174181000</v>
      </c>
      <c r="E28" s="23">
        <f>D28-C28</f>
        <v>-4664000</v>
      </c>
      <c r="F28" s="24">
        <f>IF(C28=0,0,E28/C28)</f>
        <v>-0.026078447817942912</v>
      </c>
    </row>
    <row r="29" spans="1:6" ht="24" customHeight="1">
      <c r="A29" s="25"/>
      <c r="B29" s="26" t="s">
        <v>147</v>
      </c>
      <c r="C29" s="27">
        <f>SUM(C25:C28)</f>
        <v>178845000</v>
      </c>
      <c r="D29" s="27">
        <f>SUM(D25:D28)</f>
        <v>174181000</v>
      </c>
      <c r="E29" s="27">
        <f>D29-C29</f>
        <v>-4664000</v>
      </c>
      <c r="F29" s="28">
        <f>IF(C29=0,0,E29/C29)</f>
        <v>-0.026078447817942912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148</v>
      </c>
      <c r="C31" s="23">
        <v>47491000</v>
      </c>
      <c r="D31" s="23">
        <v>41403000</v>
      </c>
      <c r="E31" s="23">
        <f>D31-C31</f>
        <v>-6088000</v>
      </c>
      <c r="F31" s="24">
        <f>IF(C31=0,0,E31/C31)</f>
        <v>-0.12819271019772166</v>
      </c>
    </row>
    <row r="32" spans="1:6" ht="24" customHeight="1">
      <c r="A32" s="21">
        <v>6</v>
      </c>
      <c r="B32" s="22" t="s">
        <v>149</v>
      </c>
      <c r="C32" s="23">
        <v>52725000</v>
      </c>
      <c r="D32" s="23">
        <v>35060000</v>
      </c>
      <c r="E32" s="23">
        <f>D32-C32</f>
        <v>-17665000</v>
      </c>
      <c r="F32" s="24">
        <f>IF(C32=0,0,E32/C32)</f>
        <v>-0.3350403034613561</v>
      </c>
    </row>
    <row r="33" spans="1:6" ht="24" customHeight="1">
      <c r="A33" s="21">
        <v>7</v>
      </c>
      <c r="B33" s="22" t="s">
        <v>150</v>
      </c>
      <c r="C33" s="23">
        <v>3623000</v>
      </c>
      <c r="D33" s="23">
        <v>3735000</v>
      </c>
      <c r="E33" s="23">
        <f>D33-C33</f>
        <v>112000</v>
      </c>
      <c r="F33" s="24">
        <f>IF(C33=0,0,E33/C33)</f>
        <v>0.030913607507590396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151</v>
      </c>
      <c r="B35" s="30" t="s">
        <v>152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153</v>
      </c>
      <c r="C36" s="23">
        <v>260358000</v>
      </c>
      <c r="D36" s="23">
        <v>299512000</v>
      </c>
      <c r="E36" s="23">
        <f>D36-C36</f>
        <v>39154000</v>
      </c>
      <c r="F36" s="24">
        <f>IF(C36=0,0,E36/C36)</f>
        <v>0.15038523878659385</v>
      </c>
    </row>
    <row r="37" spans="1:6" ht="24" customHeight="1">
      <c r="A37" s="21">
        <v>2</v>
      </c>
      <c r="B37" s="22" t="s">
        <v>154</v>
      </c>
      <c r="C37" s="23">
        <v>138885000</v>
      </c>
      <c r="D37" s="23">
        <v>162502000</v>
      </c>
      <c r="E37" s="23">
        <f>D37-C37</f>
        <v>23617000</v>
      </c>
      <c r="F37" s="24">
        <f>IF(C37=0,0,E37/C37)</f>
        <v>0.17004716132051698</v>
      </c>
    </row>
    <row r="38" spans="1:6" ht="24" customHeight="1">
      <c r="A38" s="25"/>
      <c r="B38" s="26" t="s">
        <v>155</v>
      </c>
      <c r="C38" s="27">
        <f>C36-C37</f>
        <v>121473000</v>
      </c>
      <c r="D38" s="27">
        <f>D36-D37</f>
        <v>137010000</v>
      </c>
      <c r="E38" s="27">
        <f>D38-C38</f>
        <v>15537000</v>
      </c>
      <c r="F38" s="28">
        <f>IF(C38=0,0,E38/C38)</f>
        <v>0.12790496653577338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156</v>
      </c>
      <c r="C40" s="23">
        <v>33959000</v>
      </c>
      <c r="D40" s="23">
        <v>68279000</v>
      </c>
      <c r="E40" s="23">
        <f>D40-C40</f>
        <v>34320000</v>
      </c>
      <c r="F40" s="24">
        <f>IF(C40=0,0,E40/C40)</f>
        <v>1.0106304661503578</v>
      </c>
    </row>
    <row r="41" spans="1:6" ht="24" customHeight="1">
      <c r="A41" s="25"/>
      <c r="B41" s="26" t="s">
        <v>157</v>
      </c>
      <c r="C41" s="27">
        <f>+C38+C40</f>
        <v>155432000</v>
      </c>
      <c r="D41" s="27">
        <f>+D38+D40</f>
        <v>205289000</v>
      </c>
      <c r="E41" s="27">
        <f>D41-C41</f>
        <v>49857000</v>
      </c>
      <c r="F41" s="28">
        <f>IF(C41=0,0,E41/C41)</f>
        <v>0.3207640640279994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158</v>
      </c>
      <c r="C43" s="27">
        <f>C22+C29+C31+C32+C33+C41</f>
        <v>507363000</v>
      </c>
      <c r="D43" s="27">
        <f>D22+D29+D31+D32+D33+D41</f>
        <v>529360000</v>
      </c>
      <c r="E43" s="27">
        <f>D43-C43</f>
        <v>21997000</v>
      </c>
      <c r="F43" s="28">
        <f>IF(C43=0,0,E43/C43)</f>
        <v>0.04335554622627192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159</v>
      </c>
      <c r="B46" s="16" t="s">
        <v>160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129</v>
      </c>
      <c r="B48" s="41" t="s">
        <v>161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162</v>
      </c>
      <c r="C49" s="23">
        <v>30318000</v>
      </c>
      <c r="D49" s="23">
        <v>26491000</v>
      </c>
      <c r="E49" s="23">
        <f aca="true" t="shared" si="2" ref="E49:E56">D49-C49</f>
        <v>-3827000</v>
      </c>
      <c r="F49" s="24">
        <f aca="true" t="shared" si="3" ref="F49:F56">IF(C49=0,0,E49/C49)</f>
        <v>-0.12622864305033313</v>
      </c>
    </row>
    <row r="50" spans="1:6" ht="24" customHeight="1">
      <c r="A50" s="21">
        <f aca="true" t="shared" si="4" ref="A50:A55">1+A49</f>
        <v>2</v>
      </c>
      <c r="B50" s="22" t="s">
        <v>163</v>
      </c>
      <c r="C50" s="23">
        <v>9235000</v>
      </c>
      <c r="D50" s="23">
        <v>17966000</v>
      </c>
      <c r="E50" s="23">
        <f t="shared" si="2"/>
        <v>8731000</v>
      </c>
      <c r="F50" s="24">
        <f t="shared" si="3"/>
        <v>0.9454250135354629</v>
      </c>
    </row>
    <row r="51" spans="1:6" ht="24" customHeight="1">
      <c r="A51" s="21">
        <f t="shared" si="4"/>
        <v>3</v>
      </c>
      <c r="B51" s="22" t="s">
        <v>164</v>
      </c>
      <c r="C51" s="23">
        <v>9754000</v>
      </c>
      <c r="D51" s="23">
        <v>9102000</v>
      </c>
      <c r="E51" s="23">
        <f t="shared" si="2"/>
        <v>-652000</v>
      </c>
      <c r="F51" s="24">
        <f t="shared" si="3"/>
        <v>-0.06684437153988107</v>
      </c>
    </row>
    <row r="52" spans="1:6" ht="24" customHeight="1">
      <c r="A52" s="21">
        <f t="shared" si="4"/>
        <v>4</v>
      </c>
      <c r="B52" s="22" t="s">
        <v>165</v>
      </c>
      <c r="C52" s="23">
        <v>0</v>
      </c>
      <c r="D52" s="23">
        <v>404000</v>
      </c>
      <c r="E52" s="23">
        <f t="shared" si="2"/>
        <v>404000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166</v>
      </c>
      <c r="C53" s="23">
        <v>1084000</v>
      </c>
      <c r="D53" s="23">
        <v>1162000</v>
      </c>
      <c r="E53" s="23">
        <f t="shared" si="2"/>
        <v>78000</v>
      </c>
      <c r="F53" s="24">
        <f t="shared" si="3"/>
        <v>0.07195571955719557</v>
      </c>
    </row>
    <row r="54" spans="1:6" ht="24" customHeight="1">
      <c r="A54" s="21">
        <f t="shared" si="4"/>
        <v>6</v>
      </c>
      <c r="B54" s="22" t="s">
        <v>167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168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>
      <c r="A56" s="25"/>
      <c r="B56" s="26" t="s">
        <v>169</v>
      </c>
      <c r="C56" s="27">
        <f>SUM(C49:C55)</f>
        <v>50391000</v>
      </c>
      <c r="D56" s="27">
        <f>SUM(D49:D55)</f>
        <v>55125000</v>
      </c>
      <c r="E56" s="27">
        <f t="shared" si="2"/>
        <v>4734000</v>
      </c>
      <c r="F56" s="28">
        <f t="shared" si="3"/>
        <v>0.09394534738346133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141</v>
      </c>
      <c r="B58" s="41" t="s">
        <v>170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171</v>
      </c>
      <c r="C59" s="23">
        <v>57129000</v>
      </c>
      <c r="D59" s="23">
        <v>59493000</v>
      </c>
      <c r="E59" s="23">
        <f>D59-C59</f>
        <v>2364000</v>
      </c>
      <c r="F59" s="24">
        <f>IF(C59=0,0,E59/C59)</f>
        <v>0.04138003465840466</v>
      </c>
    </row>
    <row r="60" spans="1:6" ht="24" customHeight="1">
      <c r="A60" s="21">
        <v>2</v>
      </c>
      <c r="B60" s="22" t="s">
        <v>172</v>
      </c>
      <c r="C60" s="23">
        <v>0</v>
      </c>
      <c r="D60" s="23">
        <v>11596000</v>
      </c>
      <c r="E60" s="23">
        <f>D60-C60</f>
        <v>11596000</v>
      </c>
      <c r="F60" s="24">
        <f>IF(C60=0,0,E60/C60)</f>
        <v>0</v>
      </c>
    </row>
    <row r="61" spans="1:6" ht="24" customHeight="1">
      <c r="A61" s="25"/>
      <c r="B61" s="26" t="s">
        <v>173</v>
      </c>
      <c r="C61" s="27">
        <f>SUM(C59:C60)</f>
        <v>57129000</v>
      </c>
      <c r="D61" s="27">
        <f>SUM(D59:D60)</f>
        <v>71089000</v>
      </c>
      <c r="E61" s="27">
        <f>D61-C61</f>
        <v>13960000</v>
      </c>
      <c r="F61" s="28">
        <f>IF(C61=0,0,E61/C61)</f>
        <v>0.24435925711985157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174</v>
      </c>
      <c r="C63" s="23">
        <v>9642000</v>
      </c>
      <c r="D63" s="23">
        <v>37094000</v>
      </c>
      <c r="E63" s="23">
        <f>D63-C63</f>
        <v>27452000</v>
      </c>
      <c r="F63" s="24">
        <f>IF(C63=0,0,E63/C63)</f>
        <v>2.8471271520431447</v>
      </c>
    </row>
    <row r="64" spans="1:6" ht="24" customHeight="1">
      <c r="A64" s="21">
        <v>4</v>
      </c>
      <c r="B64" s="22" t="s">
        <v>175</v>
      </c>
      <c r="C64" s="23">
        <v>9390000</v>
      </c>
      <c r="D64" s="23">
        <v>9542000</v>
      </c>
      <c r="E64" s="23">
        <f>D64-C64</f>
        <v>152000</v>
      </c>
      <c r="F64" s="24">
        <f>IF(C64=0,0,E64/C64)</f>
        <v>0.016187433439829604</v>
      </c>
    </row>
    <row r="65" spans="1:6" ht="24" customHeight="1">
      <c r="A65" s="25"/>
      <c r="B65" s="26" t="s">
        <v>176</v>
      </c>
      <c r="C65" s="27">
        <f>SUM(C61:C64)</f>
        <v>76161000</v>
      </c>
      <c r="D65" s="27">
        <f>SUM(D61:D64)</f>
        <v>117725000</v>
      </c>
      <c r="E65" s="27">
        <f>D65-C65</f>
        <v>41564000</v>
      </c>
      <c r="F65" s="28">
        <f>IF(C65=0,0,E65/C65)</f>
        <v>0.5457386326335001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177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151</v>
      </c>
      <c r="B69" s="41" t="s">
        <v>178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179</v>
      </c>
      <c r="C70" s="23">
        <v>334148000</v>
      </c>
      <c r="D70" s="23">
        <v>314991000</v>
      </c>
      <c r="E70" s="23">
        <f>D70-C70</f>
        <v>-19157000</v>
      </c>
      <c r="F70" s="24">
        <f>IF(C70=0,0,E70/C70)</f>
        <v>-0.057330883321163074</v>
      </c>
    </row>
    <row r="71" spans="1:6" ht="24" customHeight="1">
      <c r="A71" s="21">
        <v>2</v>
      </c>
      <c r="B71" s="22" t="s">
        <v>180</v>
      </c>
      <c r="C71" s="23">
        <v>38958000</v>
      </c>
      <c r="D71" s="23">
        <v>33709000</v>
      </c>
      <c r="E71" s="23">
        <f>D71-C71</f>
        <v>-5249000</v>
      </c>
      <c r="F71" s="24">
        <f>IF(C71=0,0,E71/C71)</f>
        <v>-0.13473484265106012</v>
      </c>
    </row>
    <row r="72" spans="1:6" ht="24" customHeight="1">
      <c r="A72" s="21">
        <v>3</v>
      </c>
      <c r="B72" s="22" t="s">
        <v>181</v>
      </c>
      <c r="C72" s="23">
        <v>7705000</v>
      </c>
      <c r="D72" s="23">
        <v>7810000</v>
      </c>
      <c r="E72" s="23">
        <f>D72-C72</f>
        <v>105000</v>
      </c>
      <c r="F72" s="24">
        <f>IF(C72=0,0,E72/C72)</f>
        <v>0.0136275146009085</v>
      </c>
    </row>
    <row r="73" spans="1:6" ht="24" customHeight="1">
      <c r="A73" s="21"/>
      <c r="B73" s="26" t="s">
        <v>182</v>
      </c>
      <c r="C73" s="27">
        <f>SUM(C70:C72)</f>
        <v>380811000</v>
      </c>
      <c r="D73" s="27">
        <f>SUM(D70:D72)</f>
        <v>356510000</v>
      </c>
      <c r="E73" s="27">
        <f>D73-C73</f>
        <v>-24301000</v>
      </c>
      <c r="F73" s="28">
        <f>IF(C73=0,0,E73/C73)</f>
        <v>-0.06381380789945669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183</v>
      </c>
      <c r="C75" s="27">
        <f>C56+C65+C67+C73</f>
        <v>507363000</v>
      </c>
      <c r="D75" s="27">
        <f>D56+D65+D67+D73</f>
        <v>529360000</v>
      </c>
      <c r="E75" s="27">
        <f>D75-C75</f>
        <v>21997000</v>
      </c>
      <c r="F75" s="28">
        <f>IF(C75=0,0,E75/C75)</f>
        <v>0.04335554622627192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/>
  <headerFooter alignWithMargins="0">
    <oddHeader>&amp;LOFFICE OF HEALTH CARE ACCESS&amp;CTWELVE MONTHS ACTUAL FILING&amp;RSAINT VINCENT`S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A1" sqref="A1:E1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594</v>
      </c>
      <c r="B1" s="696"/>
      <c r="C1" s="696"/>
      <c r="D1" s="696"/>
      <c r="E1" s="697"/>
    </row>
    <row r="2" spans="1:5" ht="24" customHeight="1">
      <c r="A2" s="695" t="s">
        <v>116</v>
      </c>
      <c r="B2" s="696"/>
      <c r="C2" s="696"/>
      <c r="D2" s="696"/>
      <c r="E2" s="697"/>
    </row>
    <row r="3" spans="1:5" ht="24" customHeight="1">
      <c r="A3" s="695" t="s">
        <v>117</v>
      </c>
      <c r="B3" s="696"/>
      <c r="C3" s="696"/>
      <c r="D3" s="696"/>
      <c r="E3" s="697"/>
    </row>
    <row r="4" spans="1:5" ht="24" customHeight="1">
      <c r="A4" s="695" t="s">
        <v>597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125</v>
      </c>
      <c r="D7" s="59" t="s">
        <v>125</v>
      </c>
      <c r="E7" s="59" t="s">
        <v>125</v>
      </c>
      <c r="F7" s="59"/>
    </row>
    <row r="8" spans="1:6" ht="24" customHeight="1">
      <c r="A8" s="61" t="s">
        <v>123</v>
      </c>
      <c r="B8" s="62" t="s">
        <v>124</v>
      </c>
      <c r="C8" s="264" t="s">
        <v>422</v>
      </c>
      <c r="D8" s="264" t="s">
        <v>119</v>
      </c>
      <c r="E8" s="264" t="s">
        <v>120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129</v>
      </c>
      <c r="B10" s="187" t="s">
        <v>598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599</v>
      </c>
      <c r="C11" s="51">
        <v>307973000</v>
      </c>
      <c r="D11" s="51">
        <v>328957000</v>
      </c>
      <c r="E11" s="51">
        <v>346694000</v>
      </c>
      <c r="F11" s="28"/>
    </row>
    <row r="12" spans="1:6" ht="24" customHeight="1">
      <c r="A12" s="44">
        <v>2</v>
      </c>
      <c r="B12" s="48" t="s">
        <v>191</v>
      </c>
      <c r="C12" s="49">
        <v>39293000</v>
      </c>
      <c r="D12" s="49">
        <v>42945000</v>
      </c>
      <c r="E12" s="49">
        <v>40358000</v>
      </c>
      <c r="F12" s="28"/>
    </row>
    <row r="13" spans="1:6" s="56" customFormat="1" ht="24" customHeight="1">
      <c r="A13" s="44">
        <v>3</v>
      </c>
      <c r="B13" s="48" t="s">
        <v>193</v>
      </c>
      <c r="C13" s="51">
        <f>+C11+C12</f>
        <v>347266000</v>
      </c>
      <c r="D13" s="51">
        <f>+D11+D12</f>
        <v>371902000</v>
      </c>
      <c r="E13" s="51">
        <f>+E11+E12</f>
        <v>387052000</v>
      </c>
      <c r="F13" s="70"/>
    </row>
    <row r="14" spans="1:6" s="56" customFormat="1" ht="24" customHeight="1">
      <c r="A14" s="44">
        <v>4</v>
      </c>
      <c r="B14" s="48" t="s">
        <v>204</v>
      </c>
      <c r="C14" s="49">
        <v>333245000</v>
      </c>
      <c r="D14" s="49">
        <v>352513000</v>
      </c>
      <c r="E14" s="49">
        <v>375628000</v>
      </c>
      <c r="F14" s="70"/>
    </row>
    <row r="15" spans="1:6" s="56" customFormat="1" ht="24" customHeight="1">
      <c r="A15" s="44">
        <v>5</v>
      </c>
      <c r="B15" s="48" t="s">
        <v>205</v>
      </c>
      <c r="C15" s="51">
        <f>+C13-C14</f>
        <v>14021000</v>
      </c>
      <c r="D15" s="51">
        <f>+D13-D14</f>
        <v>19389000</v>
      </c>
      <c r="E15" s="51">
        <f>+E13-E14</f>
        <v>11424000</v>
      </c>
      <c r="F15" s="70"/>
    </row>
    <row r="16" spans="1:6" s="56" customFormat="1" ht="24" customHeight="1">
      <c r="A16" s="44">
        <v>6</v>
      </c>
      <c r="B16" s="48" t="s">
        <v>210</v>
      </c>
      <c r="C16" s="49">
        <v>39909000</v>
      </c>
      <c r="D16" s="49">
        <v>-39299000</v>
      </c>
      <c r="E16" s="49">
        <v>-6287000</v>
      </c>
      <c r="F16" s="70"/>
    </row>
    <row r="17" spans="1:6" s="56" customFormat="1" ht="24" customHeight="1">
      <c r="A17" s="44">
        <v>7</v>
      </c>
      <c r="B17" s="45" t="s">
        <v>425</v>
      </c>
      <c r="C17" s="51">
        <f>C15+C16</f>
        <v>53930000</v>
      </c>
      <c r="D17" s="51">
        <f>D15+D16</f>
        <v>-19910000</v>
      </c>
      <c r="E17" s="51">
        <f>E15+E16</f>
        <v>5137000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141</v>
      </c>
      <c r="B19" s="30" t="s">
        <v>600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601</v>
      </c>
      <c r="C20" s="169">
        <f>IF(+C27=0,0,+C24/+C27)</f>
        <v>0.036213598501969396</v>
      </c>
      <c r="D20" s="169">
        <f>IF(+D27=0,0,+D24/+D27)</f>
        <v>0.058294723739713714</v>
      </c>
      <c r="E20" s="169">
        <f>IF(+E27=0,0,+E24/+E27)</f>
        <v>0.030002757606397645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602</v>
      </c>
      <c r="C21" s="169">
        <f>IF(+C27=0,0,+C26/+C27)</f>
        <v>0.1030774197714212</v>
      </c>
      <c r="D21" s="169">
        <f>IF(+D27=0,0,+D26/+D27)</f>
        <v>-0.11815587953205473</v>
      </c>
      <c r="E21" s="169">
        <f>IF(+E27=0,0,+E26/+E27)</f>
        <v>-0.01651149659238638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603</v>
      </c>
      <c r="C22" s="169">
        <f>IF(+C27=0,0,+C28/+C27)</f>
        <v>0.13929101827339058</v>
      </c>
      <c r="D22" s="169">
        <f>IF(+D27=0,0,+D28/+D27)</f>
        <v>-0.05986115579234102</v>
      </c>
      <c r="E22" s="169">
        <f>IF(+E27=0,0,+E28/+E27)</f>
        <v>0.013491261014011267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205</v>
      </c>
      <c r="C24" s="51">
        <f>+C15</f>
        <v>14021000</v>
      </c>
      <c r="D24" s="51">
        <f>+D15</f>
        <v>19389000</v>
      </c>
      <c r="E24" s="51">
        <f>+E15</f>
        <v>11424000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193</v>
      </c>
      <c r="C25" s="51">
        <f>+C13</f>
        <v>347266000</v>
      </c>
      <c r="D25" s="51">
        <f>+D13</f>
        <v>371902000</v>
      </c>
      <c r="E25" s="51">
        <f>+E13</f>
        <v>387052000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210</v>
      </c>
      <c r="C26" s="51">
        <f>+C16</f>
        <v>39909000</v>
      </c>
      <c r="D26" s="51">
        <f>+D16</f>
        <v>-39299000</v>
      </c>
      <c r="E26" s="51">
        <f>+E16</f>
        <v>-6287000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430</v>
      </c>
      <c r="C27" s="51">
        <f>SUM(C25:C26)</f>
        <v>387175000</v>
      </c>
      <c r="D27" s="51">
        <f>SUM(D25:D26)</f>
        <v>332603000</v>
      </c>
      <c r="E27" s="51">
        <f>SUM(E25:E26)</f>
        <v>380765000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425</v>
      </c>
      <c r="C28" s="51">
        <f>+C17</f>
        <v>53930000</v>
      </c>
      <c r="D28" s="51">
        <f>+D17</f>
        <v>-19910000</v>
      </c>
      <c r="E28" s="51">
        <f>+E17</f>
        <v>5137000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151</v>
      </c>
      <c r="B30" s="41" t="s">
        <v>604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605</v>
      </c>
      <c r="C31" s="51">
        <v>387689000</v>
      </c>
      <c r="D31" s="51">
        <v>380972000</v>
      </c>
      <c r="E31" s="52">
        <v>364490000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606</v>
      </c>
      <c r="C32" s="51">
        <v>439658000</v>
      </c>
      <c r="D32" s="51">
        <v>433498000</v>
      </c>
      <c r="E32" s="51">
        <v>411285000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607</v>
      </c>
      <c r="C33" s="51">
        <v>439658000</v>
      </c>
      <c r="D33" s="51">
        <f>+D32-C32</f>
        <v>-6160000</v>
      </c>
      <c r="E33" s="51">
        <f>+E32-D32</f>
        <v>-22213000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608</v>
      </c>
      <c r="C34" s="171">
        <v>0</v>
      </c>
      <c r="D34" s="171">
        <f>IF(C32=0,0,+D33/C32)</f>
        <v>-0.01401089028290171</v>
      </c>
      <c r="E34" s="171">
        <f>IF(D32=0,0,+E33/D32)</f>
        <v>-0.0512412975377049</v>
      </c>
      <c r="F34" s="28"/>
    </row>
    <row r="35" spans="5:6" ht="24" customHeight="1">
      <c r="E35" s="55"/>
      <c r="F35" s="28"/>
    </row>
    <row r="36" spans="1:6" ht="15.75" customHeight="1">
      <c r="A36" s="20" t="s">
        <v>436</v>
      </c>
      <c r="B36" s="16" t="s">
        <v>458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459</v>
      </c>
      <c r="C38" s="269">
        <f>IF(+C40=0,0,+C39/+C40)</f>
        <v>1.3231502136186624</v>
      </c>
      <c r="D38" s="269">
        <f>IF(+D40=0,0,+D39/+D40)</f>
        <v>1.3604413142282206</v>
      </c>
      <c r="E38" s="269">
        <f>IF(+E40=0,0,+E39/+E40)</f>
        <v>1.255309325946445</v>
      </c>
      <c r="F38" s="28"/>
    </row>
    <row r="39" spans="1:6" ht="24" customHeight="1">
      <c r="A39" s="17">
        <v>2</v>
      </c>
      <c r="B39" s="45" t="s">
        <v>140</v>
      </c>
      <c r="C39" s="270">
        <v>69992000</v>
      </c>
      <c r="D39" s="270">
        <v>78424000</v>
      </c>
      <c r="E39" s="270">
        <v>76132000</v>
      </c>
      <c r="F39" s="28"/>
    </row>
    <row r="40" spans="1:5" ht="24" customHeight="1">
      <c r="A40" s="17">
        <v>3</v>
      </c>
      <c r="B40" s="45" t="s">
        <v>169</v>
      </c>
      <c r="C40" s="270">
        <v>52898000</v>
      </c>
      <c r="D40" s="270">
        <v>57646000</v>
      </c>
      <c r="E40" s="270">
        <v>60648000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460</v>
      </c>
      <c r="C42" s="271">
        <f>IF((C48/365)=0,0,+C45/(C48/365))</f>
        <v>21.308134297932053</v>
      </c>
      <c r="D42" s="271">
        <f>IF((D48/365)=0,0,+D45/(D48/365))</f>
        <v>23.768317063155465</v>
      </c>
      <c r="E42" s="271">
        <f>IF((E48/365)=0,0,+E45/(E48/365))</f>
        <v>23.919551639872108</v>
      </c>
    </row>
    <row r="43" spans="1:5" ht="24" customHeight="1">
      <c r="A43" s="17">
        <v>5</v>
      </c>
      <c r="B43" s="188" t="s">
        <v>131</v>
      </c>
      <c r="C43" s="272">
        <v>5087000</v>
      </c>
      <c r="D43" s="272">
        <v>13867000</v>
      </c>
      <c r="E43" s="272">
        <v>12274000</v>
      </c>
    </row>
    <row r="44" spans="1:5" ht="24" customHeight="1">
      <c r="A44" s="17">
        <v>6</v>
      </c>
      <c r="B44" s="273" t="s">
        <v>132</v>
      </c>
      <c r="C44" s="274">
        <v>13384000</v>
      </c>
      <c r="D44" s="274">
        <v>7859000</v>
      </c>
      <c r="E44" s="274">
        <v>11030000</v>
      </c>
    </row>
    <row r="45" spans="1:5" ht="24" customHeight="1">
      <c r="A45" s="17">
        <v>7</v>
      </c>
      <c r="B45" s="45" t="s">
        <v>461</v>
      </c>
      <c r="C45" s="270">
        <f>+C43+C44</f>
        <v>18471000</v>
      </c>
      <c r="D45" s="270">
        <f>+D43+D44</f>
        <v>21726000</v>
      </c>
      <c r="E45" s="270">
        <f>+E43+E44</f>
        <v>23304000</v>
      </c>
    </row>
    <row r="46" spans="1:5" ht="24" customHeight="1">
      <c r="A46" s="17">
        <v>8</v>
      </c>
      <c r="B46" s="45" t="s">
        <v>439</v>
      </c>
      <c r="C46" s="270">
        <f>+C14</f>
        <v>333245000</v>
      </c>
      <c r="D46" s="270">
        <f>+D14</f>
        <v>352513000</v>
      </c>
      <c r="E46" s="270">
        <f>+E14</f>
        <v>375628000</v>
      </c>
    </row>
    <row r="47" spans="1:5" ht="24" customHeight="1">
      <c r="A47" s="17">
        <v>9</v>
      </c>
      <c r="B47" s="45" t="s">
        <v>462</v>
      </c>
      <c r="C47" s="270">
        <v>16844000</v>
      </c>
      <c r="D47" s="270">
        <v>18876000</v>
      </c>
      <c r="E47" s="270">
        <v>20021000</v>
      </c>
    </row>
    <row r="48" spans="1:5" ht="24" customHeight="1">
      <c r="A48" s="17">
        <v>10</v>
      </c>
      <c r="B48" s="45" t="s">
        <v>463</v>
      </c>
      <c r="C48" s="270">
        <f>+C46-C47</f>
        <v>316401000</v>
      </c>
      <c r="D48" s="270">
        <f>+D46-D47</f>
        <v>333637000</v>
      </c>
      <c r="E48" s="270">
        <f>+E46-E47</f>
        <v>355607000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464</v>
      </c>
      <c r="C50" s="278">
        <f>IF((C55/365)=0,0,+C54/(C55/365))</f>
        <v>34.393599438911856</v>
      </c>
      <c r="D50" s="278">
        <f>IF((D55/365)=0,0,+D54/(D55/365))</f>
        <v>38.15025976039421</v>
      </c>
      <c r="E50" s="278">
        <f>IF((E55/365)=0,0,+E54/(E55/365))</f>
        <v>34.2139465926725</v>
      </c>
    </row>
    <row r="51" spans="1:5" ht="24" customHeight="1">
      <c r="A51" s="17">
        <v>12</v>
      </c>
      <c r="B51" s="188" t="s">
        <v>465</v>
      </c>
      <c r="C51" s="279">
        <v>40664000</v>
      </c>
      <c r="D51" s="279">
        <v>44228000</v>
      </c>
      <c r="E51" s="279">
        <v>41629000</v>
      </c>
    </row>
    <row r="52" spans="1:5" ht="24" customHeight="1">
      <c r="A52" s="17">
        <v>13</v>
      </c>
      <c r="B52" s="188" t="s">
        <v>136</v>
      </c>
      <c r="C52" s="270">
        <v>0</v>
      </c>
      <c r="D52" s="270">
        <v>0</v>
      </c>
      <c r="E52" s="270">
        <v>0</v>
      </c>
    </row>
    <row r="53" spans="1:5" ht="24" customHeight="1">
      <c r="A53" s="17">
        <v>14</v>
      </c>
      <c r="B53" s="188" t="s">
        <v>164</v>
      </c>
      <c r="C53" s="270">
        <v>11644000</v>
      </c>
      <c r="D53" s="270">
        <v>9845000</v>
      </c>
      <c r="E53" s="270">
        <v>9131000</v>
      </c>
    </row>
    <row r="54" spans="1:5" ht="32.25" customHeight="1">
      <c r="A54" s="17">
        <v>15</v>
      </c>
      <c r="B54" s="45" t="s">
        <v>466</v>
      </c>
      <c r="C54" s="280">
        <f>+C51+C52-C53</f>
        <v>29020000</v>
      </c>
      <c r="D54" s="280">
        <f>+D51+D52-D53</f>
        <v>34383000</v>
      </c>
      <c r="E54" s="280">
        <f>+E51+E52-E53</f>
        <v>32498000</v>
      </c>
    </row>
    <row r="55" spans="1:5" ht="24" customHeight="1">
      <c r="A55" s="17">
        <v>16</v>
      </c>
      <c r="B55" s="45" t="s">
        <v>190</v>
      </c>
      <c r="C55" s="270">
        <f>+C11</f>
        <v>307973000</v>
      </c>
      <c r="D55" s="270">
        <f>+D11</f>
        <v>328957000</v>
      </c>
      <c r="E55" s="270">
        <f>+E11</f>
        <v>346694000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467</v>
      </c>
      <c r="C57" s="283">
        <f>IF((C61/365)=0,0,+C58/(C61/365))</f>
        <v>61.02310043267878</v>
      </c>
      <c r="D57" s="283">
        <f>IF((D61/365)=0,0,+D58/(D61/365))</f>
        <v>63.0649178598297</v>
      </c>
      <c r="E57" s="283">
        <f>IF((E61/365)=0,0,+E58/(E61/365))</f>
        <v>62.24995570953328</v>
      </c>
    </row>
    <row r="58" spans="1:5" ht="24" customHeight="1">
      <c r="A58" s="17">
        <v>18</v>
      </c>
      <c r="B58" s="45" t="s">
        <v>169</v>
      </c>
      <c r="C58" s="281">
        <f>+C40</f>
        <v>52898000</v>
      </c>
      <c r="D58" s="281">
        <f>+D40</f>
        <v>57646000</v>
      </c>
      <c r="E58" s="281">
        <f>+E40</f>
        <v>60648000</v>
      </c>
    </row>
    <row r="59" spans="1:5" ht="24" customHeight="1">
      <c r="A59" s="17">
        <v>19</v>
      </c>
      <c r="B59" s="45" t="s">
        <v>439</v>
      </c>
      <c r="C59" s="281">
        <f aca="true" t="shared" si="0" ref="C59:E60">+C46</f>
        <v>333245000</v>
      </c>
      <c r="D59" s="281">
        <f t="shared" si="0"/>
        <v>352513000</v>
      </c>
      <c r="E59" s="281">
        <f t="shared" si="0"/>
        <v>375628000</v>
      </c>
    </row>
    <row r="60" spans="1:5" ht="24" customHeight="1">
      <c r="A60" s="17">
        <v>20</v>
      </c>
      <c r="B60" s="45" t="s">
        <v>462</v>
      </c>
      <c r="C60" s="176">
        <f t="shared" si="0"/>
        <v>16844000</v>
      </c>
      <c r="D60" s="176">
        <f t="shared" si="0"/>
        <v>18876000</v>
      </c>
      <c r="E60" s="176">
        <f t="shared" si="0"/>
        <v>20021000</v>
      </c>
    </row>
    <row r="61" spans="1:5" ht="24" customHeight="1">
      <c r="A61" s="17">
        <v>21</v>
      </c>
      <c r="B61" s="45" t="s">
        <v>468</v>
      </c>
      <c r="C61" s="281">
        <f>+C59-C60</f>
        <v>316401000</v>
      </c>
      <c r="D61" s="281">
        <f>+D59-D60</f>
        <v>333637000</v>
      </c>
      <c r="E61" s="281">
        <f>+E59-E60</f>
        <v>355607000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457</v>
      </c>
      <c r="B63" s="16" t="s">
        <v>470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471</v>
      </c>
      <c r="C65" s="284">
        <f>IF(C67=0,0,(C66/C67)*100)</f>
        <v>72.25025923509624</v>
      </c>
      <c r="D65" s="284">
        <f>IF(D67=0,0,(D66/D67)*100)</f>
        <v>73.1381735786918</v>
      </c>
      <c r="E65" s="284">
        <f>IF(E67=0,0,(E66/E67)*100)</f>
        <v>68.31205113043708</v>
      </c>
    </row>
    <row r="66" spans="1:5" ht="24" customHeight="1">
      <c r="A66" s="17">
        <v>2</v>
      </c>
      <c r="B66" s="45" t="s">
        <v>182</v>
      </c>
      <c r="C66" s="281">
        <f>+C32</f>
        <v>439658000</v>
      </c>
      <c r="D66" s="281">
        <f>+D32</f>
        <v>433498000</v>
      </c>
      <c r="E66" s="281">
        <f>+E32</f>
        <v>411285000</v>
      </c>
    </row>
    <row r="67" spans="1:5" ht="24" customHeight="1">
      <c r="A67" s="17">
        <v>3</v>
      </c>
      <c r="B67" s="45" t="s">
        <v>158</v>
      </c>
      <c r="C67" s="281">
        <v>608521000</v>
      </c>
      <c r="D67" s="281">
        <v>592711000</v>
      </c>
      <c r="E67" s="281">
        <v>602068000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472</v>
      </c>
      <c r="C69" s="284">
        <f>IF(C75=0,0,(C72/C75)*100)</f>
        <v>52.760900843142664</v>
      </c>
      <c r="D69" s="284">
        <f>IF(D75=0,0,(D72/D75)*100)</f>
        <v>-0.7512405640843075</v>
      </c>
      <c r="E69" s="284">
        <f>IF(E75=0,0,(E72/E75)*100)</f>
        <v>18.031823394495415</v>
      </c>
    </row>
    <row r="70" spans="1:5" ht="24" customHeight="1">
      <c r="A70" s="17">
        <v>5</v>
      </c>
      <c r="B70" s="45" t="s">
        <v>473</v>
      </c>
      <c r="C70" s="281">
        <f>+C28</f>
        <v>53930000</v>
      </c>
      <c r="D70" s="281">
        <f>+D28</f>
        <v>-19910000</v>
      </c>
      <c r="E70" s="281">
        <f>+E28</f>
        <v>5137000</v>
      </c>
    </row>
    <row r="71" spans="1:5" ht="24" customHeight="1">
      <c r="A71" s="17">
        <v>6</v>
      </c>
      <c r="B71" s="45" t="s">
        <v>462</v>
      </c>
      <c r="C71" s="176">
        <f>+C47</f>
        <v>16844000</v>
      </c>
      <c r="D71" s="176">
        <f>+D47</f>
        <v>18876000</v>
      </c>
      <c r="E71" s="176">
        <f>+E47</f>
        <v>20021000</v>
      </c>
    </row>
    <row r="72" spans="1:5" ht="24" customHeight="1">
      <c r="A72" s="17">
        <v>7</v>
      </c>
      <c r="B72" s="45" t="s">
        <v>474</v>
      </c>
      <c r="C72" s="281">
        <f>+C70+C71</f>
        <v>70774000</v>
      </c>
      <c r="D72" s="281">
        <f>+D70+D71</f>
        <v>-1034000</v>
      </c>
      <c r="E72" s="281">
        <f>+E70+E71</f>
        <v>25158000</v>
      </c>
    </row>
    <row r="73" spans="1:5" ht="24" customHeight="1">
      <c r="A73" s="17">
        <v>8</v>
      </c>
      <c r="B73" s="45" t="s">
        <v>169</v>
      </c>
      <c r="C73" s="270">
        <f>+C40</f>
        <v>52898000</v>
      </c>
      <c r="D73" s="270">
        <f>+D40</f>
        <v>57646000</v>
      </c>
      <c r="E73" s="270">
        <f>+E40</f>
        <v>60648000</v>
      </c>
    </row>
    <row r="74" spans="1:5" ht="24" customHeight="1">
      <c r="A74" s="17">
        <v>9</v>
      </c>
      <c r="B74" s="45" t="s">
        <v>173</v>
      </c>
      <c r="C74" s="281">
        <v>81243000</v>
      </c>
      <c r="D74" s="281">
        <v>79993000</v>
      </c>
      <c r="E74" s="281">
        <v>78872000</v>
      </c>
    </row>
    <row r="75" spans="1:5" ht="24" customHeight="1">
      <c r="A75" s="17">
        <v>10</v>
      </c>
      <c r="B75" s="285" t="s">
        <v>475</v>
      </c>
      <c r="C75" s="270">
        <f>+C73+C74</f>
        <v>134141000</v>
      </c>
      <c r="D75" s="270">
        <f>+D73+D74</f>
        <v>137639000</v>
      </c>
      <c r="E75" s="270">
        <f>+E73+E74</f>
        <v>139520000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476</v>
      </c>
      <c r="C77" s="286">
        <f>IF(C80=0,0,(C78/C80)*100)</f>
        <v>15.59662968587121</v>
      </c>
      <c r="D77" s="286">
        <f>IF(D80=0,0,(D78/D80)*100)</f>
        <v>15.578267194556478</v>
      </c>
      <c r="E77" s="286">
        <f>IF(E80=0,0,(E78/E80)*100)</f>
        <v>16.09117078813523</v>
      </c>
    </row>
    <row r="78" spans="1:5" ht="24" customHeight="1">
      <c r="A78" s="17">
        <v>12</v>
      </c>
      <c r="B78" s="45" t="s">
        <v>173</v>
      </c>
      <c r="C78" s="270">
        <f>+C74</f>
        <v>81243000</v>
      </c>
      <c r="D78" s="270">
        <f>+D74</f>
        <v>79993000</v>
      </c>
      <c r="E78" s="270">
        <f>+E74</f>
        <v>78872000</v>
      </c>
    </row>
    <row r="79" spans="1:5" ht="24" customHeight="1">
      <c r="A79" s="17">
        <v>13</v>
      </c>
      <c r="B79" s="45" t="s">
        <v>182</v>
      </c>
      <c r="C79" s="270">
        <f>+C32</f>
        <v>439658000</v>
      </c>
      <c r="D79" s="270">
        <f>+D32</f>
        <v>433498000</v>
      </c>
      <c r="E79" s="270">
        <f>+E32</f>
        <v>411285000</v>
      </c>
    </row>
    <row r="80" spans="1:5" ht="24" customHeight="1">
      <c r="A80" s="17">
        <v>14</v>
      </c>
      <c r="B80" s="45" t="s">
        <v>477</v>
      </c>
      <c r="C80" s="270">
        <f>+C78+C79</f>
        <v>520901000</v>
      </c>
      <c r="D80" s="270">
        <f>+D78+D79</f>
        <v>513491000</v>
      </c>
      <c r="E80" s="270">
        <f>+E78+E79</f>
        <v>490157000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&amp;L&amp;8OFFICE OF HEALTH CARE ACCESS&amp;C&amp;8TWELVE MONTHS ACTUAL FILING&amp;R&amp;8ST VINCENTS HEALTH SERVICES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115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116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117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609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610</v>
      </c>
      <c r="G7" s="126" t="s">
        <v>610</v>
      </c>
      <c r="H7" s="125"/>
      <c r="I7" s="289"/>
    </row>
    <row r="8" spans="1:9" ht="15.75" customHeight="1">
      <c r="A8" s="287"/>
      <c r="B8" s="126"/>
      <c r="C8" s="126" t="s">
        <v>611</v>
      </c>
      <c r="D8" s="126" t="s">
        <v>612</v>
      </c>
      <c r="E8" s="126" t="s">
        <v>613</v>
      </c>
      <c r="F8" s="126" t="s">
        <v>614</v>
      </c>
      <c r="G8" s="126" t="s">
        <v>615</v>
      </c>
      <c r="H8" s="125"/>
      <c r="I8" s="289"/>
    </row>
    <row r="9" spans="1:9" ht="15.75" customHeight="1">
      <c r="A9" s="290" t="s">
        <v>123</v>
      </c>
      <c r="B9" s="291" t="s">
        <v>124</v>
      </c>
      <c r="C9" s="292" t="s">
        <v>616</v>
      </c>
      <c r="D9" s="292" t="s">
        <v>617</v>
      </c>
      <c r="E9" s="292" t="s">
        <v>618</v>
      </c>
      <c r="F9" s="292" t="s">
        <v>617</v>
      </c>
      <c r="G9" s="292" t="s">
        <v>618</v>
      </c>
      <c r="H9" s="125"/>
      <c r="I9" s="56"/>
    </row>
    <row r="10" spans="1:9" ht="15.75" customHeight="1">
      <c r="A10" s="293" t="s">
        <v>619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620</v>
      </c>
      <c r="C11" s="296">
        <v>81374</v>
      </c>
      <c r="D11" s="297">
        <v>240</v>
      </c>
      <c r="E11" s="297">
        <v>242</v>
      </c>
      <c r="F11" s="298">
        <f>IF(D11=0,0,$C11/(D11*365))</f>
        <v>0.9289269406392694</v>
      </c>
      <c r="G11" s="298">
        <f>IF(E11=0,0,$C11/(E11*365))</f>
        <v>0.9212498584852259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621</v>
      </c>
      <c r="C13" s="296">
        <v>7352</v>
      </c>
      <c r="D13" s="297">
        <v>24</v>
      </c>
      <c r="E13" s="297">
        <v>30</v>
      </c>
      <c r="F13" s="298">
        <f>IF(D13=0,0,$C13/(D13*365))</f>
        <v>0.8392694063926941</v>
      </c>
      <c r="G13" s="298">
        <f>IF(E13=0,0,$C13/(E13*365))</f>
        <v>0.6714155251141553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622</v>
      </c>
      <c r="C15" s="296">
        <v>5924</v>
      </c>
      <c r="D15" s="297">
        <v>17</v>
      </c>
      <c r="E15" s="297">
        <v>17</v>
      </c>
      <c r="F15" s="298">
        <f aca="true" t="shared" si="0" ref="F15:G17">IF(D15=0,0,$C15/(D15*365))</f>
        <v>0.9547139403706688</v>
      </c>
      <c r="G15" s="298">
        <f t="shared" si="0"/>
        <v>0.9547139403706688</v>
      </c>
      <c r="H15" s="125"/>
      <c r="I15" s="299"/>
    </row>
    <row r="16" spans="1:9" ht="15" customHeight="1">
      <c r="A16" s="294">
        <v>4</v>
      </c>
      <c r="B16" s="295" t="s">
        <v>623</v>
      </c>
      <c r="C16" s="296">
        <v>21408</v>
      </c>
      <c r="D16" s="297">
        <v>75</v>
      </c>
      <c r="E16" s="297">
        <v>75</v>
      </c>
      <c r="F16" s="298">
        <f t="shared" si="0"/>
        <v>0.7820273972602739</v>
      </c>
      <c r="G16" s="298">
        <f t="shared" si="0"/>
        <v>0.7820273972602739</v>
      </c>
      <c r="H16" s="125"/>
      <c r="I16" s="299"/>
    </row>
    <row r="17" spans="1:9" ht="15.75" customHeight="1">
      <c r="A17" s="293"/>
      <c r="B17" s="135" t="s">
        <v>624</v>
      </c>
      <c r="C17" s="300">
        <f>SUM(C15:C16)</f>
        <v>27332</v>
      </c>
      <c r="D17" s="300">
        <f>SUM(D15:D16)</f>
        <v>92</v>
      </c>
      <c r="E17" s="300">
        <f>SUM(E15:E16)</f>
        <v>92</v>
      </c>
      <c r="F17" s="301">
        <f t="shared" si="0"/>
        <v>0.813936867182847</v>
      </c>
      <c r="G17" s="301">
        <f t="shared" si="0"/>
        <v>0.813936867182847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625</v>
      </c>
      <c r="C19" s="296">
        <v>2808</v>
      </c>
      <c r="D19" s="297">
        <v>10</v>
      </c>
      <c r="E19" s="297">
        <v>10</v>
      </c>
      <c r="F19" s="298">
        <f>IF(D19=0,0,$C19/(D19*365))</f>
        <v>0.7693150684931507</v>
      </c>
      <c r="G19" s="298">
        <f>IF(E19=0,0,$C19/(E19*365))</f>
        <v>0.7693150684931507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626</v>
      </c>
      <c r="C21" s="296">
        <v>3223</v>
      </c>
      <c r="D21" s="297">
        <v>22</v>
      </c>
      <c r="E21" s="297">
        <v>22</v>
      </c>
      <c r="F21" s="298">
        <f>IF(D21=0,0,$C21/(D21*365))</f>
        <v>0.40136986301369865</v>
      </c>
      <c r="G21" s="298">
        <f>IF(E21=0,0,$C21/(E21*365))</f>
        <v>0.40136986301369865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627</v>
      </c>
      <c r="C23" s="296">
        <v>3358</v>
      </c>
      <c r="D23" s="297">
        <v>27</v>
      </c>
      <c r="E23" s="297">
        <v>27</v>
      </c>
      <c r="F23" s="298">
        <f>IF(D23=0,0,$C23/(D23*365))</f>
        <v>0.34074074074074073</v>
      </c>
      <c r="G23" s="298">
        <f>IF(E23=0,0,$C23/(E23*365))</f>
        <v>0.34074074074074073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410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628</v>
      </c>
      <c r="C27" s="296">
        <v>0</v>
      </c>
      <c r="D27" s="297">
        <v>0</v>
      </c>
      <c r="E27" s="297">
        <v>0</v>
      </c>
      <c r="F27" s="298">
        <f>IF(D27=0,0,$C27/(D27*365))</f>
        <v>0</v>
      </c>
      <c r="G27" s="298">
        <f>IF(E27=0,0,$C27/(E27*365))</f>
        <v>0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629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630</v>
      </c>
      <c r="C31" s="300">
        <f>SUM(C10:C29)-C17-C23</f>
        <v>122089</v>
      </c>
      <c r="D31" s="300">
        <f>SUM(D10:D29)-D17-D23</f>
        <v>388</v>
      </c>
      <c r="E31" s="300">
        <f>SUM(E10:E29)-E17-E23</f>
        <v>396</v>
      </c>
      <c r="F31" s="301">
        <f>IF(D31=0,0,$C31/(D31*365))</f>
        <v>0.8620886880384127</v>
      </c>
      <c r="G31" s="301">
        <f>IF(E31=0,0,$C31/(E31*365))</f>
        <v>0.8446727549467276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631</v>
      </c>
      <c r="C33" s="300">
        <f>SUM(C10:C29)-C17</f>
        <v>125447</v>
      </c>
      <c r="D33" s="300">
        <f>SUM(D10:D29)-D17</f>
        <v>415</v>
      </c>
      <c r="E33" s="300">
        <f>SUM(E10:E29)-E17</f>
        <v>423</v>
      </c>
      <c r="F33" s="301">
        <f>IF(D33=0,0,$C33/(D33*365))</f>
        <v>0.8281696649612147</v>
      </c>
      <c r="G33" s="301">
        <f>IF(E33=0,0,$C33/(E33*365))</f>
        <v>0.8125068816995369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632</v>
      </c>
      <c r="C36" s="300">
        <f>+C33</f>
        <v>125447</v>
      </c>
      <c r="D36" s="300">
        <f>+D33</f>
        <v>415</v>
      </c>
      <c r="E36" s="300">
        <f>+E33</f>
        <v>423</v>
      </c>
      <c r="F36" s="301">
        <f>+F33</f>
        <v>0.8281696649612147</v>
      </c>
      <c r="G36" s="301">
        <f>+G33</f>
        <v>0.8125068816995369</v>
      </c>
      <c r="H36" s="125"/>
      <c r="I36" s="299"/>
    </row>
    <row r="37" spans="1:9" ht="15.75" customHeight="1">
      <c r="A37" s="293"/>
      <c r="B37" s="135" t="s">
        <v>633</v>
      </c>
      <c r="C37" s="300">
        <v>104524</v>
      </c>
      <c r="D37" s="302">
        <v>340</v>
      </c>
      <c r="E37" s="302">
        <v>349</v>
      </c>
      <c r="F37" s="301">
        <f>IF(D37=0,0,$C37/(D37*365))</f>
        <v>0.842256244963739</v>
      </c>
      <c r="G37" s="301">
        <f>IF(E37=0,0,$C37/(E37*365))</f>
        <v>0.8205361698787141</v>
      </c>
      <c r="H37" s="125"/>
      <c r="I37" s="299"/>
    </row>
    <row r="38" spans="1:9" ht="15.75" customHeight="1">
      <c r="A38" s="293"/>
      <c r="B38" s="135" t="s">
        <v>634</v>
      </c>
      <c r="C38" s="300">
        <f>+C36-C37</f>
        <v>20923</v>
      </c>
      <c r="D38" s="300">
        <f>+D36-D37</f>
        <v>75</v>
      </c>
      <c r="E38" s="300">
        <f>+E36-E37</f>
        <v>74</v>
      </c>
      <c r="F38" s="301">
        <f>+F36-F37</f>
        <v>-0.014086580002524274</v>
      </c>
      <c r="G38" s="301">
        <f>+G36-G37</f>
        <v>-0.008029288179177252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635</v>
      </c>
      <c r="C40" s="148">
        <f>IF(C37=0,0,C38/C37)</f>
        <v>0.20017412268952586</v>
      </c>
      <c r="D40" s="148">
        <f>IF(D37=0,0,D38/D37)</f>
        <v>0.22058823529411764</v>
      </c>
      <c r="E40" s="148">
        <f>IF(E37=0,0,E38/E37)</f>
        <v>0.21203438395415472</v>
      </c>
      <c r="F40" s="148">
        <f>IF(F37=0,0,F38/F37)</f>
        <v>-0.016724815145930716</v>
      </c>
      <c r="G40" s="148">
        <f>IF(G37=0,0,G38/G37)</f>
        <v>-0.009785416504386498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636</v>
      </c>
      <c r="C42" s="295">
        <v>520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637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619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/>
  <headerFooter alignWithMargins="0">
    <oddHeader>&amp;LOFFICE OF HEALTH CARE ACCESS&amp;CTWELVE MONTHS ACTUAL FILING&amp;RSAINT VINCENT`S MEDICAL CENTER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="75" zoomScaleNormal="75" zoomScaleSheetLayoutView="90" zoomScalePageLayoutView="0" workbookViewId="0" topLeftCell="A1">
      <selection activeCell="A1" sqref="A1:F1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115</v>
      </c>
      <c r="B1" s="698"/>
      <c r="C1" s="698"/>
      <c r="D1" s="698"/>
      <c r="E1" s="698"/>
      <c r="F1" s="698"/>
    </row>
    <row r="2" spans="1:6" ht="15.75" customHeight="1">
      <c r="A2" s="698" t="s">
        <v>116</v>
      </c>
      <c r="B2" s="698"/>
      <c r="C2" s="698"/>
      <c r="D2" s="698"/>
      <c r="E2" s="698"/>
      <c r="F2" s="698"/>
    </row>
    <row r="3" spans="1:6" ht="15.75" customHeight="1">
      <c r="A3" s="698" t="s">
        <v>117</v>
      </c>
      <c r="B3" s="698"/>
      <c r="C3" s="698"/>
      <c r="D3" s="698"/>
      <c r="E3" s="698"/>
      <c r="F3" s="698"/>
    </row>
    <row r="4" spans="1:6" ht="15.75" customHeight="1">
      <c r="A4" s="698" t="s">
        <v>638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125</v>
      </c>
      <c r="D8" s="312" t="s">
        <v>125</v>
      </c>
      <c r="E8" s="126" t="s">
        <v>121</v>
      </c>
      <c r="F8" s="126" t="s">
        <v>122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123</v>
      </c>
      <c r="B9" s="291" t="s">
        <v>124</v>
      </c>
      <c r="C9" s="292" t="s">
        <v>119</v>
      </c>
      <c r="D9" s="292" t="s">
        <v>120</v>
      </c>
      <c r="E9" s="315" t="s">
        <v>126</v>
      </c>
      <c r="F9" s="315" t="s">
        <v>126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129</v>
      </c>
      <c r="B11" s="291" t="s">
        <v>639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640</v>
      </c>
      <c r="C12" s="296">
        <v>7017</v>
      </c>
      <c r="D12" s="296">
        <v>6951</v>
      </c>
      <c r="E12" s="296">
        <f>+D12-C12</f>
        <v>-66</v>
      </c>
      <c r="F12" s="316">
        <f>IF(C12=0,0,+E12/C12)</f>
        <v>-0.00940572894399316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641</v>
      </c>
      <c r="C13" s="296">
        <v>2075</v>
      </c>
      <c r="D13" s="296">
        <v>1868</v>
      </c>
      <c r="E13" s="296">
        <f>+D13-C13</f>
        <v>-207</v>
      </c>
      <c r="F13" s="316">
        <f>IF(C13=0,0,+E13/C13)</f>
        <v>-0.09975903614457832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642</v>
      </c>
      <c r="C14" s="296">
        <v>6953</v>
      </c>
      <c r="D14" s="296">
        <v>7324</v>
      </c>
      <c r="E14" s="296">
        <f>+D14-C14</f>
        <v>371</v>
      </c>
      <c r="F14" s="316">
        <f>IF(C14=0,0,+E14/C14)</f>
        <v>0.0533582626204516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643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644</v>
      </c>
      <c r="C16" s="300">
        <f>SUM(C12:C15)</f>
        <v>16045</v>
      </c>
      <c r="D16" s="300">
        <f>SUM(D12:D15)</f>
        <v>16143</v>
      </c>
      <c r="E16" s="300">
        <f>+D16-C16</f>
        <v>98</v>
      </c>
      <c r="F16" s="309">
        <f>IF(C16=0,0,+E16/C16)</f>
        <v>0.0061078217513244005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141</v>
      </c>
      <c r="B18" s="291" t="s">
        <v>645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640</v>
      </c>
      <c r="C19" s="296">
        <v>1158</v>
      </c>
      <c r="D19" s="296">
        <v>1181</v>
      </c>
      <c r="E19" s="296">
        <f>+D19-C19</f>
        <v>23</v>
      </c>
      <c r="F19" s="316">
        <f>IF(C19=0,0,+E19/C19)</f>
        <v>0.019861830742659757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641</v>
      </c>
      <c r="C20" s="296">
        <v>1940</v>
      </c>
      <c r="D20" s="296">
        <v>1786</v>
      </c>
      <c r="E20" s="296">
        <f>+D20-C20</f>
        <v>-154</v>
      </c>
      <c r="F20" s="316">
        <f>IF(C20=0,0,+E20/C20)</f>
        <v>-0.07938144329896907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642</v>
      </c>
      <c r="C21" s="296">
        <v>108</v>
      </c>
      <c r="D21" s="296">
        <v>120</v>
      </c>
      <c r="E21" s="296">
        <f>+D21-C21</f>
        <v>12</v>
      </c>
      <c r="F21" s="316">
        <f>IF(C21=0,0,+E21/C21)</f>
        <v>0.1111111111111111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643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646</v>
      </c>
      <c r="C23" s="300">
        <f>SUM(C19:C22)</f>
        <v>3206</v>
      </c>
      <c r="D23" s="300">
        <f>SUM(D19:D22)</f>
        <v>3087</v>
      </c>
      <c r="E23" s="300">
        <f>+D23-C23</f>
        <v>-119</v>
      </c>
      <c r="F23" s="309">
        <f>IF(C23=0,0,+E23/C23)</f>
        <v>-0.03711790393013101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151</v>
      </c>
      <c r="B25" s="291" t="s">
        <v>647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640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641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642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643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648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436</v>
      </c>
      <c r="B32" s="291" t="s">
        <v>649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640</v>
      </c>
      <c r="C33" s="296">
        <v>6</v>
      </c>
      <c r="D33" s="296">
        <v>5</v>
      </c>
      <c r="E33" s="296">
        <f>+D33-C33</f>
        <v>-1</v>
      </c>
      <c r="F33" s="316">
        <f>IF(C33=0,0,+E33/C33)</f>
        <v>-0.16666666666666666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641</v>
      </c>
      <c r="C34" s="296">
        <v>358</v>
      </c>
      <c r="D34" s="296">
        <v>385</v>
      </c>
      <c r="E34" s="296">
        <f>+D34-C34</f>
        <v>27</v>
      </c>
      <c r="F34" s="316">
        <f>IF(C34=0,0,+E34/C34)</f>
        <v>0.07541899441340782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642</v>
      </c>
      <c r="C35" s="296">
        <v>0</v>
      </c>
      <c r="D35" s="296">
        <v>1</v>
      </c>
      <c r="E35" s="296">
        <f>+D35-C35</f>
        <v>1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643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650</v>
      </c>
      <c r="C37" s="300">
        <f>SUM(C33:C36)</f>
        <v>364</v>
      </c>
      <c r="D37" s="300">
        <f>SUM(D33:D36)</f>
        <v>391</v>
      </c>
      <c r="E37" s="300">
        <f>+D37-C37</f>
        <v>27</v>
      </c>
      <c r="F37" s="309">
        <f>IF(C37=0,0,+E37/C37)</f>
        <v>0.07417582417582418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651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652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457</v>
      </c>
      <c r="B42" s="291" t="s">
        <v>653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654</v>
      </c>
      <c r="C43" s="296">
        <v>991</v>
      </c>
      <c r="D43" s="296">
        <v>877</v>
      </c>
      <c r="E43" s="296">
        <f>+D43-C43</f>
        <v>-114</v>
      </c>
      <c r="F43" s="316">
        <f>IF(C43=0,0,+E43/C43)</f>
        <v>-0.11503531786074672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655</v>
      </c>
      <c r="C44" s="296">
        <v>11836</v>
      </c>
      <c r="D44" s="296">
        <v>12125</v>
      </c>
      <c r="E44" s="296">
        <f>+D44-C44</f>
        <v>289</v>
      </c>
      <c r="F44" s="316">
        <f>IF(C44=0,0,+E44/C44)</f>
        <v>0.02441703278134505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656</v>
      </c>
      <c r="C45" s="300">
        <f>SUM(C43:C44)</f>
        <v>12827</v>
      </c>
      <c r="D45" s="300">
        <f>SUM(D43:D44)</f>
        <v>13002</v>
      </c>
      <c r="E45" s="300">
        <f>+D45-C45</f>
        <v>175</v>
      </c>
      <c r="F45" s="309">
        <f>IF(C45=0,0,+E45/C45)</f>
        <v>0.013643096593123879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469</v>
      </c>
      <c r="B47" s="291" t="s">
        <v>657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654</v>
      </c>
      <c r="C48" s="296">
        <v>1516</v>
      </c>
      <c r="D48" s="296">
        <v>1395</v>
      </c>
      <c r="E48" s="296">
        <f>+D48-C48</f>
        <v>-121</v>
      </c>
      <c r="F48" s="316">
        <f>IF(C48=0,0,+E48/C48)</f>
        <v>-0.07981530343007916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655</v>
      </c>
      <c r="C49" s="296">
        <v>588</v>
      </c>
      <c r="D49" s="296">
        <v>578</v>
      </c>
      <c r="E49" s="296">
        <f>+D49-C49</f>
        <v>-10</v>
      </c>
      <c r="F49" s="316">
        <f>IF(C49=0,0,+E49/C49)</f>
        <v>-0.017006802721088437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658</v>
      </c>
      <c r="C50" s="300">
        <f>SUM(C48:C49)</f>
        <v>2104</v>
      </c>
      <c r="D50" s="300">
        <f>SUM(D48:D49)</f>
        <v>1973</v>
      </c>
      <c r="E50" s="300">
        <f>+D50-C50</f>
        <v>-131</v>
      </c>
      <c r="F50" s="309">
        <f>IF(C50=0,0,+E50/C50)</f>
        <v>-0.06226235741444867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481</v>
      </c>
      <c r="B52" s="291" t="s">
        <v>659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660</v>
      </c>
      <c r="C53" s="296">
        <v>132</v>
      </c>
      <c r="D53" s="296">
        <v>132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661</v>
      </c>
      <c r="C54" s="296">
        <v>1120</v>
      </c>
      <c r="D54" s="296">
        <v>1120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662</v>
      </c>
      <c r="C55" s="300">
        <f>SUM(C53:C54)</f>
        <v>1252</v>
      </c>
      <c r="D55" s="300">
        <f>SUM(D53:D54)</f>
        <v>1252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485</v>
      </c>
      <c r="B57" s="291" t="s">
        <v>663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664</v>
      </c>
      <c r="C58" s="296">
        <v>640</v>
      </c>
      <c r="D58" s="296">
        <v>751</v>
      </c>
      <c r="E58" s="296">
        <f>+D58-C58</f>
        <v>111</v>
      </c>
      <c r="F58" s="316">
        <f>IF(C58=0,0,+E58/C58)</f>
        <v>0.1734375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665</v>
      </c>
      <c r="C59" s="296">
        <v>276</v>
      </c>
      <c r="D59" s="296">
        <v>275</v>
      </c>
      <c r="E59" s="296">
        <f>+D59-C59</f>
        <v>-1</v>
      </c>
      <c r="F59" s="316">
        <f>IF(C59=0,0,+E59/C59)</f>
        <v>-0.0036231884057971015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666</v>
      </c>
      <c r="C60" s="300">
        <f>SUM(C58:C59)</f>
        <v>916</v>
      </c>
      <c r="D60" s="300">
        <f>SUM(D58:D59)</f>
        <v>1026</v>
      </c>
      <c r="E60" s="300">
        <f>SUM(E58:E59)</f>
        <v>110</v>
      </c>
      <c r="F60" s="309">
        <f>IF(C60=0,0,+E60/C60)</f>
        <v>0.12008733624454149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127</v>
      </c>
      <c r="B62" s="291" t="s">
        <v>667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668</v>
      </c>
      <c r="C63" s="296">
        <v>5855</v>
      </c>
      <c r="D63" s="296">
        <v>5806</v>
      </c>
      <c r="E63" s="296">
        <f>+D63-C63</f>
        <v>-49</v>
      </c>
      <c r="F63" s="316">
        <f>IF(C63=0,0,+E63/C63)</f>
        <v>-0.008368915456874466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669</v>
      </c>
      <c r="C64" s="296">
        <v>6831</v>
      </c>
      <c r="D64" s="296">
        <v>6749</v>
      </c>
      <c r="E64" s="296">
        <f>+D64-C64</f>
        <v>-82</v>
      </c>
      <c r="F64" s="316">
        <f>IF(C64=0,0,+E64/C64)</f>
        <v>-0.0120040989606207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670</v>
      </c>
      <c r="C65" s="300">
        <f>SUM(C63:C64)</f>
        <v>12686</v>
      </c>
      <c r="D65" s="300">
        <f>SUM(D63:D64)</f>
        <v>12555</v>
      </c>
      <c r="E65" s="300">
        <f>+D65-C65</f>
        <v>-131</v>
      </c>
      <c r="F65" s="309">
        <f>IF(C65=0,0,+E65/C65)</f>
        <v>-0.010326344001261234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511</v>
      </c>
      <c r="B67" s="291" t="s">
        <v>671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672</v>
      </c>
      <c r="C68" s="296">
        <v>723</v>
      </c>
      <c r="D68" s="296">
        <v>653</v>
      </c>
      <c r="E68" s="296">
        <f>+D68-C68</f>
        <v>-70</v>
      </c>
      <c r="F68" s="316">
        <f>IF(C68=0,0,+E68/C68)</f>
        <v>-0.09681881051175657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673</v>
      </c>
      <c r="C69" s="296">
        <v>1581</v>
      </c>
      <c r="D69" s="296">
        <v>1387</v>
      </c>
      <c r="E69" s="296">
        <f>+D69-C69</f>
        <v>-194</v>
      </c>
      <c r="F69" s="318">
        <f>IF(C69=0,0,+E69/C69)</f>
        <v>-0.12270714737507907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674</v>
      </c>
      <c r="C70" s="300">
        <f>SUM(C68:C69)</f>
        <v>2304</v>
      </c>
      <c r="D70" s="300">
        <f>SUM(D68:D69)</f>
        <v>2040</v>
      </c>
      <c r="E70" s="300">
        <f>+D70-C70</f>
        <v>-264</v>
      </c>
      <c r="F70" s="309">
        <f>IF(C70=0,0,+E70/C70)</f>
        <v>-0.11458333333333333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527</v>
      </c>
      <c r="B72" s="291" t="s">
        <v>675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676</v>
      </c>
      <c r="C73" s="319">
        <v>12721</v>
      </c>
      <c r="D73" s="319">
        <v>10882</v>
      </c>
      <c r="E73" s="296">
        <f>+D73-C73</f>
        <v>-1839</v>
      </c>
      <c r="F73" s="316">
        <f>IF(C73=0,0,+E73/C73)</f>
        <v>-0.14456410659539345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677</v>
      </c>
      <c r="C74" s="319">
        <v>47919</v>
      </c>
      <c r="D74" s="319">
        <v>50431</v>
      </c>
      <c r="E74" s="296">
        <f>+D74-C74</f>
        <v>2512</v>
      </c>
      <c r="F74" s="316">
        <f>IF(C74=0,0,+E74/C74)</f>
        <v>0.05242179511258582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543</v>
      </c>
      <c r="C75" s="300">
        <f>SUM(C73:C74)</f>
        <v>60640</v>
      </c>
      <c r="D75" s="300">
        <f>SUM(D73:D74)</f>
        <v>61313</v>
      </c>
      <c r="E75" s="300">
        <f>SUM(E73:E74)</f>
        <v>673</v>
      </c>
      <c r="F75" s="309">
        <f>IF(C75=0,0,+E75/C75)</f>
        <v>0.011098284960422164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536</v>
      </c>
      <c r="B78" s="291" t="s">
        <v>678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679</v>
      </c>
      <c r="C79" s="319">
        <v>0</v>
      </c>
      <c r="D79" s="319">
        <v>0</v>
      </c>
      <c r="E79" s="296">
        <f aca="true" t="shared" si="0" ref="E79:E84">+D79-C79</f>
        <v>0</v>
      </c>
      <c r="F79" s="316">
        <f aca="true" t="shared" si="1" ref="F79:F84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680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681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682</v>
      </c>
      <c r="C82" s="319">
        <v>48549</v>
      </c>
      <c r="D82" s="319">
        <v>48196</v>
      </c>
      <c r="E82" s="296">
        <f t="shared" si="0"/>
        <v>-353</v>
      </c>
      <c r="F82" s="316">
        <f t="shared" si="1"/>
        <v>-0.007271004552102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683</v>
      </c>
      <c r="C83" s="319">
        <v>16399</v>
      </c>
      <c r="D83" s="319">
        <v>15751</v>
      </c>
      <c r="E83" s="296">
        <f t="shared" si="0"/>
        <v>-648</v>
      </c>
      <c r="F83" s="316">
        <f t="shared" si="1"/>
        <v>-0.03951460454905787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684</v>
      </c>
      <c r="C84" s="320">
        <f>SUM(C79:C83)</f>
        <v>64948</v>
      </c>
      <c r="D84" s="320">
        <f>SUM(D79:D83)</f>
        <v>63947</v>
      </c>
      <c r="E84" s="300">
        <f t="shared" si="0"/>
        <v>-1001</v>
      </c>
      <c r="F84" s="309">
        <f t="shared" si="1"/>
        <v>-0.015412329863891112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539</v>
      </c>
      <c r="B86" s="291" t="s">
        <v>685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686</v>
      </c>
      <c r="C87" s="322">
        <v>1765</v>
      </c>
      <c r="D87" s="322">
        <v>1952</v>
      </c>
      <c r="E87" s="323">
        <f aca="true" t="shared" si="2" ref="E87:E92">+D87-C87</f>
        <v>187</v>
      </c>
      <c r="F87" s="318">
        <f aca="true" t="shared" si="3" ref="F87:F92">IF(C87=0,0,+E87/C87)</f>
        <v>0.10594900849858357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378</v>
      </c>
      <c r="C88" s="322">
        <v>977</v>
      </c>
      <c r="D88" s="322">
        <v>971</v>
      </c>
      <c r="E88" s="296">
        <f t="shared" si="2"/>
        <v>-6</v>
      </c>
      <c r="F88" s="316">
        <f t="shared" si="3"/>
        <v>-0.006141248720573183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687</v>
      </c>
      <c r="C89" s="322">
        <v>1439</v>
      </c>
      <c r="D89" s="322">
        <v>1610</v>
      </c>
      <c r="E89" s="296">
        <f t="shared" si="2"/>
        <v>171</v>
      </c>
      <c r="F89" s="316">
        <f t="shared" si="3"/>
        <v>0.11883252258512857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688</v>
      </c>
      <c r="C90" s="322">
        <v>3357</v>
      </c>
      <c r="D90" s="322">
        <v>3217</v>
      </c>
      <c r="E90" s="296">
        <f t="shared" si="2"/>
        <v>-140</v>
      </c>
      <c r="F90" s="316">
        <f t="shared" si="3"/>
        <v>-0.04170390229371462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689</v>
      </c>
      <c r="C91" s="322">
        <v>76198</v>
      </c>
      <c r="D91" s="322">
        <v>80395</v>
      </c>
      <c r="E91" s="296">
        <f t="shared" si="2"/>
        <v>4197</v>
      </c>
      <c r="F91" s="316">
        <f t="shared" si="3"/>
        <v>0.05508018583164912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690</v>
      </c>
      <c r="C92" s="320">
        <f>SUM(C87:C91)</f>
        <v>83736</v>
      </c>
      <c r="D92" s="320">
        <f>SUM(D87:D91)</f>
        <v>88145</v>
      </c>
      <c r="E92" s="300">
        <f t="shared" si="2"/>
        <v>4409</v>
      </c>
      <c r="F92" s="309">
        <f t="shared" si="3"/>
        <v>0.05265357791153148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691</v>
      </c>
      <c r="B95" s="291" t="s">
        <v>692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693</v>
      </c>
      <c r="C96" s="325">
        <v>670.8</v>
      </c>
      <c r="D96" s="325">
        <v>766.9</v>
      </c>
      <c r="E96" s="326">
        <f>+D96-C96</f>
        <v>96.10000000000002</v>
      </c>
      <c r="F96" s="316">
        <f>IF(C96=0,0,+E96/C96)</f>
        <v>0.14326177698270726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694</v>
      </c>
      <c r="C97" s="325">
        <v>136.5</v>
      </c>
      <c r="D97" s="325">
        <v>143.8</v>
      </c>
      <c r="E97" s="326">
        <f>+D97-C97</f>
        <v>7.300000000000011</v>
      </c>
      <c r="F97" s="316">
        <f>IF(C97=0,0,+E97/C97)</f>
        <v>0.05347985347985356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695</v>
      </c>
      <c r="C98" s="325">
        <v>1022.1</v>
      </c>
      <c r="D98" s="325">
        <v>1138.9</v>
      </c>
      <c r="E98" s="326">
        <f>+D98-C98</f>
        <v>116.80000000000007</v>
      </c>
      <c r="F98" s="316">
        <f>IF(C98=0,0,+E98/C98)</f>
        <v>0.11427453282457692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696</v>
      </c>
      <c r="C99" s="327">
        <f>SUM(C96:C98)</f>
        <v>1829.4</v>
      </c>
      <c r="D99" s="327">
        <f>SUM(D96:D98)</f>
        <v>2049.6000000000004</v>
      </c>
      <c r="E99" s="327">
        <f>+D99-C99</f>
        <v>220.20000000000027</v>
      </c>
      <c r="F99" s="309">
        <f>IF(C99=0,0,+E99/C99)</f>
        <v>0.1203673335519844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/>
  <headerFooter alignWithMargins="0">
    <oddHeader>&amp;LOFFICE OF HEALTH CARE ACCESS&amp;CTWELVE MONTHS ACTUAL FILING&amp;RSAINT VINCENT`S MEDICAL CENTER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SheetLayoutView="90" zoomScalePageLayoutView="0" workbookViewId="0" topLeftCell="A1">
      <selection activeCell="A1" sqref="A1:F1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115</v>
      </c>
      <c r="B1" s="698"/>
      <c r="C1" s="698"/>
      <c r="D1" s="698"/>
      <c r="E1" s="698"/>
      <c r="F1" s="698"/>
    </row>
    <row r="2" spans="1:6" ht="15.75" customHeight="1">
      <c r="A2" s="698" t="s">
        <v>116</v>
      </c>
      <c r="B2" s="698"/>
      <c r="C2" s="698"/>
      <c r="D2" s="698"/>
      <c r="E2" s="698"/>
      <c r="F2" s="698"/>
    </row>
    <row r="3" spans="1:6" ht="15.75" customHeight="1">
      <c r="A3" s="698" t="s">
        <v>117</v>
      </c>
      <c r="B3" s="698"/>
      <c r="C3" s="698"/>
      <c r="D3" s="698"/>
      <c r="E3" s="698"/>
      <c r="F3" s="698"/>
    </row>
    <row r="4" spans="1:6" ht="15.75" customHeight="1">
      <c r="A4" s="698" t="s">
        <v>697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125</v>
      </c>
      <c r="D8" s="312" t="s">
        <v>125</v>
      </c>
      <c r="E8" s="126" t="s">
        <v>121</v>
      </c>
      <c r="F8" s="126" t="s">
        <v>122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123</v>
      </c>
      <c r="B9" s="291" t="s">
        <v>124</v>
      </c>
      <c r="C9" s="292" t="s">
        <v>119</v>
      </c>
      <c r="D9" s="292" t="s">
        <v>120</v>
      </c>
      <c r="E9" s="315" t="s">
        <v>126</v>
      </c>
      <c r="F9" s="315" t="s">
        <v>126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225</v>
      </c>
      <c r="B11" s="291" t="s">
        <v>669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698</v>
      </c>
      <c r="C12" s="296">
        <v>6831</v>
      </c>
      <c r="D12" s="296">
        <v>6749</v>
      </c>
      <c r="E12" s="296">
        <f>+D12-C12</f>
        <v>-82</v>
      </c>
      <c r="F12" s="316">
        <f>IF(C12=0,0,+E12/C12)</f>
        <v>-0.0120040989606207</v>
      </c>
    </row>
    <row r="13" spans="1:6" ht="15.75" customHeight="1">
      <c r="A13" s="294"/>
      <c r="B13" s="135" t="s">
        <v>699</v>
      </c>
      <c r="C13" s="300">
        <f>SUM(C11:C12)</f>
        <v>6831</v>
      </c>
      <c r="D13" s="300">
        <f>SUM(D11:D12)</f>
        <v>6749</v>
      </c>
      <c r="E13" s="300">
        <f>+D13-C13</f>
        <v>-82</v>
      </c>
      <c r="F13" s="309">
        <f>IF(C13=0,0,+E13/C13)</f>
        <v>-0.0120040989606207</v>
      </c>
    </row>
    <row r="14" spans="1:6" ht="15.75" customHeight="1">
      <c r="A14" s="293"/>
      <c r="B14" s="135"/>
      <c r="C14" s="300"/>
      <c r="D14" s="300"/>
      <c r="E14" s="300"/>
      <c r="F14" s="309"/>
    </row>
    <row r="15" spans="1:6" ht="15.75" customHeight="1">
      <c r="A15" s="293" t="s">
        <v>239</v>
      </c>
      <c r="B15" s="291" t="s">
        <v>673</v>
      </c>
      <c r="C15" s="296"/>
      <c r="D15" s="296"/>
      <c r="E15" s="296"/>
      <c r="F15" s="316"/>
    </row>
    <row r="16" spans="1:6" ht="15.75" customHeight="1">
      <c r="A16" s="294">
        <v>1</v>
      </c>
      <c r="B16" s="295" t="s">
        <v>698</v>
      </c>
      <c r="C16" s="296">
        <v>1581</v>
      </c>
      <c r="D16" s="296">
        <v>1387</v>
      </c>
      <c r="E16" s="296">
        <f>+D16-C16</f>
        <v>-194</v>
      </c>
      <c r="F16" s="316">
        <f>IF(C16=0,0,+E16/C16)</f>
        <v>-0.12270714737507907</v>
      </c>
    </row>
    <row r="17" spans="1:6" ht="15.75" customHeight="1">
      <c r="A17" s="294"/>
      <c r="B17" s="135" t="s">
        <v>700</v>
      </c>
      <c r="C17" s="300">
        <f>SUM(C15:C16)</f>
        <v>1581</v>
      </c>
      <c r="D17" s="300">
        <f>SUM(D15:D16)</f>
        <v>1387</v>
      </c>
      <c r="E17" s="300">
        <f>+D17-C17</f>
        <v>-194</v>
      </c>
      <c r="F17" s="309">
        <f>IF(C17=0,0,+E17/C17)</f>
        <v>-0.12270714737507907</v>
      </c>
    </row>
    <row r="18" spans="1:6" ht="15.75" customHeight="1">
      <c r="A18" s="293"/>
      <c r="B18" s="135"/>
      <c r="C18" s="300"/>
      <c r="D18" s="300"/>
      <c r="E18" s="300"/>
      <c r="F18" s="309"/>
    </row>
    <row r="19" spans="1:6" ht="15.75" customHeight="1">
      <c r="A19" s="293" t="s">
        <v>256</v>
      </c>
      <c r="B19" s="291" t="s">
        <v>701</v>
      </c>
      <c r="C19" s="296"/>
      <c r="D19" s="296"/>
      <c r="E19" s="296"/>
      <c r="F19" s="316"/>
    </row>
    <row r="20" spans="1:6" ht="15.75" customHeight="1">
      <c r="A20" s="294">
        <v>1</v>
      </c>
      <c r="B20" s="295" t="s">
        <v>698</v>
      </c>
      <c r="C20" s="296">
        <v>47919</v>
      </c>
      <c r="D20" s="296">
        <v>50431</v>
      </c>
      <c r="E20" s="296">
        <f>+D20-C20</f>
        <v>2512</v>
      </c>
      <c r="F20" s="316">
        <f>IF(C20=0,0,+E20/C20)</f>
        <v>0.05242179511258582</v>
      </c>
    </row>
    <row r="21" spans="1:6" ht="15.75" customHeight="1">
      <c r="A21" s="294"/>
      <c r="B21" s="135" t="s">
        <v>702</v>
      </c>
      <c r="C21" s="300">
        <f>SUM(C19:C20)</f>
        <v>47919</v>
      </c>
      <c r="D21" s="300">
        <f>SUM(D19:D20)</f>
        <v>50431</v>
      </c>
      <c r="E21" s="300">
        <f>+D21-C21</f>
        <v>2512</v>
      </c>
      <c r="F21" s="309">
        <f>IF(C21=0,0,+E21/C21)</f>
        <v>0.05242179511258582</v>
      </c>
    </row>
    <row r="22" spans="1:6" ht="15.75" customHeight="1">
      <c r="A22" s="293"/>
      <c r="B22" s="135"/>
      <c r="C22" s="300"/>
      <c r="D22" s="300"/>
      <c r="E22" s="300"/>
      <c r="F22" s="309"/>
    </row>
    <row r="23" spans="2:6" ht="15.75" customHeight="1">
      <c r="B23" s="699" t="s">
        <v>703</v>
      </c>
      <c r="C23" s="700"/>
      <c r="D23" s="700"/>
      <c r="E23" s="700"/>
      <c r="F23" s="701"/>
    </row>
    <row r="24" spans="1:6" ht="15.75" customHeight="1">
      <c r="A24" s="293"/>
      <c r="B24" s="135"/>
      <c r="C24" s="300"/>
      <c r="D24" s="300"/>
      <c r="E24" s="300"/>
      <c r="F24" s="309"/>
    </row>
    <row r="25" spans="2:6" ht="15.75" customHeight="1">
      <c r="B25" s="699" t="s">
        <v>704</v>
      </c>
      <c r="C25" s="700"/>
      <c r="D25" s="700"/>
      <c r="E25" s="700"/>
      <c r="F25" s="701"/>
    </row>
    <row r="26" spans="1:6" ht="15.75" customHeight="1">
      <c r="A26" s="293"/>
      <c r="B26" s="135"/>
      <c r="C26" s="300"/>
      <c r="D26" s="300"/>
      <c r="E26" s="300"/>
      <c r="F26" s="309"/>
    </row>
    <row r="27" spans="2:6" ht="15.75" customHeight="1">
      <c r="B27" s="699" t="s">
        <v>705</v>
      </c>
      <c r="C27" s="700"/>
      <c r="D27" s="700"/>
      <c r="E27" s="700"/>
      <c r="F27" s="701"/>
    </row>
    <row r="28" spans="1:6" ht="15.75" customHeight="1">
      <c r="A28" s="293"/>
      <c r="B28" s="135"/>
      <c r="C28" s="300"/>
      <c r="D28" s="300"/>
      <c r="E28" s="300"/>
      <c r="F28" s="309"/>
    </row>
  </sheetData>
  <sheetProtection/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FILING&amp;RSAINT VINCENT`S MEDICAL CENTER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1">
      <selection activeCell="A1" sqref="A1:F1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115</v>
      </c>
      <c r="B1" s="705"/>
      <c r="C1" s="705"/>
      <c r="D1" s="705"/>
      <c r="E1" s="705"/>
      <c r="F1" s="705"/>
    </row>
    <row r="2" spans="1:6" ht="15.75" customHeight="1">
      <c r="A2" s="706" t="s">
        <v>706</v>
      </c>
      <c r="B2" s="707"/>
      <c r="C2" s="707"/>
      <c r="D2" s="707"/>
      <c r="E2" s="707"/>
      <c r="F2" s="708"/>
    </row>
    <row r="3" spans="1:6" ht="15.75" customHeight="1">
      <c r="A3" s="706" t="s">
        <v>707</v>
      </c>
      <c r="B3" s="707"/>
      <c r="C3" s="707"/>
      <c r="D3" s="707"/>
      <c r="E3" s="707"/>
      <c r="F3" s="708"/>
    </row>
    <row r="4" spans="1:6" ht="15.75" customHeight="1">
      <c r="A4" s="702" t="s">
        <v>708</v>
      </c>
      <c r="B4" s="703"/>
      <c r="C4" s="703"/>
      <c r="D4" s="703"/>
      <c r="E4" s="703"/>
      <c r="F4" s="704"/>
    </row>
    <row r="5" spans="1:6" ht="15.75" customHeight="1">
      <c r="A5" s="702" t="s">
        <v>709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710</v>
      </c>
      <c r="D7" s="341" t="s">
        <v>710</v>
      </c>
      <c r="E7" s="341" t="s">
        <v>711</v>
      </c>
      <c r="F7" s="341" t="s">
        <v>122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123</v>
      </c>
      <c r="B8" s="343" t="s">
        <v>124</v>
      </c>
      <c r="C8" s="344" t="s">
        <v>712</v>
      </c>
      <c r="D8" s="344" t="s">
        <v>713</v>
      </c>
      <c r="E8" s="344" t="s">
        <v>126</v>
      </c>
      <c r="F8" s="344" t="s">
        <v>126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127</v>
      </c>
      <c r="B10" s="349" t="s">
        <v>714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129</v>
      </c>
      <c r="B12" s="356" t="s">
        <v>715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716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717</v>
      </c>
      <c r="C15" s="361">
        <v>292126995</v>
      </c>
      <c r="D15" s="361">
        <v>333759984</v>
      </c>
      <c r="E15" s="361">
        <f aca="true" t="shared" si="0" ref="E15:E24">D15-C15</f>
        <v>41632989</v>
      </c>
      <c r="F15" s="362">
        <f aca="true" t="shared" si="1" ref="F15:F24">IF(C15=0,0,E15/C15)</f>
        <v>0.14251674686894308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718</v>
      </c>
      <c r="C16" s="361">
        <v>119066796</v>
      </c>
      <c r="D16" s="361">
        <v>120803786</v>
      </c>
      <c r="E16" s="361">
        <f t="shared" si="0"/>
        <v>1736990</v>
      </c>
      <c r="F16" s="362">
        <f t="shared" si="1"/>
        <v>0.014588366012637142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719</v>
      </c>
      <c r="C17" s="366">
        <f>IF(C15=0,0,C16/C15)</f>
        <v>0.4075857351012699</v>
      </c>
      <c r="D17" s="366">
        <f>IF(LN_IA1=0,0,LN_IA2/LN_IA1)</f>
        <v>0.3619480818287671</v>
      </c>
      <c r="E17" s="367">
        <f t="shared" si="0"/>
        <v>-0.0456376532725028</v>
      </c>
      <c r="F17" s="362">
        <f t="shared" si="1"/>
        <v>-0.1119706833242423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252</v>
      </c>
      <c r="C18" s="369">
        <v>9522</v>
      </c>
      <c r="D18" s="369">
        <v>9746</v>
      </c>
      <c r="E18" s="369">
        <f t="shared" si="0"/>
        <v>224</v>
      </c>
      <c r="F18" s="362">
        <f t="shared" si="1"/>
        <v>0.023524469649233354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720</v>
      </c>
      <c r="C19" s="372">
        <v>1.5366</v>
      </c>
      <c r="D19" s="372">
        <v>1.5299</v>
      </c>
      <c r="E19" s="373">
        <f t="shared" si="0"/>
        <v>-0.006699999999999928</v>
      </c>
      <c r="F19" s="362">
        <f t="shared" si="1"/>
        <v>-0.0043602759338799485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721</v>
      </c>
      <c r="C20" s="376">
        <f>C18*C19</f>
        <v>14631.5052</v>
      </c>
      <c r="D20" s="376">
        <f>LN_IA4*LN_IA5</f>
        <v>14910.4054</v>
      </c>
      <c r="E20" s="376">
        <f t="shared" si="0"/>
        <v>278.90020000000004</v>
      </c>
      <c r="F20" s="362">
        <f t="shared" si="1"/>
        <v>0.01906162053648452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722</v>
      </c>
      <c r="C21" s="378">
        <f>IF(C20=0,0,C16/C20)</f>
        <v>8137.699735772913</v>
      </c>
      <c r="D21" s="378">
        <f>IF(LN_IA6=0,0,LN_IA2/LN_IA6)</f>
        <v>8101.978635671436</v>
      </c>
      <c r="E21" s="378">
        <f t="shared" si="0"/>
        <v>-35.72110010147753</v>
      </c>
      <c r="F21" s="362">
        <f t="shared" si="1"/>
        <v>-0.004389581977871387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254</v>
      </c>
      <c r="C22" s="369">
        <v>60217</v>
      </c>
      <c r="D22" s="369">
        <v>64038</v>
      </c>
      <c r="E22" s="369">
        <f t="shared" si="0"/>
        <v>3821</v>
      </c>
      <c r="F22" s="362">
        <f t="shared" si="1"/>
        <v>0.06345384193832307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723</v>
      </c>
      <c r="C23" s="378">
        <f>IF(C22=0,0,C16/C22)</f>
        <v>1977.2953817028415</v>
      </c>
      <c r="D23" s="378">
        <f>IF(LN_IA8=0,0,LN_IA2/LN_IA8)</f>
        <v>1886.4390830444424</v>
      </c>
      <c r="E23" s="378">
        <f t="shared" si="0"/>
        <v>-90.85629865839906</v>
      </c>
      <c r="F23" s="362">
        <f t="shared" si="1"/>
        <v>-0.04594978549950077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724</v>
      </c>
      <c r="C24" s="379">
        <f>IF(C18=0,0,C22/C18)</f>
        <v>6.323986557445915</v>
      </c>
      <c r="D24" s="379">
        <f>IF(LN_IA4=0,0,LN_IA8/LN_IA4)</f>
        <v>6.570695670018469</v>
      </c>
      <c r="E24" s="379">
        <f t="shared" si="0"/>
        <v>0.246709112572554</v>
      </c>
      <c r="F24" s="362">
        <f t="shared" si="1"/>
        <v>0.03901164405260739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725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726</v>
      </c>
      <c r="C27" s="361">
        <v>67154640</v>
      </c>
      <c r="D27" s="361">
        <v>80723437</v>
      </c>
      <c r="E27" s="361">
        <f aca="true" t="shared" si="2" ref="E27:E32">D27-C27</f>
        <v>13568797</v>
      </c>
      <c r="F27" s="362">
        <f aca="true" t="shared" si="3" ref="F27:F32">IF(C27=0,0,E27/C27)</f>
        <v>0.20205300780407728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727</v>
      </c>
      <c r="C28" s="361">
        <v>19509328</v>
      </c>
      <c r="D28" s="361">
        <v>24868355</v>
      </c>
      <c r="E28" s="361">
        <f t="shared" si="2"/>
        <v>5359027</v>
      </c>
      <c r="F28" s="362">
        <f t="shared" si="3"/>
        <v>0.2746904967715956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728</v>
      </c>
      <c r="C29" s="366">
        <f>IF(C27=0,0,C28/C27)</f>
        <v>0.290513477549727</v>
      </c>
      <c r="D29" s="366">
        <f>IF(LN_IA11=0,0,LN_IA12/LN_IA11)</f>
        <v>0.30806858483986505</v>
      </c>
      <c r="E29" s="367">
        <f t="shared" si="2"/>
        <v>0.01755510729013804</v>
      </c>
      <c r="F29" s="362">
        <f t="shared" si="3"/>
        <v>0.060427858418834086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729</v>
      </c>
      <c r="C30" s="366">
        <f>IF(C15=0,0,C27/C15)</f>
        <v>0.2298816649929939</v>
      </c>
      <c r="D30" s="366">
        <f>IF(LN_IA1=0,0,LN_IA11/LN_IA1)</f>
        <v>0.24186074086101347</v>
      </c>
      <c r="E30" s="367">
        <f t="shared" si="2"/>
        <v>0.011979075868019579</v>
      </c>
      <c r="F30" s="362">
        <f t="shared" si="3"/>
        <v>0.05210974902406708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730</v>
      </c>
      <c r="C31" s="376">
        <f>C30*C18</f>
        <v>2188.933214063288</v>
      </c>
      <c r="D31" s="376">
        <f>LN_IA14*LN_IA4</f>
        <v>2357.1747804314373</v>
      </c>
      <c r="E31" s="376">
        <f t="shared" si="2"/>
        <v>168.2415663681495</v>
      </c>
      <c r="F31" s="362">
        <f t="shared" si="3"/>
        <v>0.07686007288264629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731</v>
      </c>
      <c r="C32" s="378">
        <f>IF(C31=0,0,C28/C31)</f>
        <v>8912.71048136964</v>
      </c>
      <c r="D32" s="378">
        <f>IF(LN_IA15=0,0,LN_IA12/LN_IA15)</f>
        <v>10550.068330295095</v>
      </c>
      <c r="E32" s="378">
        <f t="shared" si="2"/>
        <v>1637.3578489254542</v>
      </c>
      <c r="F32" s="362">
        <f t="shared" si="3"/>
        <v>0.18371042707468682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732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733</v>
      </c>
      <c r="C35" s="361">
        <f>C15+C27</f>
        <v>359281635</v>
      </c>
      <c r="D35" s="361">
        <f>LN_IA1+LN_IA11</f>
        <v>414483421</v>
      </c>
      <c r="E35" s="361">
        <f>D35-C35</f>
        <v>55201786</v>
      </c>
      <c r="F35" s="362">
        <f>IF(C35=0,0,E35/C35)</f>
        <v>0.15364488641341215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734</v>
      </c>
      <c r="C36" s="361">
        <f>C16+C28</f>
        <v>138576124</v>
      </c>
      <c r="D36" s="361">
        <f>LN_IA2+LN_IA12</f>
        <v>145672141</v>
      </c>
      <c r="E36" s="361">
        <f>D36-C36</f>
        <v>7096017</v>
      </c>
      <c r="F36" s="362">
        <f>IF(C36=0,0,E36/C36)</f>
        <v>0.0512066349900218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735</v>
      </c>
      <c r="C37" s="361">
        <f>C35-C36</f>
        <v>220705511</v>
      </c>
      <c r="D37" s="361">
        <f>LN_IA17-LN_IA18</f>
        <v>268811280</v>
      </c>
      <c r="E37" s="361">
        <f>D37-C37</f>
        <v>48105769</v>
      </c>
      <c r="F37" s="362">
        <f>IF(C37=0,0,E37/C37)</f>
        <v>0.21796360581136554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141</v>
      </c>
      <c r="B39" s="356" t="s">
        <v>736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737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717</v>
      </c>
      <c r="C42" s="361">
        <v>161895222</v>
      </c>
      <c r="D42" s="361">
        <v>192685203</v>
      </c>
      <c r="E42" s="361">
        <f aca="true" t="shared" si="4" ref="E42:E53">D42-C42</f>
        <v>30789981</v>
      </c>
      <c r="F42" s="362">
        <f aca="true" t="shared" si="5" ref="F42:F53">IF(C42=0,0,E42/C42)</f>
        <v>0.19018461829590005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718</v>
      </c>
      <c r="C43" s="361">
        <v>81504099</v>
      </c>
      <c r="D43" s="361">
        <v>91369062</v>
      </c>
      <c r="E43" s="361">
        <f t="shared" si="4"/>
        <v>9864963</v>
      </c>
      <c r="F43" s="362">
        <f t="shared" si="5"/>
        <v>0.12103640333475743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719</v>
      </c>
      <c r="C44" s="366">
        <f>IF(C42=0,0,C43/C42)</f>
        <v>0.5034373343025528</v>
      </c>
      <c r="D44" s="366">
        <f>IF(LN_IB1=0,0,LN_IB2/LN_IB1)</f>
        <v>0.474188264471974</v>
      </c>
      <c r="E44" s="367">
        <f t="shared" si="4"/>
        <v>-0.02924906983057879</v>
      </c>
      <c r="F44" s="362">
        <f t="shared" si="5"/>
        <v>-0.05809873014503302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252</v>
      </c>
      <c r="C45" s="369">
        <v>7538</v>
      </c>
      <c r="D45" s="369">
        <v>8200</v>
      </c>
      <c r="E45" s="369">
        <f t="shared" si="4"/>
        <v>662</v>
      </c>
      <c r="F45" s="362">
        <f t="shared" si="5"/>
        <v>0.08782170336959405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720</v>
      </c>
      <c r="C46" s="372">
        <v>1.292</v>
      </c>
      <c r="D46" s="372">
        <v>1.1909</v>
      </c>
      <c r="E46" s="373">
        <f t="shared" si="4"/>
        <v>-0.10109999999999997</v>
      </c>
      <c r="F46" s="362">
        <f t="shared" si="5"/>
        <v>-0.07825077399380802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721</v>
      </c>
      <c r="C47" s="376">
        <f>C45*C46</f>
        <v>9739.096</v>
      </c>
      <c r="D47" s="376">
        <f>LN_IB4*LN_IB5</f>
        <v>9765.380000000001</v>
      </c>
      <c r="E47" s="376">
        <f t="shared" si="4"/>
        <v>26.28400000000147</v>
      </c>
      <c r="F47" s="362">
        <f t="shared" si="5"/>
        <v>0.002698813113660803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722</v>
      </c>
      <c r="C48" s="378">
        <f>IF(C47=0,0,C43/C47)</f>
        <v>8368.754040416072</v>
      </c>
      <c r="D48" s="378">
        <f>IF(LN_IB6=0,0,LN_IB2/LN_IB6)</f>
        <v>9356.426682832618</v>
      </c>
      <c r="E48" s="378">
        <f t="shared" si="4"/>
        <v>987.6726424165463</v>
      </c>
      <c r="F48" s="362">
        <f t="shared" si="5"/>
        <v>0.11801907878361327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738</v>
      </c>
      <c r="C49" s="378">
        <f>C21-C48</f>
        <v>-231.0543046431585</v>
      </c>
      <c r="D49" s="378">
        <f>LN_IA7-LN_IB7</f>
        <v>-1254.4480471611823</v>
      </c>
      <c r="E49" s="378">
        <f t="shared" si="4"/>
        <v>-1023.3937425180238</v>
      </c>
      <c r="F49" s="362">
        <f t="shared" si="5"/>
        <v>4.4292346948417975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739</v>
      </c>
      <c r="C50" s="391">
        <f>C49*C47</f>
        <v>-2250260.0541329663</v>
      </c>
      <c r="D50" s="391">
        <f>LN_IB8*LN_IB6</f>
        <v>-12250161.870786868</v>
      </c>
      <c r="E50" s="391">
        <f t="shared" si="4"/>
        <v>-9999901.816653902</v>
      </c>
      <c r="F50" s="362">
        <f t="shared" si="5"/>
        <v>4.443887184633379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254</v>
      </c>
      <c r="C51" s="369">
        <v>28703</v>
      </c>
      <c r="D51" s="369">
        <v>36714</v>
      </c>
      <c r="E51" s="369">
        <f t="shared" si="4"/>
        <v>8011</v>
      </c>
      <c r="F51" s="362">
        <f t="shared" si="5"/>
        <v>0.2790997456711842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723</v>
      </c>
      <c r="C52" s="378">
        <f>IF(C51=0,0,C43/C51)</f>
        <v>2839.567257777933</v>
      </c>
      <c r="D52" s="378">
        <f>IF(LN_IB10=0,0,LN_IB2/LN_IB10)</f>
        <v>2488.6708612518387</v>
      </c>
      <c r="E52" s="378">
        <f t="shared" si="4"/>
        <v>-350.8963965260941</v>
      </c>
      <c r="F52" s="362">
        <f t="shared" si="5"/>
        <v>-0.12357389865126267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724</v>
      </c>
      <c r="C53" s="379">
        <f>IF(C45=0,0,C51/C45)</f>
        <v>3.8077739453435924</v>
      </c>
      <c r="D53" s="379">
        <f>IF(LN_IB4=0,0,LN_IB10/LN_IB4)</f>
        <v>4.477317073170732</v>
      </c>
      <c r="E53" s="379">
        <f t="shared" si="4"/>
        <v>0.6695431278271395</v>
      </c>
      <c r="F53" s="362">
        <f t="shared" si="5"/>
        <v>0.17583583937431552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740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726</v>
      </c>
      <c r="C56" s="361">
        <v>106804593</v>
      </c>
      <c r="D56" s="361">
        <v>123472848</v>
      </c>
      <c r="E56" s="361">
        <f aca="true" t="shared" si="6" ref="E56:E63">D56-C56</f>
        <v>16668255</v>
      </c>
      <c r="F56" s="362">
        <f aca="true" t="shared" si="7" ref="F56:F63">IF(C56=0,0,E56/C56)</f>
        <v>0.156063091781081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727</v>
      </c>
      <c r="C57" s="361">
        <v>47439640</v>
      </c>
      <c r="D57" s="361">
        <v>50855109</v>
      </c>
      <c r="E57" s="361">
        <f t="shared" si="6"/>
        <v>3415469</v>
      </c>
      <c r="F57" s="362">
        <f t="shared" si="7"/>
        <v>0.07199609862132175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728</v>
      </c>
      <c r="C58" s="366">
        <f>IF(C56=0,0,C57/C56)</f>
        <v>0.4441722838642342</v>
      </c>
      <c r="D58" s="366">
        <f>IF(LN_IB13=0,0,LN_IB14/LN_IB13)</f>
        <v>0.4118728110977079</v>
      </c>
      <c r="E58" s="367">
        <f t="shared" si="6"/>
        <v>-0.03229947276652628</v>
      </c>
      <c r="F58" s="362">
        <f t="shared" si="7"/>
        <v>-0.07271834362451789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729</v>
      </c>
      <c r="C59" s="366">
        <f>IF(C42=0,0,C56/C42)</f>
        <v>0.6597142996598133</v>
      </c>
      <c r="D59" s="366">
        <f>IF(LN_IB1=0,0,LN_IB13/LN_IB1)</f>
        <v>0.6408008818404183</v>
      </c>
      <c r="E59" s="367">
        <f t="shared" si="6"/>
        <v>-0.01891341781939504</v>
      </c>
      <c r="F59" s="362">
        <f t="shared" si="7"/>
        <v>-0.028669103927484802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730</v>
      </c>
      <c r="C60" s="376">
        <f>C59*C45</f>
        <v>4972.9263908356725</v>
      </c>
      <c r="D60" s="376">
        <f>LN_IB16*LN_IB4</f>
        <v>5254.56723109143</v>
      </c>
      <c r="E60" s="376">
        <f t="shared" si="6"/>
        <v>281.6408402557572</v>
      </c>
      <c r="F60" s="362">
        <f t="shared" si="7"/>
        <v>0.05663482990111765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731</v>
      </c>
      <c r="C61" s="378">
        <f>IF(C60=0,0,C57/C60)</f>
        <v>9539.582183927729</v>
      </c>
      <c r="D61" s="378">
        <f>IF(LN_IB17=0,0,LN_IB14/LN_IB17)</f>
        <v>9678.26783128567</v>
      </c>
      <c r="E61" s="378">
        <f t="shared" si="6"/>
        <v>138.68564735794098</v>
      </c>
      <c r="F61" s="362">
        <f t="shared" si="7"/>
        <v>0.014537916303252602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741</v>
      </c>
      <c r="C62" s="378">
        <f>C32-C61</f>
        <v>-626.8717025580881</v>
      </c>
      <c r="D62" s="378">
        <f>LN_IA16-LN_IB18</f>
        <v>871.800499009425</v>
      </c>
      <c r="E62" s="378">
        <f t="shared" si="6"/>
        <v>1498.6722015675132</v>
      </c>
      <c r="F62" s="362">
        <f t="shared" si="7"/>
        <v>-2.3907159877401565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742</v>
      </c>
      <c r="C63" s="361">
        <f>C62*C60</f>
        <v>-3117386.8333192063</v>
      </c>
      <c r="D63" s="361">
        <f>LN_IB19*LN_IB17</f>
        <v>4580934.334144081</v>
      </c>
      <c r="E63" s="361">
        <f t="shared" si="6"/>
        <v>7698321.167463288</v>
      </c>
      <c r="F63" s="362">
        <f t="shared" si="7"/>
        <v>-2.469478951146585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743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733</v>
      </c>
      <c r="C66" s="361">
        <f>C42+C56</f>
        <v>268699815</v>
      </c>
      <c r="D66" s="361">
        <f>LN_IB1+LN_IB13</f>
        <v>316158051</v>
      </c>
      <c r="E66" s="361">
        <f>D66-C66</f>
        <v>47458236</v>
      </c>
      <c r="F66" s="362">
        <f>IF(C66=0,0,E66/C66)</f>
        <v>0.17662176656132048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734</v>
      </c>
      <c r="C67" s="361">
        <f>C43+C57</f>
        <v>128943739</v>
      </c>
      <c r="D67" s="361">
        <f>LN_IB2+LN_IB14</f>
        <v>142224171</v>
      </c>
      <c r="E67" s="361">
        <f>D67-C67</f>
        <v>13280432</v>
      </c>
      <c r="F67" s="362">
        <f>IF(C67=0,0,E67/C67)</f>
        <v>0.10299400423001538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735</v>
      </c>
      <c r="C68" s="361">
        <f>C66-C67</f>
        <v>139756076</v>
      </c>
      <c r="D68" s="361">
        <f>LN_IB21-LN_IB22</f>
        <v>173933880</v>
      </c>
      <c r="E68" s="361">
        <f>D68-C68</f>
        <v>34177804</v>
      </c>
      <c r="F68" s="362">
        <f>IF(C68=0,0,E68/C68)</f>
        <v>0.24455326006720451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744</v>
      </c>
      <c r="C70" s="353">
        <f>C50+C63</f>
        <v>-5367646.887452172</v>
      </c>
      <c r="D70" s="353">
        <f>LN_IB9+LN_IB20</f>
        <v>-7669227.536642787</v>
      </c>
      <c r="E70" s="361">
        <f>D70-C70</f>
        <v>-2301580.649190615</v>
      </c>
      <c r="F70" s="362">
        <f>IF(C70=0,0,E70/C70)</f>
        <v>0.4287876414841983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745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746</v>
      </c>
      <c r="C73" s="400">
        <v>258381243</v>
      </c>
      <c r="D73" s="400">
        <v>305724906</v>
      </c>
      <c r="E73" s="400">
        <f>D73-C73</f>
        <v>47343663</v>
      </c>
      <c r="F73" s="401">
        <f>IF(C73=0,0,E73/C73)</f>
        <v>0.1832318106775266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747</v>
      </c>
      <c r="C74" s="400">
        <v>159336951</v>
      </c>
      <c r="D74" s="400">
        <v>174790464</v>
      </c>
      <c r="E74" s="400">
        <f>D74-C74</f>
        <v>15453513</v>
      </c>
      <c r="F74" s="401">
        <f>IF(C74=0,0,E74/C74)</f>
        <v>0.0969863732361742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748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749</v>
      </c>
      <c r="C76" s="353">
        <f>C73-C74</f>
        <v>99044292</v>
      </c>
      <c r="D76" s="353">
        <f>LN_IB32-LN_IB33</f>
        <v>130934442</v>
      </c>
      <c r="E76" s="400">
        <f>D76-C76</f>
        <v>31890150</v>
      </c>
      <c r="F76" s="401">
        <f>IF(C76=0,0,E76/C76)</f>
        <v>0.32197867596448665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750</v>
      </c>
      <c r="C77" s="366">
        <f>IF(C73=0,0,C76/C73)</f>
        <v>0.3833261689200868</v>
      </c>
      <c r="D77" s="366">
        <f>IF(LN_IB1=0,0,LN_IB34/LN_IB32)</f>
        <v>0.42827535287556845</v>
      </c>
      <c r="E77" s="405">
        <f>D77-C77</f>
        <v>0.04494918395548164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151</v>
      </c>
      <c r="B79" s="356" t="s">
        <v>751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752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717</v>
      </c>
      <c r="C83" s="361">
        <v>16126417</v>
      </c>
      <c r="D83" s="361">
        <v>20406154</v>
      </c>
      <c r="E83" s="361">
        <f aca="true" t="shared" si="8" ref="E83:E95">D83-C83</f>
        <v>4279737</v>
      </c>
      <c r="F83" s="362">
        <f aca="true" t="shared" si="9" ref="F83:F95">IF(C83=0,0,E83/C83)</f>
        <v>0.2653867253959761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718</v>
      </c>
      <c r="C84" s="361">
        <v>2092200</v>
      </c>
      <c r="D84" s="361">
        <v>1590034</v>
      </c>
      <c r="E84" s="361">
        <f t="shared" si="8"/>
        <v>-502166</v>
      </c>
      <c r="F84" s="362">
        <f t="shared" si="9"/>
        <v>-0.2400181626995507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719</v>
      </c>
      <c r="C85" s="366">
        <f>IF(C83=0,0,C84/C83)</f>
        <v>0.12973743640636354</v>
      </c>
      <c r="D85" s="366">
        <f>IF(LN_IC1=0,0,LN_IC2/LN_IC1)</f>
        <v>0.07791933747045132</v>
      </c>
      <c r="E85" s="367">
        <f t="shared" si="8"/>
        <v>-0.051818098935912216</v>
      </c>
      <c r="F85" s="362">
        <f t="shared" si="9"/>
        <v>-0.3994074522453765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252</v>
      </c>
      <c r="C86" s="369">
        <v>950</v>
      </c>
      <c r="D86" s="369">
        <v>955</v>
      </c>
      <c r="E86" s="369">
        <f t="shared" si="8"/>
        <v>5</v>
      </c>
      <c r="F86" s="362">
        <f t="shared" si="9"/>
        <v>0.005263157894736842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720</v>
      </c>
      <c r="C87" s="372">
        <v>1.0992</v>
      </c>
      <c r="D87" s="372">
        <v>1.0987</v>
      </c>
      <c r="E87" s="373">
        <f t="shared" si="8"/>
        <v>-0.0004999999999999449</v>
      </c>
      <c r="F87" s="362">
        <f t="shared" si="9"/>
        <v>-0.00045487627365351613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721</v>
      </c>
      <c r="C88" s="376">
        <f>C86*C87</f>
        <v>1044.24</v>
      </c>
      <c r="D88" s="376">
        <f>LN_IC4*LN_IC5</f>
        <v>1049.2585</v>
      </c>
      <c r="E88" s="376">
        <f t="shared" si="8"/>
        <v>5.018499999999904</v>
      </c>
      <c r="F88" s="362">
        <f t="shared" si="9"/>
        <v>0.0048058875354323755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722</v>
      </c>
      <c r="C89" s="378">
        <f>IF(C88=0,0,C84/C88)</f>
        <v>2003.5623994484026</v>
      </c>
      <c r="D89" s="378">
        <f>IF(LN_IC6=0,0,LN_IC2/LN_IC6)</f>
        <v>1515.3882479865545</v>
      </c>
      <c r="E89" s="378">
        <f t="shared" si="8"/>
        <v>-488.17415146184817</v>
      </c>
      <c r="F89" s="362">
        <f t="shared" si="9"/>
        <v>-0.2436530809303701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753</v>
      </c>
      <c r="C90" s="378">
        <f>C48-C89</f>
        <v>6365.191640967669</v>
      </c>
      <c r="D90" s="378">
        <f>LN_IB7-LN_IC7</f>
        <v>7841.038434846064</v>
      </c>
      <c r="E90" s="378">
        <f t="shared" si="8"/>
        <v>1475.8467938783951</v>
      </c>
      <c r="F90" s="362">
        <f t="shared" si="9"/>
        <v>0.23186211462661152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754</v>
      </c>
      <c r="C91" s="378">
        <f>C21-C89</f>
        <v>6134.137336324511</v>
      </c>
      <c r="D91" s="378">
        <f>LN_IA7-LN_IC7</f>
        <v>6586.5903876848815</v>
      </c>
      <c r="E91" s="378">
        <f t="shared" si="8"/>
        <v>452.4530513603704</v>
      </c>
      <c r="F91" s="362">
        <f t="shared" si="9"/>
        <v>0.07375985025328335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739</v>
      </c>
      <c r="C92" s="353">
        <f>C91*C88</f>
        <v>6405511.572083508</v>
      </c>
      <c r="D92" s="353">
        <f>LN_IC9*LN_IC6</f>
        <v>6911035.950296657</v>
      </c>
      <c r="E92" s="353">
        <f t="shared" si="8"/>
        <v>505524.3782131495</v>
      </c>
      <c r="F92" s="362">
        <f t="shared" si="9"/>
        <v>0.0789202193336634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254</v>
      </c>
      <c r="C93" s="369">
        <v>3652</v>
      </c>
      <c r="D93" s="369">
        <v>4657</v>
      </c>
      <c r="E93" s="369">
        <f t="shared" si="8"/>
        <v>1005</v>
      </c>
      <c r="F93" s="362">
        <f t="shared" si="9"/>
        <v>0.27519167579408543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723</v>
      </c>
      <c r="C94" s="411">
        <f>IF(C93=0,0,C84/C93)</f>
        <v>572.8915662650602</v>
      </c>
      <c r="D94" s="411">
        <f>IF(LN_IC11=0,0,LN_IC2/LN_IC11)</f>
        <v>341.42881683487224</v>
      </c>
      <c r="E94" s="411">
        <f t="shared" si="8"/>
        <v>-231.46274943018796</v>
      </c>
      <c r="F94" s="362">
        <f t="shared" si="9"/>
        <v>-0.40402540910001267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724</v>
      </c>
      <c r="C95" s="379">
        <f>IF(C86=0,0,C93/C86)</f>
        <v>3.8442105263157895</v>
      </c>
      <c r="D95" s="379">
        <f>IF(LN_IC4=0,0,LN_IC11/LN_IC4)</f>
        <v>4.876439790575916</v>
      </c>
      <c r="E95" s="379">
        <f t="shared" si="8"/>
        <v>1.0322292642601267</v>
      </c>
      <c r="F95" s="362">
        <f t="shared" si="9"/>
        <v>0.26851527958573945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755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726</v>
      </c>
      <c r="C98" s="361">
        <v>18178406</v>
      </c>
      <c r="D98" s="361">
        <v>20686277</v>
      </c>
      <c r="E98" s="361">
        <f aca="true" t="shared" si="10" ref="E98:E106">D98-C98</f>
        <v>2507871</v>
      </c>
      <c r="F98" s="362">
        <f aca="true" t="shared" si="11" ref="F98:F106">IF(C98=0,0,E98/C98)</f>
        <v>0.13795879572719413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727</v>
      </c>
      <c r="C99" s="361">
        <v>1732472</v>
      </c>
      <c r="D99" s="361">
        <v>1462161</v>
      </c>
      <c r="E99" s="361">
        <f t="shared" si="10"/>
        <v>-270311</v>
      </c>
      <c r="F99" s="362">
        <f t="shared" si="11"/>
        <v>-0.1560261868590084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728</v>
      </c>
      <c r="C100" s="366">
        <f>IF(C98=0,0,C99/C98)</f>
        <v>0.0953038456727174</v>
      </c>
      <c r="D100" s="366">
        <f>IF(LN_IC14=0,0,LN_IC15/LN_IC14)</f>
        <v>0.07068265594625849</v>
      </c>
      <c r="E100" s="367">
        <f t="shared" si="10"/>
        <v>-0.02462118972645891</v>
      </c>
      <c r="F100" s="362">
        <f t="shared" si="11"/>
        <v>-0.2583441366155407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729</v>
      </c>
      <c r="C101" s="366">
        <f>IF(C83=0,0,C98/C83)</f>
        <v>1.1272439500975324</v>
      </c>
      <c r="D101" s="366">
        <f>IF(LN_IC1=0,0,LN_IC14/LN_IC1)</f>
        <v>1.0137273785153242</v>
      </c>
      <c r="E101" s="367">
        <f t="shared" si="10"/>
        <v>-0.11351657158220818</v>
      </c>
      <c r="F101" s="362">
        <f t="shared" si="11"/>
        <v>-0.10070275522204968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730</v>
      </c>
      <c r="C102" s="376">
        <f>C101*C86</f>
        <v>1070.8817525926559</v>
      </c>
      <c r="D102" s="376">
        <f>LN_IC17*LN_IC4</f>
        <v>968.1096464821346</v>
      </c>
      <c r="E102" s="376">
        <f t="shared" si="10"/>
        <v>-102.77210611052124</v>
      </c>
      <c r="F102" s="362">
        <f t="shared" si="11"/>
        <v>-0.09596961182848159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731</v>
      </c>
      <c r="C103" s="378">
        <f>IF(C102=0,0,C99/C102)</f>
        <v>1617.7995337072489</v>
      </c>
      <c r="D103" s="378">
        <f>IF(LN_IC18=0,0,LN_IC15/LN_IC18)</f>
        <v>1510.3258244694937</v>
      </c>
      <c r="E103" s="378">
        <f t="shared" si="10"/>
        <v>-107.4737092377552</v>
      </c>
      <c r="F103" s="362">
        <f t="shared" si="11"/>
        <v>-0.06643203128602412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756</v>
      </c>
      <c r="C104" s="378">
        <f>C61-C103</f>
        <v>7921.78265022048</v>
      </c>
      <c r="D104" s="378">
        <f>LN_IB18-LN_IC19</f>
        <v>8167.942006816176</v>
      </c>
      <c r="E104" s="378">
        <f t="shared" si="10"/>
        <v>246.1593565956964</v>
      </c>
      <c r="F104" s="362">
        <f t="shared" si="11"/>
        <v>0.03107373270192477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757</v>
      </c>
      <c r="C105" s="378">
        <f>C32-C103</f>
        <v>7294.910947662392</v>
      </c>
      <c r="D105" s="378">
        <f>LN_IA16-LN_IC19</f>
        <v>9039.742505825601</v>
      </c>
      <c r="E105" s="378">
        <f t="shared" si="10"/>
        <v>1744.8315581632096</v>
      </c>
      <c r="F105" s="362">
        <f t="shared" si="11"/>
        <v>0.2391847646505308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742</v>
      </c>
      <c r="C106" s="361">
        <f>C105*C102</f>
        <v>7811987.020640054</v>
      </c>
      <c r="D106" s="361">
        <f>LN_IC21*LN_IC18</f>
        <v>8751461.921604348</v>
      </c>
      <c r="E106" s="361">
        <f t="shared" si="10"/>
        <v>939474.9009642946</v>
      </c>
      <c r="F106" s="362">
        <f t="shared" si="11"/>
        <v>0.12026068380325103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758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733</v>
      </c>
      <c r="C109" s="361">
        <f>C83+C98</f>
        <v>34304823</v>
      </c>
      <c r="D109" s="361">
        <f>LN_IC1+LN_IC14</f>
        <v>41092431</v>
      </c>
      <c r="E109" s="361">
        <f>D109-C109</f>
        <v>6787608</v>
      </c>
      <c r="F109" s="362">
        <f>IF(C109=0,0,E109/C109)</f>
        <v>0.19786162429696838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734</v>
      </c>
      <c r="C110" s="361">
        <f>C84+C99</f>
        <v>3824672</v>
      </c>
      <c r="D110" s="361">
        <f>LN_IC2+LN_IC15</f>
        <v>3052195</v>
      </c>
      <c r="E110" s="361">
        <f>D110-C110</f>
        <v>-772477</v>
      </c>
      <c r="F110" s="362">
        <f>IF(C110=0,0,E110/C110)</f>
        <v>-0.2019720906786255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735</v>
      </c>
      <c r="C111" s="361">
        <f>C109-C110</f>
        <v>30480151</v>
      </c>
      <c r="D111" s="361">
        <f>LN_IC23-LN_IC24</f>
        <v>38040236</v>
      </c>
      <c r="E111" s="361">
        <f>D111-C111</f>
        <v>7560085</v>
      </c>
      <c r="F111" s="362">
        <f>IF(C111=0,0,E111/C111)</f>
        <v>0.2480330560042173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744</v>
      </c>
      <c r="C113" s="361">
        <f>C92+C106</f>
        <v>14217498.592723561</v>
      </c>
      <c r="D113" s="361">
        <f>LN_IC10+LN_IC22</f>
        <v>15662497.871901006</v>
      </c>
      <c r="E113" s="361">
        <f>D113-C113</f>
        <v>1444999.279177444</v>
      </c>
      <c r="F113" s="362">
        <f>IF(C113=0,0,E113/C113)</f>
        <v>0.10163526795894932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436</v>
      </c>
      <c r="B115" s="356" t="s">
        <v>759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760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717</v>
      </c>
      <c r="C118" s="361">
        <v>49325466</v>
      </c>
      <c r="D118" s="361">
        <v>70140666</v>
      </c>
      <c r="E118" s="361">
        <f aca="true" t="shared" si="12" ref="E118:E130">D118-C118</f>
        <v>20815200</v>
      </c>
      <c r="F118" s="362">
        <f aca="true" t="shared" si="13" ref="F118:F130">IF(C118=0,0,E118/C118)</f>
        <v>0.4219970268501873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718</v>
      </c>
      <c r="C119" s="361">
        <v>12523236</v>
      </c>
      <c r="D119" s="361">
        <v>19983110</v>
      </c>
      <c r="E119" s="361">
        <f t="shared" si="12"/>
        <v>7459874</v>
      </c>
      <c r="F119" s="362">
        <f t="shared" si="13"/>
        <v>0.595682617495989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719</v>
      </c>
      <c r="C120" s="366">
        <f>IF(C118=0,0,C119/C118)</f>
        <v>0.25388986695026866</v>
      </c>
      <c r="D120" s="366">
        <f>IF(LN_ID1=0,0,LN_1D2/LN_ID1)</f>
        <v>0.28490048839855614</v>
      </c>
      <c r="E120" s="367">
        <f t="shared" si="12"/>
        <v>0.03101062144828748</v>
      </c>
      <c r="F120" s="362">
        <f t="shared" si="13"/>
        <v>0.12214202095100457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252</v>
      </c>
      <c r="C121" s="369">
        <v>2656</v>
      </c>
      <c r="D121" s="369">
        <v>3120</v>
      </c>
      <c r="E121" s="369">
        <f t="shared" si="12"/>
        <v>464</v>
      </c>
      <c r="F121" s="362">
        <f t="shared" si="13"/>
        <v>0.1746987951807229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720</v>
      </c>
      <c r="C122" s="372">
        <v>0.9639</v>
      </c>
      <c r="D122" s="372">
        <v>0.9125</v>
      </c>
      <c r="E122" s="373">
        <f t="shared" si="12"/>
        <v>-0.0514</v>
      </c>
      <c r="F122" s="362">
        <f t="shared" si="13"/>
        <v>-0.053325033717190586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721</v>
      </c>
      <c r="C123" s="376">
        <f>C121*C122</f>
        <v>2560.1184</v>
      </c>
      <c r="D123" s="376">
        <f>LN_ID4*LN_ID5</f>
        <v>2847</v>
      </c>
      <c r="E123" s="376">
        <f t="shared" si="12"/>
        <v>286.88160000000016</v>
      </c>
      <c r="F123" s="362">
        <f t="shared" si="13"/>
        <v>0.11205794232016776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722</v>
      </c>
      <c r="C124" s="378">
        <f>IF(C123=0,0,C119/C123)</f>
        <v>4891.6628230944325</v>
      </c>
      <c r="D124" s="378">
        <f>IF(LN_ID6=0,0,LN_1D2/LN_ID6)</f>
        <v>7019.005971197752</v>
      </c>
      <c r="E124" s="378">
        <f t="shared" si="12"/>
        <v>2127.3431481033194</v>
      </c>
      <c r="F124" s="362">
        <f t="shared" si="13"/>
        <v>0.4348916155994531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761</v>
      </c>
      <c r="C125" s="378">
        <f>C48-C124</f>
        <v>3477.0912173216393</v>
      </c>
      <c r="D125" s="378">
        <f>LN_IB7-LN_ID7</f>
        <v>2337.420711634866</v>
      </c>
      <c r="E125" s="378">
        <f t="shared" si="12"/>
        <v>-1139.6705056867731</v>
      </c>
      <c r="F125" s="362">
        <f t="shared" si="13"/>
        <v>-0.3277654897315715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762</v>
      </c>
      <c r="C126" s="378">
        <f>C21-C124</f>
        <v>3246.036912678481</v>
      </c>
      <c r="D126" s="378">
        <f>LN_IA7-LN_ID7</f>
        <v>1082.9726644736838</v>
      </c>
      <c r="E126" s="378">
        <f t="shared" si="12"/>
        <v>-2163.064248204797</v>
      </c>
      <c r="F126" s="362">
        <f t="shared" si="13"/>
        <v>-0.6663708104354044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739</v>
      </c>
      <c r="C127" s="391">
        <f>C126*C123</f>
        <v>8310238.827227372</v>
      </c>
      <c r="D127" s="391">
        <f>LN_ID9*LN_ID6</f>
        <v>3083223.175756578</v>
      </c>
      <c r="E127" s="391">
        <f t="shared" si="12"/>
        <v>-5227015.651470793</v>
      </c>
      <c r="F127" s="362">
        <f t="shared" si="13"/>
        <v>-0.6289850099548505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254</v>
      </c>
      <c r="C128" s="369">
        <v>13243</v>
      </c>
      <c r="D128" s="369">
        <v>20920</v>
      </c>
      <c r="E128" s="369">
        <f t="shared" si="12"/>
        <v>7677</v>
      </c>
      <c r="F128" s="362">
        <f t="shared" si="13"/>
        <v>0.5797024843313449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723</v>
      </c>
      <c r="C129" s="378">
        <f>IF(C128=0,0,C119/C128)</f>
        <v>945.6494751944424</v>
      </c>
      <c r="D129" s="378">
        <f>IF(LN_ID11=0,0,LN_1D2/LN_ID11)</f>
        <v>955.2155831739962</v>
      </c>
      <c r="E129" s="378">
        <f t="shared" si="12"/>
        <v>9.566107979553749</v>
      </c>
      <c r="F129" s="362">
        <f t="shared" si="13"/>
        <v>0.010115913169186485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724</v>
      </c>
      <c r="C130" s="379">
        <f>IF(C121=0,0,C128/C121)</f>
        <v>4.986069277108434</v>
      </c>
      <c r="D130" s="379">
        <f>IF(LN_ID4=0,0,LN_ID11/LN_ID4)</f>
        <v>6.705128205128205</v>
      </c>
      <c r="E130" s="379">
        <f t="shared" si="12"/>
        <v>1.7190589280197717</v>
      </c>
      <c r="F130" s="362">
        <f t="shared" si="13"/>
        <v>0.34477237127693977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763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726</v>
      </c>
      <c r="C133" s="361">
        <v>23106075</v>
      </c>
      <c r="D133" s="361">
        <v>26223645</v>
      </c>
      <c r="E133" s="361">
        <f aca="true" t="shared" si="14" ref="E133:E141">D133-C133</f>
        <v>3117570</v>
      </c>
      <c r="F133" s="362">
        <f aca="true" t="shared" si="15" ref="F133:F141">IF(C133=0,0,E133/C133)</f>
        <v>0.1349242569324301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727</v>
      </c>
      <c r="C134" s="361">
        <v>6871918</v>
      </c>
      <c r="D134" s="361">
        <v>8456331</v>
      </c>
      <c r="E134" s="361">
        <f t="shared" si="14"/>
        <v>1584413</v>
      </c>
      <c r="F134" s="362">
        <f t="shared" si="15"/>
        <v>0.23056343221790482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728</v>
      </c>
      <c r="C135" s="366">
        <f>IF(C133=0,0,C134/C133)</f>
        <v>0.2974074134183326</v>
      </c>
      <c r="D135" s="366">
        <f>IF(LN_ID14=0,0,LN_ID15/LN_ID14)</f>
        <v>0.322469702438391</v>
      </c>
      <c r="E135" s="367">
        <f t="shared" si="14"/>
        <v>0.025062289020058415</v>
      </c>
      <c r="F135" s="362">
        <f t="shared" si="15"/>
        <v>0.08426921417996348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729</v>
      </c>
      <c r="C136" s="366">
        <f>IF(C118=0,0,C133/C118)</f>
        <v>0.46844108882823327</v>
      </c>
      <c r="D136" s="366">
        <f>IF(LN_ID1=0,0,LN_ID14/LN_ID1)</f>
        <v>0.3738721984761308</v>
      </c>
      <c r="E136" s="367">
        <f t="shared" si="14"/>
        <v>-0.09456889035210247</v>
      </c>
      <c r="F136" s="362">
        <f t="shared" si="15"/>
        <v>-0.20188000712887666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730</v>
      </c>
      <c r="C137" s="376">
        <f>C136*C121</f>
        <v>1244.1795319277876</v>
      </c>
      <c r="D137" s="376">
        <f>LN_ID17*LN_ID4</f>
        <v>1166.481259245528</v>
      </c>
      <c r="E137" s="376">
        <f t="shared" si="14"/>
        <v>-77.69827268225959</v>
      </c>
      <c r="F137" s="362">
        <f t="shared" si="15"/>
        <v>-0.06244940596464434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731</v>
      </c>
      <c r="C138" s="378">
        <f>IF(C137=0,0,C134/C137)</f>
        <v>5523.252732949514</v>
      </c>
      <c r="D138" s="378">
        <f>IF(LN_ID18=0,0,LN_ID15/LN_ID18)</f>
        <v>7249.435799311081</v>
      </c>
      <c r="E138" s="378">
        <f t="shared" si="14"/>
        <v>1726.1830663615665</v>
      </c>
      <c r="F138" s="362">
        <f t="shared" si="15"/>
        <v>0.31253016108856463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764</v>
      </c>
      <c r="C139" s="378">
        <f>C61-C138</f>
        <v>4016.3294509782145</v>
      </c>
      <c r="D139" s="378">
        <f>LN_IB18-LN_ID19</f>
        <v>2428.832031974589</v>
      </c>
      <c r="E139" s="378">
        <f t="shared" si="14"/>
        <v>-1587.4974190036255</v>
      </c>
      <c r="F139" s="362">
        <f t="shared" si="15"/>
        <v>-0.3952607569622994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765</v>
      </c>
      <c r="C140" s="378">
        <f>C32-C138</f>
        <v>3389.4577484201263</v>
      </c>
      <c r="D140" s="378">
        <f>LN_IA16-LN_ID19</f>
        <v>3300.632530984014</v>
      </c>
      <c r="E140" s="378">
        <f t="shared" si="14"/>
        <v>-88.82521743611233</v>
      </c>
      <c r="F140" s="362">
        <f t="shared" si="15"/>
        <v>-0.026206320901186922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742</v>
      </c>
      <c r="C141" s="353">
        <f>C140*C137</f>
        <v>4217093.954918366</v>
      </c>
      <c r="D141" s="353">
        <f>LN_ID21*LN_ID18</f>
        <v>3850125.991048987</v>
      </c>
      <c r="E141" s="353">
        <f t="shared" si="14"/>
        <v>-366967.9638693789</v>
      </c>
      <c r="F141" s="362">
        <f t="shared" si="15"/>
        <v>-0.08701915769303334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766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733</v>
      </c>
      <c r="C144" s="361">
        <f>C118+C133</f>
        <v>72431541</v>
      </c>
      <c r="D144" s="361">
        <f>LN_ID1+LN_ID14</f>
        <v>96364311</v>
      </c>
      <c r="E144" s="361">
        <f>D144-C144</f>
        <v>23932770</v>
      </c>
      <c r="F144" s="362">
        <f>IF(C144=0,0,E144/C144)</f>
        <v>0.3304191747073281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734</v>
      </c>
      <c r="C145" s="361">
        <f>C119+C134</f>
        <v>19395154</v>
      </c>
      <c r="D145" s="361">
        <f>LN_1D2+LN_ID15</f>
        <v>28439441</v>
      </c>
      <c r="E145" s="361">
        <f>D145-C145</f>
        <v>9044287</v>
      </c>
      <c r="F145" s="362">
        <f>IF(C145=0,0,E145/C145)</f>
        <v>0.4663168438879114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735</v>
      </c>
      <c r="C146" s="361">
        <f>C144-C145</f>
        <v>53036387</v>
      </c>
      <c r="D146" s="361">
        <f>LN_ID23-LN_ID24</f>
        <v>67924870</v>
      </c>
      <c r="E146" s="361">
        <f>D146-C146</f>
        <v>14888483</v>
      </c>
      <c r="F146" s="362">
        <f>IF(C146=0,0,E146/C146)</f>
        <v>0.28072204465964096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744</v>
      </c>
      <c r="C148" s="361">
        <f>C127+C141</f>
        <v>12527332.782145739</v>
      </c>
      <c r="D148" s="361">
        <f>LN_ID10+LN_ID22</f>
        <v>6933349.166805565</v>
      </c>
      <c r="E148" s="361">
        <f>D148-C148</f>
        <v>-5593983.615340173</v>
      </c>
      <c r="F148" s="415">
        <f>IF(C148=0,0,E148/C148)</f>
        <v>-0.4465422698208238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457</v>
      </c>
      <c r="B150" s="356" t="s">
        <v>767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768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717</v>
      </c>
      <c r="C153" s="361">
        <v>10904827</v>
      </c>
      <c r="D153" s="361">
        <v>16579438</v>
      </c>
      <c r="E153" s="361">
        <f aca="true" t="shared" si="16" ref="E153:E165">D153-C153</f>
        <v>5674611</v>
      </c>
      <c r="F153" s="362">
        <f aca="true" t="shared" si="17" ref="F153:F165">IF(C153=0,0,E153/C153)</f>
        <v>0.5203760683227712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718</v>
      </c>
      <c r="C154" s="361">
        <v>1010059</v>
      </c>
      <c r="D154" s="361">
        <v>1985149</v>
      </c>
      <c r="E154" s="361">
        <f t="shared" si="16"/>
        <v>975090</v>
      </c>
      <c r="F154" s="362">
        <f t="shared" si="17"/>
        <v>0.9653792501230126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719</v>
      </c>
      <c r="C155" s="366">
        <f>IF(C153=0,0,C154/C153)</f>
        <v>0.0926249448982547</v>
      </c>
      <c r="D155" s="366">
        <f>IF(LN_IE1=0,0,LN_IE2/LN_IE1)</f>
        <v>0.11973560261813458</v>
      </c>
      <c r="E155" s="367">
        <f t="shared" si="16"/>
        <v>0.027110657719879888</v>
      </c>
      <c r="F155" s="362">
        <f t="shared" si="17"/>
        <v>0.2926928350635999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252</v>
      </c>
      <c r="C156" s="419">
        <v>431</v>
      </c>
      <c r="D156" s="419">
        <v>659</v>
      </c>
      <c r="E156" s="419">
        <f t="shared" si="16"/>
        <v>228</v>
      </c>
      <c r="F156" s="362">
        <f t="shared" si="17"/>
        <v>0.5290023201856149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720</v>
      </c>
      <c r="C157" s="372">
        <v>1.2087</v>
      </c>
      <c r="D157" s="372">
        <v>1.2046</v>
      </c>
      <c r="E157" s="373">
        <f t="shared" si="16"/>
        <v>-0.004100000000000215</v>
      </c>
      <c r="F157" s="362">
        <f t="shared" si="17"/>
        <v>-0.003392074129229928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721</v>
      </c>
      <c r="C158" s="376">
        <f>C156*C157</f>
        <v>520.9497</v>
      </c>
      <c r="D158" s="376">
        <f>LN_IE4*LN_IE5</f>
        <v>793.8313999999999</v>
      </c>
      <c r="E158" s="376">
        <f t="shared" si="16"/>
        <v>272.8816999999999</v>
      </c>
      <c r="F158" s="362">
        <f t="shared" si="17"/>
        <v>0.5238158309717807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722</v>
      </c>
      <c r="C159" s="378">
        <f>IF(C158=0,0,C154/C158)</f>
        <v>1938.8800876552957</v>
      </c>
      <c r="D159" s="378">
        <f>IF(LN_IE6=0,0,LN_IE2/LN_IE6)</f>
        <v>2500.7186664573865</v>
      </c>
      <c r="E159" s="378">
        <f t="shared" si="16"/>
        <v>561.8385788020908</v>
      </c>
      <c r="F159" s="362">
        <f t="shared" si="17"/>
        <v>0.28977479441832166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769</v>
      </c>
      <c r="C160" s="378">
        <f>C48-C159</f>
        <v>6429.873952760776</v>
      </c>
      <c r="D160" s="378">
        <f>LN_IB7-LN_IE7</f>
        <v>6855.708016375232</v>
      </c>
      <c r="E160" s="378">
        <f t="shared" si="16"/>
        <v>425.8340636144558</v>
      </c>
      <c r="F160" s="362">
        <f t="shared" si="17"/>
        <v>0.06622743567649825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770</v>
      </c>
      <c r="C161" s="378">
        <f>C21-C159</f>
        <v>6198.819648117617</v>
      </c>
      <c r="D161" s="378">
        <f>LN_IA7-LN_IE7</f>
        <v>5601.259969214049</v>
      </c>
      <c r="E161" s="378">
        <f t="shared" si="16"/>
        <v>-597.559678903568</v>
      </c>
      <c r="F161" s="362">
        <f t="shared" si="17"/>
        <v>-0.09639894573881139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739</v>
      </c>
      <c r="C162" s="391">
        <f>C161*C158</f>
        <v>3229273.236040978</v>
      </c>
      <c r="D162" s="391">
        <f>LN_IE9*LN_IE6</f>
        <v>4446456.043125145</v>
      </c>
      <c r="E162" s="391">
        <f t="shared" si="16"/>
        <v>1217182.807084167</v>
      </c>
      <c r="F162" s="362">
        <f t="shared" si="17"/>
        <v>0.37692159136599035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254</v>
      </c>
      <c r="C163" s="369">
        <v>2332</v>
      </c>
      <c r="D163" s="369">
        <v>3696</v>
      </c>
      <c r="E163" s="419">
        <f t="shared" si="16"/>
        <v>1364</v>
      </c>
      <c r="F163" s="362">
        <f t="shared" si="17"/>
        <v>0.5849056603773585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723</v>
      </c>
      <c r="C164" s="378">
        <f>IF(C163=0,0,C154/C163)</f>
        <v>433.12993138936537</v>
      </c>
      <c r="D164" s="378">
        <f>IF(LN_IE11=0,0,LN_IE2/LN_IE11)</f>
        <v>537.1074134199134</v>
      </c>
      <c r="E164" s="378">
        <f t="shared" si="16"/>
        <v>103.97748203054806</v>
      </c>
      <c r="F164" s="362">
        <f t="shared" si="17"/>
        <v>0.24006071733951984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724</v>
      </c>
      <c r="C165" s="379">
        <f>IF(C156=0,0,C163/C156)</f>
        <v>5.410672853828307</v>
      </c>
      <c r="D165" s="379">
        <f>IF(LN_IE4=0,0,LN_IE11/LN_IE4)</f>
        <v>5.608497723823976</v>
      </c>
      <c r="E165" s="379">
        <f t="shared" si="16"/>
        <v>0.19782486999566906</v>
      </c>
      <c r="F165" s="362">
        <f t="shared" si="17"/>
        <v>0.036561972113264736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771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726</v>
      </c>
      <c r="C168" s="424">
        <v>6217865</v>
      </c>
      <c r="D168" s="424">
        <v>8269032</v>
      </c>
      <c r="E168" s="424">
        <f aca="true" t="shared" si="18" ref="E168:E176">D168-C168</f>
        <v>2051167</v>
      </c>
      <c r="F168" s="362">
        <f aca="true" t="shared" si="19" ref="F168:F176">IF(C168=0,0,E168/C168)</f>
        <v>0.32988284563913817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727</v>
      </c>
      <c r="C169" s="424">
        <v>1231676</v>
      </c>
      <c r="D169" s="424">
        <v>1426347</v>
      </c>
      <c r="E169" s="424">
        <f t="shared" si="18"/>
        <v>194671</v>
      </c>
      <c r="F169" s="362">
        <f t="shared" si="19"/>
        <v>0.1580537414060191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728</v>
      </c>
      <c r="C170" s="366">
        <f>IF(C168=0,0,C169/C168)</f>
        <v>0.19808664227994657</v>
      </c>
      <c r="D170" s="366">
        <f>IF(LN_IE14=0,0,LN_IE15/LN_IE14)</f>
        <v>0.17249262065983056</v>
      </c>
      <c r="E170" s="367">
        <f t="shared" si="18"/>
        <v>-0.02559402162011601</v>
      </c>
      <c r="F170" s="362">
        <f t="shared" si="19"/>
        <v>-0.1292061964680343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729</v>
      </c>
      <c r="C171" s="366">
        <f>IF(C153=0,0,C168/C153)</f>
        <v>0.5701938233408013</v>
      </c>
      <c r="D171" s="366">
        <f>IF(LN_IE1=0,0,LN_IE14/LN_IE1)</f>
        <v>0.49875224962390163</v>
      </c>
      <c r="E171" s="367">
        <f t="shared" si="18"/>
        <v>-0.07144157371689963</v>
      </c>
      <c r="F171" s="362">
        <f t="shared" si="19"/>
        <v>-0.12529348932319012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730</v>
      </c>
      <c r="C172" s="376">
        <f>C171*C156</f>
        <v>245.75353785988534</v>
      </c>
      <c r="D172" s="376">
        <f>LN_IE17*LN_IE4</f>
        <v>328.6777325021512</v>
      </c>
      <c r="E172" s="376">
        <f t="shared" si="18"/>
        <v>82.92419464226583</v>
      </c>
      <c r="F172" s="362">
        <f t="shared" si="19"/>
        <v>0.3374282843063056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731</v>
      </c>
      <c r="C173" s="378">
        <f>IF(C172=0,0,C169/C172)</f>
        <v>5011.834257711608</v>
      </c>
      <c r="D173" s="378">
        <f>IF(LN_IE18=0,0,LN_IE15/LN_IE18)</f>
        <v>4339.65206325824</v>
      </c>
      <c r="E173" s="378">
        <f t="shared" si="18"/>
        <v>-672.1821944533685</v>
      </c>
      <c r="F173" s="362">
        <f t="shared" si="19"/>
        <v>-0.1341189991307265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772</v>
      </c>
      <c r="C174" s="378">
        <f>C61-C173</f>
        <v>4527.7479262161205</v>
      </c>
      <c r="D174" s="378">
        <f>LN_IB18-LN_IE19</f>
        <v>5338.61576802743</v>
      </c>
      <c r="E174" s="378">
        <f t="shared" si="18"/>
        <v>810.8678418113095</v>
      </c>
      <c r="F174" s="362">
        <f t="shared" si="19"/>
        <v>0.17908855683336572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773</v>
      </c>
      <c r="C175" s="378">
        <f>C32-C173</f>
        <v>3900.8762236580324</v>
      </c>
      <c r="D175" s="378">
        <f>LN_IA16-LN_IE19</f>
        <v>6210.416267036855</v>
      </c>
      <c r="E175" s="378">
        <f t="shared" si="18"/>
        <v>2309.5400433788227</v>
      </c>
      <c r="F175" s="362">
        <f t="shared" si="19"/>
        <v>0.5920567357077174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742</v>
      </c>
      <c r="C176" s="353">
        <f>C175*C172</f>
        <v>958654.1327174709</v>
      </c>
      <c r="D176" s="353">
        <f>LN_IE21*LN_IE18</f>
        <v>2041225.5365441476</v>
      </c>
      <c r="E176" s="353">
        <f t="shared" si="18"/>
        <v>1082571.4038266768</v>
      </c>
      <c r="F176" s="362">
        <f t="shared" si="19"/>
        <v>1.1292617085558698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774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733</v>
      </c>
      <c r="C179" s="361">
        <f>C153+C168</f>
        <v>17122692</v>
      </c>
      <c r="D179" s="361">
        <f>LN_IE1+LN_IE14</f>
        <v>24848470</v>
      </c>
      <c r="E179" s="361">
        <f>D179-C179</f>
        <v>7725778</v>
      </c>
      <c r="F179" s="362">
        <f>IF(C179=0,0,E179/C179)</f>
        <v>0.45120113122399214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734</v>
      </c>
      <c r="C180" s="361">
        <f>C154+C169</f>
        <v>2241735</v>
      </c>
      <c r="D180" s="361">
        <f>LN_IE15+LN_IE2</f>
        <v>3411496</v>
      </c>
      <c r="E180" s="361">
        <f>D180-C180</f>
        <v>1169761</v>
      </c>
      <c r="F180" s="362">
        <f>IF(C180=0,0,E180/C180)</f>
        <v>0.5218105619085217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735</v>
      </c>
      <c r="C181" s="361">
        <f>C179-C180</f>
        <v>14880957</v>
      </c>
      <c r="D181" s="361">
        <f>LN_IE23-LN_IE24</f>
        <v>21436974</v>
      </c>
      <c r="E181" s="361">
        <f>D181-C181</f>
        <v>6556017</v>
      </c>
      <c r="F181" s="362">
        <f>IF(C181=0,0,E181/C181)</f>
        <v>0.44056420564887055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775</v>
      </c>
      <c r="C183" s="361">
        <f>C162+C176</f>
        <v>4187927.3687584493</v>
      </c>
      <c r="D183" s="361">
        <f>LN_IE10+LN_IE22</f>
        <v>6487681.579669293</v>
      </c>
      <c r="E183" s="353">
        <f>D183-C183</f>
        <v>2299754.2109108437</v>
      </c>
      <c r="F183" s="362">
        <f>IF(C183=0,0,E183/C183)</f>
        <v>0.5491389912983681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469</v>
      </c>
      <c r="B185" s="356" t="s">
        <v>776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777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717</v>
      </c>
      <c r="C188" s="361">
        <f>C118+C153</f>
        <v>60230293</v>
      </c>
      <c r="D188" s="361">
        <f>LN_ID1+LN_IE1</f>
        <v>86720104</v>
      </c>
      <c r="E188" s="361">
        <f aca="true" t="shared" si="20" ref="E188:E200">D188-C188</f>
        <v>26489811</v>
      </c>
      <c r="F188" s="362">
        <f aca="true" t="shared" si="21" ref="F188:F200">IF(C188=0,0,E188/C188)</f>
        <v>0.43980876865400603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718</v>
      </c>
      <c r="C189" s="361">
        <f>C119+C154</f>
        <v>13533295</v>
      </c>
      <c r="D189" s="361">
        <f>LN_1D2+LN_IE2</f>
        <v>21968259</v>
      </c>
      <c r="E189" s="361">
        <f t="shared" si="20"/>
        <v>8434964</v>
      </c>
      <c r="F189" s="362">
        <f t="shared" si="21"/>
        <v>0.6232749674044643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719</v>
      </c>
      <c r="C190" s="366">
        <f>IF(C188=0,0,C189/C188)</f>
        <v>0.22469249817529527</v>
      </c>
      <c r="D190" s="366">
        <f>IF(LN_IF1=0,0,LN_IF2/LN_IF1)</f>
        <v>0.25332371603244386</v>
      </c>
      <c r="E190" s="367">
        <f t="shared" si="20"/>
        <v>0.02863121785714859</v>
      </c>
      <c r="F190" s="362">
        <f t="shared" si="21"/>
        <v>0.12742400431549683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252</v>
      </c>
      <c r="C191" s="369">
        <f>C121+C156</f>
        <v>3087</v>
      </c>
      <c r="D191" s="369">
        <f>LN_ID4+LN_IE4</f>
        <v>3779</v>
      </c>
      <c r="E191" s="369">
        <f t="shared" si="20"/>
        <v>692</v>
      </c>
      <c r="F191" s="362">
        <f t="shared" si="21"/>
        <v>0.22416585681891804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720</v>
      </c>
      <c r="C192" s="372">
        <f>IF((C121+C156)=0,0,(C123+C158)/(C121+C156))</f>
        <v>0.9980784256559767</v>
      </c>
      <c r="D192" s="372">
        <f>IF((LN_ID4+LN_IE4)=0,0,(LN_ID6+LN_IE6)/(LN_ID4+LN_IE4))</f>
        <v>0.9634377877745436</v>
      </c>
      <c r="E192" s="373">
        <f t="shared" si="20"/>
        <v>-0.03464063788143312</v>
      </c>
      <c r="F192" s="362">
        <f t="shared" si="21"/>
        <v>-0.03470733059745874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721</v>
      </c>
      <c r="C193" s="376">
        <f>C123+C158</f>
        <v>3081.0681</v>
      </c>
      <c r="D193" s="376">
        <f>LN_IF4*LN_IF5</f>
        <v>3640.8314</v>
      </c>
      <c r="E193" s="376">
        <f t="shared" si="20"/>
        <v>559.7633000000001</v>
      </c>
      <c r="F193" s="362">
        <f t="shared" si="21"/>
        <v>0.18167832772018253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722</v>
      </c>
      <c r="C194" s="378">
        <f>IF(C193=0,0,C189/C193)</f>
        <v>4392.4037251886775</v>
      </c>
      <c r="D194" s="378">
        <f>IF(LN_IF6=0,0,LN_IF2/LN_IF6)</f>
        <v>6033.857816102113</v>
      </c>
      <c r="E194" s="378">
        <f t="shared" si="20"/>
        <v>1641.4540909134357</v>
      </c>
      <c r="F194" s="362">
        <f t="shared" si="21"/>
        <v>0.37370291840441566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778</v>
      </c>
      <c r="C195" s="378">
        <f>C48-C194</f>
        <v>3976.3503152273943</v>
      </c>
      <c r="D195" s="378">
        <f>LN_IB7-LN_IF7</f>
        <v>3322.568866730505</v>
      </c>
      <c r="E195" s="378">
        <f t="shared" si="20"/>
        <v>-653.7814484968894</v>
      </c>
      <c r="F195" s="362">
        <f t="shared" si="21"/>
        <v>-0.16441746744325816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779</v>
      </c>
      <c r="C196" s="378">
        <f>C21-C194</f>
        <v>3745.296010584236</v>
      </c>
      <c r="D196" s="378">
        <f>LN_IA7-LN_IF7</f>
        <v>2068.1208195693225</v>
      </c>
      <c r="E196" s="378">
        <f t="shared" si="20"/>
        <v>-1677.1751910149133</v>
      </c>
      <c r="F196" s="362">
        <f t="shared" si="21"/>
        <v>-0.44780844725629243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739</v>
      </c>
      <c r="C197" s="391">
        <f>C127+C162</f>
        <v>11539512.06326835</v>
      </c>
      <c r="D197" s="391">
        <f>LN_IF9*LN_IF6</f>
        <v>7529679.218881724</v>
      </c>
      <c r="E197" s="391">
        <f t="shared" si="20"/>
        <v>-4009832.844386626</v>
      </c>
      <c r="F197" s="362">
        <f t="shared" si="21"/>
        <v>-0.34748720937260463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254</v>
      </c>
      <c r="C198" s="369">
        <f>C128+C163</f>
        <v>15575</v>
      </c>
      <c r="D198" s="369">
        <f>LN_ID11+LN_IE11</f>
        <v>24616</v>
      </c>
      <c r="E198" s="369">
        <f t="shared" si="20"/>
        <v>9041</v>
      </c>
      <c r="F198" s="362">
        <f t="shared" si="21"/>
        <v>0.5804815409309791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723</v>
      </c>
      <c r="C199" s="432">
        <f>IF(C198=0,0,C189/C198)</f>
        <v>868.9113964686999</v>
      </c>
      <c r="D199" s="432">
        <f>IF(LN_IF11=0,0,LN_IF2/LN_IF11)</f>
        <v>892.438210919727</v>
      </c>
      <c r="E199" s="432">
        <f t="shared" si="20"/>
        <v>23.52681445102712</v>
      </c>
      <c r="F199" s="362">
        <f t="shared" si="21"/>
        <v>0.027076195048932827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724</v>
      </c>
      <c r="C200" s="379">
        <f>IF(C191=0,0,C198/C191)</f>
        <v>5.045351473922903</v>
      </c>
      <c r="D200" s="379">
        <f>IF(LN_IF4=0,0,LN_IF11/LN_IF4)</f>
        <v>6.5138925641704155</v>
      </c>
      <c r="E200" s="379">
        <f t="shared" si="20"/>
        <v>1.4685410902475127</v>
      </c>
      <c r="F200" s="362">
        <f t="shared" si="21"/>
        <v>0.29106814417939464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780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726</v>
      </c>
      <c r="C203" s="361">
        <f>C133+C168</f>
        <v>29323940</v>
      </c>
      <c r="D203" s="361">
        <f>LN_ID14+LN_IE14</f>
        <v>34492677</v>
      </c>
      <c r="E203" s="361">
        <f aca="true" t="shared" si="22" ref="E203:E211">D203-C203</f>
        <v>5168737</v>
      </c>
      <c r="F203" s="362">
        <f aca="true" t="shared" si="23" ref="F203:F211">IF(C203=0,0,E203/C203)</f>
        <v>0.1762633875256872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727</v>
      </c>
      <c r="C204" s="361">
        <f>C134+C169</f>
        <v>8103594</v>
      </c>
      <c r="D204" s="361">
        <f>LN_ID15+LN_IE15</f>
        <v>9882678</v>
      </c>
      <c r="E204" s="361">
        <f t="shared" si="22"/>
        <v>1779084</v>
      </c>
      <c r="F204" s="362">
        <f t="shared" si="23"/>
        <v>0.21954258814052136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728</v>
      </c>
      <c r="C205" s="366">
        <f>IF(C203=0,0,C204/C203)</f>
        <v>0.27634738033156525</v>
      </c>
      <c r="D205" s="366">
        <f>IF(LN_IF14=0,0,LN_IF15/LN_IF14)</f>
        <v>0.28651525075887846</v>
      </c>
      <c r="E205" s="367">
        <f t="shared" si="22"/>
        <v>0.010167870427313208</v>
      </c>
      <c r="F205" s="362">
        <f t="shared" si="23"/>
        <v>0.036793800668975626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729</v>
      </c>
      <c r="C206" s="366">
        <f>IF(C188=0,0,C203/C188)</f>
        <v>0.48686364517602465</v>
      </c>
      <c r="D206" s="366">
        <f>IF(LN_IF1=0,0,LN_IF14/LN_IF1)</f>
        <v>0.3977471821297631</v>
      </c>
      <c r="E206" s="367">
        <f t="shared" si="22"/>
        <v>-0.08911646304626153</v>
      </c>
      <c r="F206" s="362">
        <f t="shared" si="23"/>
        <v>-0.18304193366921376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730</v>
      </c>
      <c r="C207" s="376">
        <f>C137+C172</f>
        <v>1489.933069787673</v>
      </c>
      <c r="D207" s="376">
        <f>LN_ID18+LN_IE18</f>
        <v>1495.1589917476792</v>
      </c>
      <c r="E207" s="376">
        <f t="shared" si="22"/>
        <v>5.22592196000619</v>
      </c>
      <c r="F207" s="362">
        <f t="shared" si="23"/>
        <v>0.003507487729466213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731</v>
      </c>
      <c r="C208" s="378">
        <f>IF(C207=0,0,C204/C207)</f>
        <v>5438.8980044283635</v>
      </c>
      <c r="D208" s="378">
        <f>IF(LN_IF18=0,0,LN_IF15/LN_IF18)</f>
        <v>6609.784012634146</v>
      </c>
      <c r="E208" s="378">
        <f t="shared" si="22"/>
        <v>1170.8860082057827</v>
      </c>
      <c r="F208" s="362">
        <f t="shared" si="23"/>
        <v>0.21528000842311154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781</v>
      </c>
      <c r="C209" s="378">
        <f>C61-C208</f>
        <v>4100.684179499365</v>
      </c>
      <c r="D209" s="378">
        <f>LN_IB18-LN_IF19</f>
        <v>3068.4838186515235</v>
      </c>
      <c r="E209" s="378">
        <f t="shared" si="22"/>
        <v>-1032.2003608478417</v>
      </c>
      <c r="F209" s="362">
        <f t="shared" si="23"/>
        <v>-0.2517141812598352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782</v>
      </c>
      <c r="C210" s="378">
        <f>C32-C208</f>
        <v>3473.812476941277</v>
      </c>
      <c r="D210" s="378">
        <f>LN_IA16-LN_IF19</f>
        <v>3940.2843176609485</v>
      </c>
      <c r="E210" s="378">
        <f t="shared" si="22"/>
        <v>466.4718407196715</v>
      </c>
      <c r="F210" s="362">
        <f t="shared" si="23"/>
        <v>0.13428238968454742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742</v>
      </c>
      <c r="C211" s="391">
        <f>C141+C176</f>
        <v>5175748.087635837</v>
      </c>
      <c r="D211" s="353">
        <f>LN_IF21*LN_IF18</f>
        <v>5891351.527593136</v>
      </c>
      <c r="E211" s="353">
        <f t="shared" si="22"/>
        <v>715603.4399572993</v>
      </c>
      <c r="F211" s="362">
        <f t="shared" si="23"/>
        <v>0.13826087124811567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783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733</v>
      </c>
      <c r="C214" s="361">
        <f>C188+C203</f>
        <v>89554233</v>
      </c>
      <c r="D214" s="361">
        <f>LN_IF1+LN_IF14</f>
        <v>121212781</v>
      </c>
      <c r="E214" s="361">
        <f>D214-C214</f>
        <v>31658548</v>
      </c>
      <c r="F214" s="362">
        <f>IF(C214=0,0,E214/C214)</f>
        <v>0.3535125804717684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734</v>
      </c>
      <c r="C215" s="361">
        <f>C189+C204</f>
        <v>21636889</v>
      </c>
      <c r="D215" s="361">
        <f>LN_IF2+LN_IF15</f>
        <v>31850937</v>
      </c>
      <c r="E215" s="361">
        <f>D215-C215</f>
        <v>10214048</v>
      </c>
      <c r="F215" s="362">
        <f>IF(C215=0,0,E215/C215)</f>
        <v>0.47206638625358754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735</v>
      </c>
      <c r="C216" s="361">
        <f>C214-C215</f>
        <v>67917344</v>
      </c>
      <c r="D216" s="361">
        <f>LN_IF23-LN_IF24</f>
        <v>89361844</v>
      </c>
      <c r="E216" s="361">
        <f>D216-C216</f>
        <v>21444500</v>
      </c>
      <c r="F216" s="362">
        <f>IF(C216=0,0,E216/C216)</f>
        <v>0.31574409034605355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481</v>
      </c>
      <c r="B218" s="356" t="s">
        <v>784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785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717</v>
      </c>
      <c r="C221" s="361">
        <v>171538</v>
      </c>
      <c r="D221" s="361">
        <v>360974</v>
      </c>
      <c r="E221" s="361">
        <f aca="true" t="shared" si="24" ref="E221:E230">D221-C221</f>
        <v>189436</v>
      </c>
      <c r="F221" s="362">
        <f aca="true" t="shared" si="25" ref="F221:F230">IF(C221=0,0,E221/C221)</f>
        <v>1.104338397323042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718</v>
      </c>
      <c r="C222" s="361">
        <v>9078</v>
      </c>
      <c r="D222" s="361">
        <v>121850</v>
      </c>
      <c r="E222" s="361">
        <f t="shared" si="24"/>
        <v>112772</v>
      </c>
      <c r="F222" s="362">
        <f t="shared" si="25"/>
        <v>12.422560035250054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719</v>
      </c>
      <c r="C223" s="366">
        <f>IF(C221=0,0,C222/C221)</f>
        <v>0.05292121862211289</v>
      </c>
      <c r="D223" s="366">
        <f>IF(LN_IG1=0,0,LN_IG2/LN_IG1)</f>
        <v>0.3375589377628306</v>
      </c>
      <c r="E223" s="367">
        <f t="shared" si="24"/>
        <v>0.28463771914071767</v>
      </c>
      <c r="F223" s="362">
        <f t="shared" si="25"/>
        <v>5.378517852606348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252</v>
      </c>
      <c r="C224" s="369">
        <v>12</v>
      </c>
      <c r="D224" s="369">
        <v>18</v>
      </c>
      <c r="E224" s="369">
        <f t="shared" si="24"/>
        <v>6</v>
      </c>
      <c r="F224" s="362">
        <f t="shared" si="25"/>
        <v>0.5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720</v>
      </c>
      <c r="C225" s="372">
        <v>0.697</v>
      </c>
      <c r="D225" s="372">
        <v>1.1109</v>
      </c>
      <c r="E225" s="373">
        <f t="shared" si="24"/>
        <v>0.41390000000000005</v>
      </c>
      <c r="F225" s="362">
        <f t="shared" si="25"/>
        <v>0.5938307030129126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721</v>
      </c>
      <c r="C226" s="376">
        <f>C224*C225</f>
        <v>8.363999999999999</v>
      </c>
      <c r="D226" s="376">
        <f>LN_IG3*LN_IG4</f>
        <v>19.9962</v>
      </c>
      <c r="E226" s="376">
        <f t="shared" si="24"/>
        <v>11.632200000000003</v>
      </c>
      <c r="F226" s="362">
        <f t="shared" si="25"/>
        <v>1.3907460545193693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722</v>
      </c>
      <c r="C227" s="378">
        <f>IF(C226=0,0,C222/C226)</f>
        <v>1085.3658536585367</v>
      </c>
      <c r="D227" s="378">
        <f>IF(LN_IG5=0,0,LN_IG2/LN_IG5)</f>
        <v>6093.657794981046</v>
      </c>
      <c r="E227" s="378">
        <f t="shared" si="24"/>
        <v>5008.29194132251</v>
      </c>
      <c r="F227" s="362">
        <f t="shared" si="25"/>
        <v>4.61438133919602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254</v>
      </c>
      <c r="C228" s="369">
        <v>29</v>
      </c>
      <c r="D228" s="369">
        <v>79</v>
      </c>
      <c r="E228" s="369">
        <f t="shared" si="24"/>
        <v>50</v>
      </c>
      <c r="F228" s="362">
        <f t="shared" si="25"/>
        <v>1.7241379310344827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723</v>
      </c>
      <c r="C229" s="378">
        <f>IF(C228=0,0,C222/C228)</f>
        <v>313.0344827586207</v>
      </c>
      <c r="D229" s="378">
        <f>IF(LN_IG6=0,0,LN_IG2/LN_IG6)</f>
        <v>1542.4050632911392</v>
      </c>
      <c r="E229" s="378">
        <f t="shared" si="24"/>
        <v>1229.3705805325185</v>
      </c>
      <c r="F229" s="362">
        <f t="shared" si="25"/>
        <v>3.927268873699387</v>
      </c>
      <c r="Q229" s="330"/>
      <c r="U229" s="375"/>
    </row>
    <row r="230" spans="1:21" ht="11.25" customHeight="1">
      <c r="A230" s="364">
        <v>10</v>
      </c>
      <c r="B230" s="360" t="s">
        <v>724</v>
      </c>
      <c r="C230" s="379">
        <f>IF(C224=0,0,C228/C224)</f>
        <v>2.4166666666666665</v>
      </c>
      <c r="D230" s="379">
        <f>IF(LN_IG3=0,0,LN_IG6/LN_IG3)</f>
        <v>4.388888888888889</v>
      </c>
      <c r="E230" s="379">
        <f t="shared" si="24"/>
        <v>1.9722222222222228</v>
      </c>
      <c r="F230" s="362">
        <f t="shared" si="25"/>
        <v>0.8160919540229887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786</v>
      </c>
      <c r="C232" s="330"/>
      <c r="Q232" s="330"/>
      <c r="U232" s="399"/>
    </row>
    <row r="233" spans="1:21" ht="11.25" customHeight="1">
      <c r="A233" s="364">
        <v>11</v>
      </c>
      <c r="B233" s="360" t="s">
        <v>726</v>
      </c>
      <c r="C233" s="361">
        <v>209325</v>
      </c>
      <c r="D233" s="361">
        <v>283642</v>
      </c>
      <c r="E233" s="361">
        <f>D233-C233</f>
        <v>74317</v>
      </c>
      <c r="F233" s="362">
        <f>IF(C233=0,0,E233/C233)</f>
        <v>0.3550316493490983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727</v>
      </c>
      <c r="C234" s="361">
        <v>64863</v>
      </c>
      <c r="D234" s="361">
        <v>101544</v>
      </c>
      <c r="E234" s="361">
        <f>D234-C234</f>
        <v>36681</v>
      </c>
      <c r="F234" s="362">
        <f>IF(C234=0,0,E234/C234)</f>
        <v>0.565515008556496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787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733</v>
      </c>
      <c r="C237" s="361">
        <f>C221+C233</f>
        <v>380863</v>
      </c>
      <c r="D237" s="361">
        <f>LN_IG1+LN_IG9</f>
        <v>644616</v>
      </c>
      <c r="E237" s="361">
        <f>D237-C237</f>
        <v>263753</v>
      </c>
      <c r="F237" s="362">
        <f>IF(C237=0,0,E237/C237)</f>
        <v>0.6925141061221489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734</v>
      </c>
      <c r="C238" s="361">
        <f>C222+C234</f>
        <v>73941</v>
      </c>
      <c r="D238" s="361">
        <f>LN_IG2+LN_IG10</f>
        <v>223394</v>
      </c>
      <c r="E238" s="361">
        <f>D238-C238</f>
        <v>149453</v>
      </c>
      <c r="F238" s="362">
        <f>IF(C238=0,0,E238/C238)</f>
        <v>2.0212466696420117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735</v>
      </c>
      <c r="C239" s="361">
        <f>C237-C238</f>
        <v>306922</v>
      </c>
      <c r="D239" s="361">
        <f>LN_IG13-LN_IG14</f>
        <v>421222</v>
      </c>
      <c r="E239" s="361">
        <f>D239-C239</f>
        <v>114300</v>
      </c>
      <c r="F239" s="362">
        <f>IF(C239=0,0,E239/C239)</f>
        <v>0.37240732172995095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485</v>
      </c>
      <c r="B241" s="356" t="s">
        <v>788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789</v>
      </c>
      <c r="C243" s="361">
        <v>13485455</v>
      </c>
      <c r="D243" s="361">
        <v>9864000</v>
      </c>
      <c r="E243" s="353">
        <f>D243-C243</f>
        <v>-3621455</v>
      </c>
      <c r="F243" s="415">
        <f>IF(C243=0,0,E243/C243)</f>
        <v>-0.26854525857674066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790</v>
      </c>
      <c r="C244" s="361">
        <v>302743318</v>
      </c>
      <c r="D244" s="361">
        <v>341987000</v>
      </c>
      <c r="E244" s="353">
        <f>D244-C244</f>
        <v>39243682</v>
      </c>
      <c r="F244" s="415">
        <f>IF(C244=0,0,E244/C244)</f>
        <v>0.12962691384653452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791</v>
      </c>
      <c r="C245" s="400">
        <v>2299246</v>
      </c>
      <c r="D245" s="400">
        <v>2290216</v>
      </c>
      <c r="E245" s="400">
        <f>D245-C245</f>
        <v>-9030</v>
      </c>
      <c r="F245" s="401">
        <f>IF(C245=0,0,E245/C245)</f>
        <v>-0.003927374452320456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792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793</v>
      </c>
      <c r="C248" s="353">
        <v>5784833</v>
      </c>
      <c r="D248" s="353">
        <v>8833000</v>
      </c>
      <c r="E248" s="353">
        <f>D248-C248</f>
        <v>3048167</v>
      </c>
      <c r="F248" s="362">
        <f>IF(C248=0,0,E248/C248)</f>
        <v>0.5269239405873947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794</v>
      </c>
      <c r="C249" s="353">
        <v>26273077</v>
      </c>
      <c r="D249" s="353">
        <v>30554626</v>
      </c>
      <c r="E249" s="353">
        <f>D249-C249</f>
        <v>4281549</v>
      </c>
      <c r="F249" s="362">
        <f>IF(C249=0,0,E249/C249)</f>
        <v>0.16296336359840913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795</v>
      </c>
      <c r="C250" s="353">
        <f>C248+C249</f>
        <v>32057910</v>
      </c>
      <c r="D250" s="353">
        <f>LN_IH4+LN_IH5</f>
        <v>39387626</v>
      </c>
      <c r="E250" s="353">
        <f>D250-C250</f>
        <v>7329716</v>
      </c>
      <c r="F250" s="362">
        <f>IF(C250=0,0,E250/C250)</f>
        <v>0.2286398583064211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796</v>
      </c>
      <c r="C251" s="353">
        <f>C250*C313</f>
        <v>13151495.368840279</v>
      </c>
      <c r="D251" s="353">
        <f>LN_IH6*LN_III10</f>
        <v>14773638.242885353</v>
      </c>
      <c r="E251" s="353">
        <f>D251-C251</f>
        <v>1622142.874045074</v>
      </c>
      <c r="F251" s="362">
        <f>IF(C251=0,0,E251/C251)</f>
        <v>0.12334284646355902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797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733</v>
      </c>
      <c r="C254" s="353">
        <f>C188+C203</f>
        <v>89554233</v>
      </c>
      <c r="D254" s="353">
        <f>LN_IF23</f>
        <v>121212781</v>
      </c>
      <c r="E254" s="353">
        <f>D254-C254</f>
        <v>31658548</v>
      </c>
      <c r="F254" s="362">
        <f>IF(C254=0,0,E254/C254)</f>
        <v>0.3535125804717684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734</v>
      </c>
      <c r="C255" s="353">
        <f>C189+C204</f>
        <v>21636889</v>
      </c>
      <c r="D255" s="353">
        <f>LN_IF24</f>
        <v>31850937</v>
      </c>
      <c r="E255" s="353">
        <f>D255-C255</f>
        <v>10214048</v>
      </c>
      <c r="F255" s="362">
        <f>IF(C255=0,0,E255/C255)</f>
        <v>0.47206638625358754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798</v>
      </c>
      <c r="C256" s="353">
        <f>C254*C313</f>
        <v>36738891.60458506</v>
      </c>
      <c r="D256" s="353">
        <f>LN_IH8*LN_III10</f>
        <v>45464882.21727522</v>
      </c>
      <c r="E256" s="353">
        <f>D256-C256</f>
        <v>8725990.612690158</v>
      </c>
      <c r="F256" s="362">
        <f>IF(C256=0,0,E256/C256)</f>
        <v>0.23751371452918693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799</v>
      </c>
      <c r="C257" s="353">
        <f>C256-C255</f>
        <v>15102002.604585059</v>
      </c>
      <c r="D257" s="353">
        <f>LN_IH10-LN_IH9</f>
        <v>13613945.217275217</v>
      </c>
      <c r="E257" s="353">
        <f>D257-C257</f>
        <v>-1488057.3873098418</v>
      </c>
      <c r="F257" s="362">
        <f>IF(C257=0,0,E257/C257)</f>
        <v>-0.09853377901405332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159</v>
      </c>
      <c r="B258" s="349" t="s">
        <v>800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129</v>
      </c>
      <c r="B260" s="359" t="s">
        <v>801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802</v>
      </c>
      <c r="C261" s="361">
        <f>C15+C42+C188+C221</f>
        <v>514424048</v>
      </c>
      <c r="D261" s="361">
        <f>LN_IA1+LN_IB1+LN_IF1+LN_IG1</f>
        <v>613526265</v>
      </c>
      <c r="E261" s="361">
        <f aca="true" t="shared" si="26" ref="E261:E274">D261-C261</f>
        <v>99102217</v>
      </c>
      <c r="F261" s="415">
        <f aca="true" t="shared" si="27" ref="F261:F274">IF(C261=0,0,E261/C261)</f>
        <v>0.1926469366766462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803</v>
      </c>
      <c r="C262" s="361">
        <f>C16+C43+C189+C222</f>
        <v>214113268</v>
      </c>
      <c r="D262" s="361">
        <f>+LN_IA2+LN_IB2+LN_IF2+LN_IG2</f>
        <v>234262957</v>
      </c>
      <c r="E262" s="361">
        <f t="shared" si="26"/>
        <v>20149689</v>
      </c>
      <c r="F262" s="415">
        <f t="shared" si="27"/>
        <v>0.0941076150404654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804</v>
      </c>
      <c r="C263" s="366">
        <f>IF(C261=0,0,C262/C261)</f>
        <v>0.4162193988256163</v>
      </c>
      <c r="D263" s="366">
        <f>IF(LN_IIA1=0,0,LN_IIA2/LN_IIA1)</f>
        <v>0.3818303638557348</v>
      </c>
      <c r="E263" s="367">
        <f t="shared" si="26"/>
        <v>-0.03438903496988149</v>
      </c>
      <c r="F263" s="371">
        <f t="shared" si="27"/>
        <v>-0.08262237432208076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805</v>
      </c>
      <c r="C264" s="369">
        <f>C18+C45+C191+C224</f>
        <v>20159</v>
      </c>
      <c r="D264" s="369">
        <f>LN_IA4+LN_IB4+LN_IF4+LN_IG3</f>
        <v>21743</v>
      </c>
      <c r="E264" s="369">
        <f t="shared" si="26"/>
        <v>1584</v>
      </c>
      <c r="F264" s="415">
        <f t="shared" si="27"/>
        <v>0.07857532615705144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806</v>
      </c>
      <c r="C265" s="439">
        <f>IF(C264=0,0,C266/C264)</f>
        <v>1.3621723944640112</v>
      </c>
      <c r="D265" s="439">
        <f>IF(LN_IIA4=0,0,LN_IIA6/LN_IIA4)</f>
        <v>1.3032522191049993</v>
      </c>
      <c r="E265" s="439">
        <f t="shared" si="26"/>
        <v>-0.05892017535901184</v>
      </c>
      <c r="F265" s="415">
        <f t="shared" si="27"/>
        <v>-0.04325456572051279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807</v>
      </c>
      <c r="C266" s="376">
        <f>C20+C47+C193+C226</f>
        <v>27460.0333</v>
      </c>
      <c r="D266" s="376">
        <f>LN_IA6+LN_IB6+LN_IF6+LN_IG5</f>
        <v>28336.613</v>
      </c>
      <c r="E266" s="376">
        <f t="shared" si="26"/>
        <v>876.579700000002</v>
      </c>
      <c r="F266" s="415">
        <f t="shared" si="27"/>
        <v>0.03192201882726785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808</v>
      </c>
      <c r="C267" s="361">
        <f>C27+C56+C203+C233</f>
        <v>203492498</v>
      </c>
      <c r="D267" s="361">
        <f>LN_IA11+LN_IB13+LN_IF14+LN_IG9</f>
        <v>238972604</v>
      </c>
      <c r="E267" s="361">
        <f t="shared" si="26"/>
        <v>35480106</v>
      </c>
      <c r="F267" s="415">
        <f t="shared" si="27"/>
        <v>0.17435584283799985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729</v>
      </c>
      <c r="C268" s="366">
        <f>IF(C261=0,0,C267/C261)</f>
        <v>0.3955734549952455</v>
      </c>
      <c r="D268" s="366">
        <f>IF(LN_IIA1=0,0,LN_IIA7/LN_IIA1)</f>
        <v>0.38950672144410964</v>
      </c>
      <c r="E268" s="367">
        <f t="shared" si="26"/>
        <v>-0.00606673355113585</v>
      </c>
      <c r="F268" s="371">
        <f t="shared" si="27"/>
        <v>-0.015336553741223025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809</v>
      </c>
      <c r="C269" s="361">
        <f>C28+C57+C204+C234</f>
        <v>75117425</v>
      </c>
      <c r="D269" s="361">
        <f>LN_IA12+LN_IB14+LN_IF15+LN_IG10</f>
        <v>85707686</v>
      </c>
      <c r="E269" s="361">
        <f t="shared" si="26"/>
        <v>10590261</v>
      </c>
      <c r="F269" s="415">
        <f t="shared" si="27"/>
        <v>0.14098274801086433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728</v>
      </c>
      <c r="C270" s="366">
        <f>IF(C267=0,0,C269/C267)</f>
        <v>0.3691410039106208</v>
      </c>
      <c r="D270" s="366">
        <f>IF(LN_IIA7=0,0,LN_IIA9/LN_IIA7)</f>
        <v>0.35865067612520135</v>
      </c>
      <c r="E270" s="367">
        <f t="shared" si="26"/>
        <v>-0.010490327785419473</v>
      </c>
      <c r="F270" s="371">
        <f t="shared" si="27"/>
        <v>-0.02841821329596717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810</v>
      </c>
      <c r="C271" s="353">
        <f>C261+C267</f>
        <v>717916546</v>
      </c>
      <c r="D271" s="353">
        <f>LN_IIA1+LN_IIA7</f>
        <v>852498869</v>
      </c>
      <c r="E271" s="353">
        <f t="shared" si="26"/>
        <v>134582323</v>
      </c>
      <c r="F271" s="415">
        <f t="shared" si="27"/>
        <v>0.18746235025484426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811</v>
      </c>
      <c r="C272" s="353">
        <f>C262+C269</f>
        <v>289230693</v>
      </c>
      <c r="D272" s="353">
        <f>LN_IIA2+LN_IIA9</f>
        <v>319970643</v>
      </c>
      <c r="E272" s="353">
        <f t="shared" si="26"/>
        <v>30739950</v>
      </c>
      <c r="F272" s="415">
        <f t="shared" si="27"/>
        <v>0.10628177003330694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812</v>
      </c>
      <c r="C273" s="366">
        <f>IF(C271=0,0,C272/C271)</f>
        <v>0.4028750898854475</v>
      </c>
      <c r="D273" s="366">
        <f>IF(LN_IIA11=0,0,LN_IIA12/LN_IIA11)</f>
        <v>0.3753326304999473</v>
      </c>
      <c r="E273" s="367">
        <f t="shared" si="26"/>
        <v>-0.027542459385500206</v>
      </c>
      <c r="F273" s="371">
        <f t="shared" si="27"/>
        <v>-0.06836476137884713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254</v>
      </c>
      <c r="C274" s="421">
        <f>C22+C51+C198+C228</f>
        <v>104524</v>
      </c>
      <c r="D274" s="421">
        <f>LN_IA8+LN_IB10+LN_IF11+LN_IG6</f>
        <v>125447</v>
      </c>
      <c r="E274" s="442">
        <f t="shared" si="26"/>
        <v>20923</v>
      </c>
      <c r="F274" s="371">
        <f t="shared" si="27"/>
        <v>0.20017412268952586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141</v>
      </c>
      <c r="B276" s="359" t="s">
        <v>813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814</v>
      </c>
      <c r="C277" s="361">
        <f>C15+C188+C221</f>
        <v>352528826</v>
      </c>
      <c r="D277" s="361">
        <f>LN_IA1+LN_IF1+LN_IG1</f>
        <v>420841062</v>
      </c>
      <c r="E277" s="361">
        <f aca="true" t="shared" si="28" ref="E277:E291">D277-C277</f>
        <v>68312236</v>
      </c>
      <c r="F277" s="415">
        <f aca="true" t="shared" si="29" ref="F277:F291">IF(C277=0,0,E277/C277)</f>
        <v>0.19377773095922657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815</v>
      </c>
      <c r="C278" s="361">
        <f>C16+C189+C222</f>
        <v>132609169</v>
      </c>
      <c r="D278" s="361">
        <f>LN_IA2+LN_IF2+LN_IG2</f>
        <v>142893895</v>
      </c>
      <c r="E278" s="361">
        <f t="shared" si="28"/>
        <v>10284726</v>
      </c>
      <c r="F278" s="415">
        <f t="shared" si="29"/>
        <v>0.07755667332475329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816</v>
      </c>
      <c r="C279" s="366">
        <f>IF(C277=0,0,C278/C277)</f>
        <v>0.37616546284927066</v>
      </c>
      <c r="D279" s="366">
        <f>IF(D277=0,0,LN_IIB2/D277)</f>
        <v>0.33954361373605696</v>
      </c>
      <c r="E279" s="367">
        <f t="shared" si="28"/>
        <v>-0.0366218491132137</v>
      </c>
      <c r="F279" s="371">
        <f t="shared" si="29"/>
        <v>-0.09735569245464744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817</v>
      </c>
      <c r="C280" s="369">
        <f>C18+C191+C224</f>
        <v>12621</v>
      </c>
      <c r="D280" s="369">
        <f>LN_IA4+LN_IF4+LN_IG3</f>
        <v>13543</v>
      </c>
      <c r="E280" s="369">
        <f t="shared" si="28"/>
        <v>922</v>
      </c>
      <c r="F280" s="415">
        <f t="shared" si="29"/>
        <v>0.07305284842722447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818</v>
      </c>
      <c r="C281" s="439">
        <f>IF(C280=0,0,C282/C280)</f>
        <v>1.4040834561445212</v>
      </c>
      <c r="D281" s="439">
        <f>IF(LN_IIB4=0,0,LN_IIB6/LN_IIB4)</f>
        <v>1.371279110979842</v>
      </c>
      <c r="E281" s="439">
        <f t="shared" si="28"/>
        <v>-0.03280434516467934</v>
      </c>
      <c r="F281" s="415">
        <f t="shared" si="29"/>
        <v>-0.02336352944059104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819</v>
      </c>
      <c r="C282" s="376">
        <f>C20+C193+C226</f>
        <v>17720.9373</v>
      </c>
      <c r="D282" s="376">
        <f>LN_IA6+LN_IF6+LN_IG5</f>
        <v>18571.233</v>
      </c>
      <c r="E282" s="376">
        <f t="shared" si="28"/>
        <v>850.2956999999988</v>
      </c>
      <c r="F282" s="415">
        <f t="shared" si="29"/>
        <v>0.04798254661168508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820</v>
      </c>
      <c r="C283" s="361">
        <f>C27+C203+C233</f>
        <v>96687905</v>
      </c>
      <c r="D283" s="361">
        <f>LN_IA11+LN_IF14+LN_IG9</f>
        <v>115499756</v>
      </c>
      <c r="E283" s="361">
        <f t="shared" si="28"/>
        <v>18811851</v>
      </c>
      <c r="F283" s="415">
        <f t="shared" si="29"/>
        <v>0.1945626084255316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821</v>
      </c>
      <c r="C284" s="366">
        <f>IF(C277=0,0,C283/C277)</f>
        <v>0.2742695004464685</v>
      </c>
      <c r="D284" s="366">
        <f>IF(D277=0,0,LN_IIB7/D277)</f>
        <v>0.27444982543077034</v>
      </c>
      <c r="E284" s="367">
        <f t="shared" si="28"/>
        <v>0.00018032498430187172</v>
      </c>
      <c r="F284" s="371">
        <f t="shared" si="29"/>
        <v>0.000657473703814425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822</v>
      </c>
      <c r="C285" s="361">
        <f>C28+C204+C234</f>
        <v>27677785</v>
      </c>
      <c r="D285" s="361">
        <f>LN_IA12+LN_IF15+LN_IG10</f>
        <v>34852577</v>
      </c>
      <c r="E285" s="361">
        <f t="shared" si="28"/>
        <v>7174792</v>
      </c>
      <c r="F285" s="415">
        <f t="shared" si="29"/>
        <v>0.25922565696640826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823</v>
      </c>
      <c r="C286" s="366">
        <f>IF(C283=0,0,C285/C283)</f>
        <v>0.2862590207120529</v>
      </c>
      <c r="D286" s="366">
        <f>IF(LN_IIB7=0,0,LN_IIB9/LN_IIB7)</f>
        <v>0.3017545508927309</v>
      </c>
      <c r="E286" s="367">
        <f t="shared" si="28"/>
        <v>0.015495530180678008</v>
      </c>
      <c r="F286" s="371">
        <f t="shared" si="29"/>
        <v>0.05413115066953616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824</v>
      </c>
      <c r="C287" s="353">
        <f>C277+C283</f>
        <v>449216731</v>
      </c>
      <c r="D287" s="353">
        <f>D277+LN_IIB7</f>
        <v>536340818</v>
      </c>
      <c r="E287" s="353">
        <f t="shared" si="28"/>
        <v>87124087</v>
      </c>
      <c r="F287" s="415">
        <f t="shared" si="29"/>
        <v>0.19394666535694993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825</v>
      </c>
      <c r="C288" s="353">
        <f>C278+C285</f>
        <v>160286954</v>
      </c>
      <c r="D288" s="353">
        <f>LN_IIB2+LN_IIB9</f>
        <v>177746472</v>
      </c>
      <c r="E288" s="353">
        <f t="shared" si="28"/>
        <v>17459518</v>
      </c>
      <c r="F288" s="415">
        <f t="shared" si="29"/>
        <v>0.10892663167084703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826</v>
      </c>
      <c r="C289" s="366">
        <f>IF(C287=0,0,C288/C287)</f>
        <v>0.3568143012910176</v>
      </c>
      <c r="D289" s="366">
        <f>IF(LN_IIB11=0,0,LN_IIB12/LN_IIB11)</f>
        <v>0.33140582636020816</v>
      </c>
      <c r="E289" s="367">
        <f t="shared" si="28"/>
        <v>-0.025408474930809444</v>
      </c>
      <c r="F289" s="371">
        <f t="shared" si="29"/>
        <v>-0.07120923920055071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254</v>
      </c>
      <c r="C290" s="421">
        <f>C22+C198+C228</f>
        <v>75821</v>
      </c>
      <c r="D290" s="421">
        <f>LN_IA8+LN_IF11+LN_IG6</f>
        <v>88733</v>
      </c>
      <c r="E290" s="442">
        <f t="shared" si="28"/>
        <v>12912</v>
      </c>
      <c r="F290" s="371">
        <f t="shared" si="29"/>
        <v>0.17029582833252002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827</v>
      </c>
      <c r="C291" s="361">
        <f>C287-C288</f>
        <v>288929777</v>
      </c>
      <c r="D291" s="429">
        <f>LN_IIB11-LN_IIB12</f>
        <v>358594346</v>
      </c>
      <c r="E291" s="353">
        <f t="shared" si="28"/>
        <v>69664569</v>
      </c>
      <c r="F291" s="415">
        <f t="shared" si="29"/>
        <v>0.2411124589626496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151</v>
      </c>
      <c r="B293" s="358" t="s">
        <v>724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715</v>
      </c>
      <c r="C294" s="379">
        <f>IF(C18=0,0,C22/C18)</f>
        <v>6.323986557445915</v>
      </c>
      <c r="D294" s="379">
        <f>IF(LN_IA4=0,0,LN_IA8/LN_IA4)</f>
        <v>6.570695670018469</v>
      </c>
      <c r="E294" s="379">
        <f aca="true" t="shared" si="30" ref="E294:E300">D294-C294</f>
        <v>0.246709112572554</v>
      </c>
      <c r="F294" s="415">
        <f aca="true" t="shared" si="31" ref="F294:F300">IF(C294=0,0,E294/C294)</f>
        <v>0.03901164405260739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736</v>
      </c>
      <c r="C295" s="379">
        <f>IF(C45=0,0,C51/C45)</f>
        <v>3.8077739453435924</v>
      </c>
      <c r="D295" s="379">
        <f>IF(LN_IB4=0,0,(LN_IB10)/(LN_IB4))</f>
        <v>4.477317073170732</v>
      </c>
      <c r="E295" s="379">
        <f t="shared" si="30"/>
        <v>0.6695431278271395</v>
      </c>
      <c r="F295" s="415">
        <f t="shared" si="31"/>
        <v>0.17583583937431552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751</v>
      </c>
      <c r="C296" s="379">
        <f>IF(C86=0,0,C93/C86)</f>
        <v>3.8442105263157895</v>
      </c>
      <c r="D296" s="379">
        <f>IF(LN_IC4=0,0,LN_IC11/LN_IC4)</f>
        <v>4.876439790575916</v>
      </c>
      <c r="E296" s="379">
        <f t="shared" si="30"/>
        <v>1.0322292642601267</v>
      </c>
      <c r="F296" s="415">
        <f t="shared" si="31"/>
        <v>0.26851527958573945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229</v>
      </c>
      <c r="C297" s="379">
        <f>IF(C121=0,0,C128/C121)</f>
        <v>4.986069277108434</v>
      </c>
      <c r="D297" s="379">
        <f>IF(LN_ID4=0,0,LN_ID11/LN_ID4)</f>
        <v>6.705128205128205</v>
      </c>
      <c r="E297" s="379">
        <f t="shared" si="30"/>
        <v>1.7190589280197717</v>
      </c>
      <c r="F297" s="415">
        <f t="shared" si="31"/>
        <v>0.34477237127693977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828</v>
      </c>
      <c r="C298" s="379">
        <f>IF(C156=0,0,C163/C156)</f>
        <v>5.410672853828307</v>
      </c>
      <c r="D298" s="379">
        <f>IF(LN_IE4=0,0,LN_IE11/LN_IE4)</f>
        <v>5.608497723823976</v>
      </c>
      <c r="E298" s="379">
        <f t="shared" si="30"/>
        <v>0.19782486999566906</v>
      </c>
      <c r="F298" s="415">
        <f t="shared" si="31"/>
        <v>0.036561972113264736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533</v>
      </c>
      <c r="C299" s="379">
        <f>IF(C224=0,0,C228/C224)</f>
        <v>2.4166666666666665</v>
      </c>
      <c r="D299" s="379">
        <f>IF(LN_IG3=0,0,LN_IG6/LN_IG3)</f>
        <v>4.388888888888889</v>
      </c>
      <c r="E299" s="379">
        <f t="shared" si="30"/>
        <v>1.9722222222222228</v>
      </c>
      <c r="F299" s="415">
        <f t="shared" si="31"/>
        <v>0.8160919540229887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829</v>
      </c>
      <c r="C300" s="379">
        <f>IF(C264=0,0,C274/C264)</f>
        <v>5.184979413661392</v>
      </c>
      <c r="D300" s="379">
        <f>IF(LN_IIA4=0,0,LN_IIA14/LN_IIA4)</f>
        <v>5.769535022765948</v>
      </c>
      <c r="E300" s="379">
        <f t="shared" si="30"/>
        <v>0.5845556091045561</v>
      </c>
      <c r="F300" s="415">
        <f t="shared" si="31"/>
        <v>0.11274019865235493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250</v>
      </c>
      <c r="B302" s="446" t="s">
        <v>830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824</v>
      </c>
      <c r="C304" s="353">
        <f>C35+C66+C214+C221+C233</f>
        <v>717916546</v>
      </c>
      <c r="D304" s="353">
        <f>LN_IIA11</f>
        <v>852498869</v>
      </c>
      <c r="E304" s="353">
        <f aca="true" t="shared" si="32" ref="E304:E316">D304-C304</f>
        <v>134582323</v>
      </c>
      <c r="F304" s="362">
        <f>IF(C304=0,0,E304/C304)</f>
        <v>0.18746235025484426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827</v>
      </c>
      <c r="C305" s="353">
        <f>C291</f>
        <v>288929777</v>
      </c>
      <c r="D305" s="353">
        <f>LN_IIB14</f>
        <v>358594346</v>
      </c>
      <c r="E305" s="353">
        <f t="shared" si="32"/>
        <v>69664569</v>
      </c>
      <c r="F305" s="362">
        <f>IF(C305=0,0,E305/C305)</f>
        <v>0.2411124589626496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831</v>
      </c>
      <c r="C306" s="353">
        <f>C250</f>
        <v>32057910</v>
      </c>
      <c r="D306" s="353">
        <f>LN_IH6</f>
        <v>39387626</v>
      </c>
      <c r="E306" s="353">
        <f t="shared" si="32"/>
        <v>7329716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832</v>
      </c>
      <c r="C307" s="353">
        <f>C73-C74</f>
        <v>99044292</v>
      </c>
      <c r="D307" s="353">
        <f>LN_IB32-LN_IB33</f>
        <v>130934442</v>
      </c>
      <c r="E307" s="353">
        <f t="shared" si="32"/>
        <v>31890150</v>
      </c>
      <c r="F307" s="362">
        <f aca="true" t="shared" si="33" ref="F307:F316">IF(C307=0,0,E307/C307)</f>
        <v>0.32197867596448665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833</v>
      </c>
      <c r="C308" s="353">
        <v>5664422</v>
      </c>
      <c r="D308" s="353">
        <v>6114636</v>
      </c>
      <c r="E308" s="353">
        <f t="shared" si="32"/>
        <v>450214</v>
      </c>
      <c r="F308" s="362">
        <f t="shared" si="33"/>
        <v>0.07948101324371666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834</v>
      </c>
      <c r="C309" s="353">
        <f>C305+C307+C308+C306</f>
        <v>425696401</v>
      </c>
      <c r="D309" s="353">
        <f>LN_III2+LN_III3+LN_III4+LN_III5</f>
        <v>535031050</v>
      </c>
      <c r="E309" s="353">
        <f t="shared" si="32"/>
        <v>109334649</v>
      </c>
      <c r="F309" s="362">
        <f t="shared" si="33"/>
        <v>0.2568371467157412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835</v>
      </c>
      <c r="C310" s="353">
        <f>C304-C309</f>
        <v>292220145</v>
      </c>
      <c r="D310" s="353">
        <f>LN_III1-LN_III6</f>
        <v>317467819</v>
      </c>
      <c r="E310" s="353">
        <f t="shared" si="32"/>
        <v>25247674</v>
      </c>
      <c r="F310" s="362">
        <f t="shared" si="33"/>
        <v>0.08639949856981968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836</v>
      </c>
      <c r="C311" s="353">
        <f>C245</f>
        <v>2299246</v>
      </c>
      <c r="D311" s="353">
        <f>LN_IH3</f>
        <v>2290216</v>
      </c>
      <c r="E311" s="353">
        <f t="shared" si="32"/>
        <v>-9030</v>
      </c>
      <c r="F311" s="362">
        <f t="shared" si="33"/>
        <v>-0.003927374452320456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837</v>
      </c>
      <c r="C312" s="353">
        <f>C310+C311</f>
        <v>294519391</v>
      </c>
      <c r="D312" s="353">
        <f>LN_III7+LN_III8</f>
        <v>319758035</v>
      </c>
      <c r="E312" s="353">
        <f t="shared" si="32"/>
        <v>25238644</v>
      </c>
      <c r="F312" s="362">
        <f t="shared" si="33"/>
        <v>0.08569433718542492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838</v>
      </c>
      <c r="C313" s="448">
        <f>IF(C304=0,0,C312/C304)</f>
        <v>0.41024182078121374</v>
      </c>
      <c r="D313" s="448">
        <f>IF(LN_III1=0,0,LN_III9/LN_III1)</f>
        <v>0.3750832366206928</v>
      </c>
      <c r="E313" s="448">
        <f t="shared" si="32"/>
        <v>-0.03515858416052092</v>
      </c>
      <c r="F313" s="362">
        <f t="shared" si="33"/>
        <v>-0.08570209661601362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796</v>
      </c>
      <c r="C314" s="353">
        <f>C306*C313</f>
        <v>13151495.368840279</v>
      </c>
      <c r="D314" s="353">
        <f>D313*LN_III5</f>
        <v>14773638.242885353</v>
      </c>
      <c r="E314" s="353">
        <f t="shared" si="32"/>
        <v>1622142.874045074</v>
      </c>
      <c r="F314" s="362">
        <f t="shared" si="33"/>
        <v>0.12334284646355902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799</v>
      </c>
      <c r="C315" s="353">
        <f>(C214*C313)-C215</f>
        <v>15102002.604585059</v>
      </c>
      <c r="D315" s="353">
        <f>D313*LN_IH8-LN_IH9</f>
        <v>13613945.217275217</v>
      </c>
      <c r="E315" s="353">
        <f t="shared" si="32"/>
        <v>-1488057.3873098418</v>
      </c>
      <c r="F315" s="362">
        <f t="shared" si="33"/>
        <v>-0.09853377901405332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839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>
      <c r="A317" s="338">
        <v>14</v>
      </c>
      <c r="B317" s="360" t="s">
        <v>840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841</v>
      </c>
      <c r="C318" s="353">
        <f>C314+C315+C316</f>
        <v>28253497.973425336</v>
      </c>
      <c r="D318" s="353">
        <f>D314+D315+D316</f>
        <v>28387583.46016057</v>
      </c>
      <c r="E318" s="353">
        <f>D318-C318</f>
        <v>134085.48673523217</v>
      </c>
      <c r="F318" s="362">
        <f>IF(C318=0,0,E318/C318)</f>
        <v>0.0047458012760526235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259</v>
      </c>
      <c r="B320" s="445" t="s">
        <v>842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229</v>
      </c>
      <c r="C322" s="353">
        <f>C141</f>
        <v>4217093.954918366</v>
      </c>
      <c r="D322" s="353">
        <f>LN_ID22</f>
        <v>3850125.991048987</v>
      </c>
      <c r="E322" s="353">
        <f>LN_IV2-C322</f>
        <v>-366967.9638693789</v>
      </c>
      <c r="F322" s="362">
        <f>IF(C322=0,0,E322/C322)</f>
        <v>-0.08701915769303334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828</v>
      </c>
      <c r="C323" s="353">
        <f>C162+C176</f>
        <v>4187927.3687584493</v>
      </c>
      <c r="D323" s="353">
        <f>LN_IE10+LN_IE22</f>
        <v>6487681.579669293</v>
      </c>
      <c r="E323" s="353">
        <f>LN_IV3-C323</f>
        <v>2299754.2109108437</v>
      </c>
      <c r="F323" s="362">
        <f>IF(C323=0,0,E323/C323)</f>
        <v>0.5491389912983681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843</v>
      </c>
      <c r="C324" s="353">
        <f>C92+C106</f>
        <v>14217498.592723561</v>
      </c>
      <c r="D324" s="353">
        <f>LN_IC10+LN_IC22</f>
        <v>15662497.871901006</v>
      </c>
      <c r="E324" s="353">
        <f>LN_IV1-C324</f>
        <v>1444999.279177444</v>
      </c>
      <c r="F324" s="362">
        <f>IF(C324=0,0,E324/C324)</f>
        <v>0.10163526795894932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844</v>
      </c>
      <c r="C325" s="429">
        <f>C324+C322+C323</f>
        <v>22622519.916400373</v>
      </c>
      <c r="D325" s="429">
        <f>LN_IV1+LN_IV2+LN_IV3</f>
        <v>26000305.442619286</v>
      </c>
      <c r="E325" s="353">
        <f>LN_IV4-C325</f>
        <v>3377785.5262189135</v>
      </c>
      <c r="F325" s="362">
        <f>IF(C325=0,0,E325/C325)</f>
        <v>0.1493107548894304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845</v>
      </c>
      <c r="B327" s="446" t="s">
        <v>846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847</v>
      </c>
      <c r="C329" s="431">
        <v>10318573</v>
      </c>
      <c r="D329" s="431">
        <v>10433144</v>
      </c>
      <c r="E329" s="431">
        <f aca="true" t="shared" si="34" ref="E329:E335">D329-C329</f>
        <v>114571</v>
      </c>
      <c r="F329" s="462">
        <f aca="true" t="shared" si="35" ref="F329:F335">IF(C329=0,0,E329/C329)</f>
        <v>0.011103376406795784</v>
      </c>
    </row>
    <row r="330" spans="1:6" s="333" customFormat="1" ht="11.25" customHeight="1">
      <c r="A330" s="364">
        <v>2</v>
      </c>
      <c r="B330" s="360" t="s">
        <v>848</v>
      </c>
      <c r="C330" s="429">
        <v>17834516</v>
      </c>
      <c r="D330" s="429">
        <v>20683932</v>
      </c>
      <c r="E330" s="431">
        <f t="shared" si="34"/>
        <v>2849416</v>
      </c>
      <c r="F330" s="463">
        <f t="shared" si="35"/>
        <v>0.15976974087774515</v>
      </c>
    </row>
    <row r="331" spans="1:6" s="333" customFormat="1" ht="11.25" customHeight="1">
      <c r="A331" s="339">
        <v>3</v>
      </c>
      <c r="B331" s="360" t="s">
        <v>849</v>
      </c>
      <c r="C331" s="429">
        <v>309364455</v>
      </c>
      <c r="D331" s="429">
        <v>342945000</v>
      </c>
      <c r="E331" s="431">
        <f t="shared" si="34"/>
        <v>33580545</v>
      </c>
      <c r="F331" s="462">
        <f t="shared" si="35"/>
        <v>0.10854687556138277</v>
      </c>
    </row>
    <row r="332" spans="1:6" s="333" customFormat="1" ht="11.25" customHeight="1">
      <c r="A332" s="364">
        <v>4</v>
      </c>
      <c r="B332" s="360" t="s">
        <v>850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6" s="333" customFormat="1" ht="11.25" customHeight="1">
      <c r="A333" s="364">
        <v>5</v>
      </c>
      <c r="B333" s="360" t="s">
        <v>851</v>
      </c>
      <c r="C333" s="429">
        <v>717916546</v>
      </c>
      <c r="D333" s="429">
        <v>852499000</v>
      </c>
      <c r="E333" s="431">
        <f t="shared" si="34"/>
        <v>134582454</v>
      </c>
      <c r="F333" s="462">
        <f t="shared" si="35"/>
        <v>0.18746253272730673</v>
      </c>
    </row>
    <row r="334" spans="1:6" s="333" customFormat="1" ht="11.25" customHeight="1">
      <c r="A334" s="339">
        <v>6</v>
      </c>
      <c r="B334" s="360" t="s">
        <v>852</v>
      </c>
      <c r="C334" s="429">
        <v>-6139315</v>
      </c>
      <c r="D334" s="429">
        <v>-8736821</v>
      </c>
      <c r="E334" s="429">
        <f t="shared" si="34"/>
        <v>-2597506</v>
      </c>
      <c r="F334" s="463">
        <f t="shared" si="35"/>
        <v>0.4230937816352476</v>
      </c>
    </row>
    <row r="335" spans="1:6" s="333" customFormat="1" ht="11.25" customHeight="1">
      <c r="A335" s="364">
        <v>7</v>
      </c>
      <c r="B335" s="360" t="s">
        <v>853</v>
      </c>
      <c r="C335" s="429">
        <v>25918595</v>
      </c>
      <c r="D335" s="429">
        <v>30651000</v>
      </c>
      <c r="E335" s="429">
        <f t="shared" si="34"/>
        <v>4732405</v>
      </c>
      <c r="F335" s="462">
        <f t="shared" si="35"/>
        <v>0.1825872505820628</v>
      </c>
    </row>
    <row r="336" spans="1:6" s="453" customFormat="1" ht="14.25" customHeight="1">
      <c r="A336" s="464"/>
      <c r="B336" s="458"/>
      <c r="C336" s="465"/>
      <c r="F336" s="459"/>
    </row>
    <row r="337" spans="1:17" ht="12.75" customHeight="1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2:17" ht="11.25" customHeight="1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2:17" ht="11.25" customHeight="1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4"/>
      <c r="D388" s="369"/>
      <c r="E388" s="369"/>
      <c r="F388" s="369"/>
    </row>
    <row r="389" spans="2:6" ht="11.25" customHeight="1">
      <c r="B389" s="360"/>
      <c r="C389" s="471"/>
      <c r="D389" s="472"/>
      <c r="E389" s="472"/>
      <c r="F389" s="472"/>
    </row>
    <row r="390" spans="2:17" ht="11.25" customHeight="1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4"/>
      <c r="D394" s="369"/>
      <c r="E394" s="369"/>
      <c r="F394" s="369"/>
    </row>
    <row r="395" spans="2:17" ht="11.25" customHeight="1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5"/>
      <c r="D396" s="486"/>
      <c r="E396" s="486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8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7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5"/>
      <c r="D403" s="486"/>
      <c r="E403" s="486"/>
      <c r="F403" s="486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2"/>
      <c r="D414" s="386"/>
      <c r="E414" s="386"/>
      <c r="F414" s="386"/>
    </row>
    <row r="415" spans="2:6" ht="11.25" customHeight="1">
      <c r="B415" s="360"/>
      <c r="C415" s="482"/>
      <c r="D415" s="386"/>
      <c r="E415" s="386"/>
      <c r="F415" s="386"/>
    </row>
    <row r="416" spans="2:6" ht="11.25" customHeight="1">
      <c r="B416" s="360"/>
      <c r="C416" s="482"/>
      <c r="D416" s="386"/>
      <c r="E416" s="386"/>
      <c r="F416" s="386"/>
    </row>
    <row r="417" spans="2:6" ht="11.25" customHeight="1">
      <c r="B417" s="360"/>
      <c r="C417" s="482"/>
      <c r="D417" s="386"/>
      <c r="E417" s="386"/>
      <c r="F417" s="386"/>
    </row>
    <row r="418" spans="2:6" ht="11.25" customHeight="1">
      <c r="B418" s="360"/>
      <c r="C418" s="482"/>
      <c r="D418" s="386"/>
      <c r="E418" s="386"/>
      <c r="F418" s="386"/>
    </row>
    <row r="419" spans="2:6" ht="11.25" customHeight="1">
      <c r="B419" s="360"/>
      <c r="C419" s="482"/>
      <c r="D419" s="386"/>
      <c r="E419" s="386"/>
      <c r="F419" s="386"/>
    </row>
    <row r="420" spans="2:6" ht="11.25" customHeight="1">
      <c r="B420" s="360"/>
      <c r="C420" s="482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2"/>
      <c r="D423" s="386"/>
      <c r="E423" s="386"/>
      <c r="F423" s="386"/>
    </row>
    <row r="424" spans="2:6" ht="15" customHeight="1">
      <c r="B424" s="407"/>
      <c r="C424" s="482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FILING&amp;RSAINT VINCENT`S MEDICAL CENTER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1">
      <selection activeCell="A1" sqref="A1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8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115</v>
      </c>
      <c r="B2" s="710"/>
      <c r="C2" s="710"/>
      <c r="D2" s="710"/>
      <c r="E2" s="710"/>
    </row>
    <row r="3" spans="1:5" s="338" customFormat="1" ht="15.75" customHeight="1">
      <c r="A3" s="709" t="s">
        <v>706</v>
      </c>
      <c r="B3" s="709"/>
      <c r="C3" s="709"/>
      <c r="D3" s="709"/>
      <c r="E3" s="709"/>
    </row>
    <row r="4" spans="1:5" s="338" customFormat="1" ht="15.75" customHeight="1">
      <c r="A4" s="709" t="s">
        <v>117</v>
      </c>
      <c r="B4" s="709"/>
      <c r="C4" s="709"/>
      <c r="D4" s="709"/>
      <c r="E4" s="709"/>
    </row>
    <row r="5" spans="1:5" s="338" customFormat="1" ht="15.75" customHeight="1">
      <c r="A5" s="709" t="s">
        <v>854</v>
      </c>
      <c r="B5" s="709"/>
      <c r="C5" s="709"/>
      <c r="D5" s="709"/>
      <c r="E5" s="709"/>
    </row>
    <row r="6" spans="1:5" s="338" customFormat="1" ht="15.75" customHeight="1">
      <c r="A6" s="709" t="s">
        <v>855</v>
      </c>
      <c r="B6" s="709"/>
      <c r="C6" s="709"/>
      <c r="D6" s="709"/>
      <c r="E6" s="709"/>
    </row>
    <row r="7" spans="1:5" s="338" customFormat="1" ht="15.75" customHeight="1">
      <c r="A7" s="489"/>
      <c r="B7" s="123"/>
      <c r="C7" s="490"/>
      <c r="D7" s="489"/>
      <c r="E7" s="345"/>
    </row>
    <row r="8" spans="1:5" s="338" customFormat="1" ht="12.75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25" customHeight="1">
      <c r="A9" s="492" t="s">
        <v>123</v>
      </c>
      <c r="B9" s="493" t="s">
        <v>124</v>
      </c>
      <c r="C9" s="494" t="s">
        <v>856</v>
      </c>
      <c r="D9" s="494" t="s">
        <v>857</v>
      </c>
      <c r="E9" s="495" t="s">
        <v>858</v>
      </c>
    </row>
    <row r="10" spans="1:5" s="338" customFormat="1" ht="12.75">
      <c r="A10" s="496"/>
      <c r="B10" s="497"/>
      <c r="C10" s="498"/>
      <c r="D10" s="498"/>
      <c r="E10" s="499"/>
    </row>
    <row r="11" spans="1:5" s="338" customFormat="1" ht="15.75" customHeight="1">
      <c r="A11" s="500" t="s">
        <v>127</v>
      </c>
      <c r="B11" s="501" t="s">
        <v>859</v>
      </c>
      <c r="C11" s="502"/>
      <c r="D11" s="491"/>
      <c r="E11" s="499"/>
    </row>
    <row r="12" spans="1:5" s="503" customFormat="1" ht="12.75">
      <c r="A12" s="504"/>
      <c r="B12" s="499"/>
      <c r="C12" s="505"/>
      <c r="D12" s="340"/>
      <c r="E12" s="499"/>
    </row>
    <row r="13" spans="1:5" s="506" customFormat="1" ht="12.75">
      <c r="A13" s="508" t="s">
        <v>129</v>
      </c>
      <c r="B13" s="509" t="s">
        <v>860</v>
      </c>
      <c r="C13" s="510"/>
      <c r="D13" s="340"/>
      <c r="E13" s="511"/>
    </row>
    <row r="14" spans="1:5" s="506" customFormat="1" ht="12.75">
      <c r="A14" s="512">
        <v>1</v>
      </c>
      <c r="B14" s="511" t="s">
        <v>736</v>
      </c>
      <c r="C14" s="513">
        <v>161895222</v>
      </c>
      <c r="D14" s="513">
        <v>192685203</v>
      </c>
      <c r="E14" s="514">
        <f aca="true" t="shared" si="0" ref="E14:E22">D14-C14</f>
        <v>30789981</v>
      </c>
    </row>
    <row r="15" spans="1:5" s="506" customFormat="1" ht="12.75">
      <c r="A15" s="512">
        <v>2</v>
      </c>
      <c r="B15" s="511" t="s">
        <v>715</v>
      </c>
      <c r="C15" s="513">
        <v>292126995</v>
      </c>
      <c r="D15" s="515">
        <v>333759984</v>
      </c>
      <c r="E15" s="514">
        <f t="shared" si="0"/>
        <v>41632989</v>
      </c>
    </row>
    <row r="16" spans="1:5" s="506" customFormat="1" ht="12.75">
      <c r="A16" s="512">
        <v>3</v>
      </c>
      <c r="B16" s="511" t="s">
        <v>861</v>
      </c>
      <c r="C16" s="513">
        <v>60230293</v>
      </c>
      <c r="D16" s="515">
        <v>86720104</v>
      </c>
      <c r="E16" s="514">
        <f t="shared" si="0"/>
        <v>26489811</v>
      </c>
    </row>
    <row r="17" spans="1:5" s="506" customFormat="1" ht="12.75">
      <c r="A17" s="512">
        <v>4</v>
      </c>
      <c r="B17" s="511" t="s">
        <v>229</v>
      </c>
      <c r="C17" s="513">
        <v>49325466</v>
      </c>
      <c r="D17" s="515">
        <v>70140666</v>
      </c>
      <c r="E17" s="514">
        <f t="shared" si="0"/>
        <v>20815200</v>
      </c>
    </row>
    <row r="18" spans="1:5" s="506" customFormat="1" ht="12.75">
      <c r="A18" s="512">
        <v>5</v>
      </c>
      <c r="B18" s="511" t="s">
        <v>828</v>
      </c>
      <c r="C18" s="513">
        <v>10904827</v>
      </c>
      <c r="D18" s="515">
        <v>16579438</v>
      </c>
      <c r="E18" s="514">
        <f t="shared" si="0"/>
        <v>5674611</v>
      </c>
    </row>
    <row r="19" spans="1:5" s="506" customFormat="1" ht="12.75">
      <c r="A19" s="512">
        <v>6</v>
      </c>
      <c r="B19" s="511" t="s">
        <v>533</v>
      </c>
      <c r="C19" s="513">
        <v>171538</v>
      </c>
      <c r="D19" s="515">
        <v>360974</v>
      </c>
      <c r="E19" s="514">
        <f t="shared" si="0"/>
        <v>189436</v>
      </c>
    </row>
    <row r="20" spans="1:5" s="506" customFormat="1" ht="12.75">
      <c r="A20" s="512">
        <v>7</v>
      </c>
      <c r="B20" s="511" t="s">
        <v>843</v>
      </c>
      <c r="C20" s="513">
        <v>16126417</v>
      </c>
      <c r="D20" s="515">
        <v>20406154</v>
      </c>
      <c r="E20" s="514">
        <f t="shared" si="0"/>
        <v>4279737</v>
      </c>
    </row>
    <row r="21" spans="1:5" s="506" customFormat="1" ht="12.75">
      <c r="A21" s="512"/>
      <c r="B21" s="516" t="s">
        <v>862</v>
      </c>
      <c r="C21" s="517">
        <f>SUM(C15+C16+C19)</f>
        <v>352528826</v>
      </c>
      <c r="D21" s="517">
        <f>SUM(D15+D16+D19)</f>
        <v>420841062</v>
      </c>
      <c r="E21" s="517">
        <f t="shared" si="0"/>
        <v>68312236</v>
      </c>
    </row>
    <row r="22" spans="1:5" s="506" customFormat="1" ht="12.75">
      <c r="A22" s="512"/>
      <c r="B22" s="516" t="s">
        <v>802</v>
      </c>
      <c r="C22" s="517">
        <f>SUM(C14+C21)</f>
        <v>514424048</v>
      </c>
      <c r="D22" s="517">
        <f>SUM(D14+D21)</f>
        <v>613526265</v>
      </c>
      <c r="E22" s="517">
        <f t="shared" si="0"/>
        <v>99102217</v>
      </c>
    </row>
    <row r="23" spans="1:5" s="506" customFormat="1" ht="12.75">
      <c r="A23" s="512"/>
      <c r="B23" s="511"/>
      <c r="C23" s="511"/>
      <c r="D23" s="511"/>
      <c r="E23" s="511"/>
    </row>
    <row r="24" spans="1:5" s="506" customFormat="1" ht="12.75">
      <c r="A24" s="508" t="s">
        <v>141</v>
      </c>
      <c r="B24" s="509" t="s">
        <v>863</v>
      </c>
      <c r="C24" s="511"/>
      <c r="D24" s="511"/>
      <c r="E24" s="511"/>
    </row>
    <row r="25" spans="1:5" s="506" customFormat="1" ht="12.75">
      <c r="A25" s="512">
        <v>1</v>
      </c>
      <c r="B25" s="511" t="s">
        <v>736</v>
      </c>
      <c r="C25" s="513">
        <v>106804593</v>
      </c>
      <c r="D25" s="513">
        <v>123472848</v>
      </c>
      <c r="E25" s="514">
        <f aca="true" t="shared" si="1" ref="E25:E33">D25-C25</f>
        <v>16668255</v>
      </c>
    </row>
    <row r="26" spans="1:5" s="506" customFormat="1" ht="12.75">
      <c r="A26" s="512">
        <v>2</v>
      </c>
      <c r="B26" s="511" t="s">
        <v>715</v>
      </c>
      <c r="C26" s="513">
        <v>67154640</v>
      </c>
      <c r="D26" s="515">
        <v>80723437</v>
      </c>
      <c r="E26" s="514">
        <f t="shared" si="1"/>
        <v>13568797</v>
      </c>
    </row>
    <row r="27" spans="1:5" s="506" customFormat="1" ht="12.75">
      <c r="A27" s="512">
        <v>3</v>
      </c>
      <c r="B27" s="511" t="s">
        <v>861</v>
      </c>
      <c r="C27" s="513">
        <v>29323940</v>
      </c>
      <c r="D27" s="515">
        <v>34492677</v>
      </c>
      <c r="E27" s="514">
        <f t="shared" si="1"/>
        <v>5168737</v>
      </c>
    </row>
    <row r="28" spans="1:5" s="506" customFormat="1" ht="12.75">
      <c r="A28" s="512">
        <v>4</v>
      </c>
      <c r="B28" s="511" t="s">
        <v>229</v>
      </c>
      <c r="C28" s="513">
        <v>23106075</v>
      </c>
      <c r="D28" s="515">
        <v>26223645</v>
      </c>
      <c r="E28" s="514">
        <f t="shared" si="1"/>
        <v>3117570</v>
      </c>
    </row>
    <row r="29" spans="1:5" s="506" customFormat="1" ht="12.75">
      <c r="A29" s="512">
        <v>5</v>
      </c>
      <c r="B29" s="511" t="s">
        <v>828</v>
      </c>
      <c r="C29" s="513">
        <v>6217865</v>
      </c>
      <c r="D29" s="515">
        <v>8269032</v>
      </c>
      <c r="E29" s="514">
        <f t="shared" si="1"/>
        <v>2051167</v>
      </c>
    </row>
    <row r="30" spans="1:5" s="506" customFormat="1" ht="12.75">
      <c r="A30" s="512">
        <v>6</v>
      </c>
      <c r="B30" s="511" t="s">
        <v>533</v>
      </c>
      <c r="C30" s="513">
        <v>209325</v>
      </c>
      <c r="D30" s="515">
        <v>283642</v>
      </c>
      <c r="E30" s="514">
        <f t="shared" si="1"/>
        <v>74317</v>
      </c>
    </row>
    <row r="31" spans="1:5" s="506" customFormat="1" ht="12.75">
      <c r="A31" s="512">
        <v>7</v>
      </c>
      <c r="B31" s="511" t="s">
        <v>843</v>
      </c>
      <c r="C31" s="514">
        <v>18178406</v>
      </c>
      <c r="D31" s="518">
        <v>20686277</v>
      </c>
      <c r="E31" s="514">
        <f t="shared" si="1"/>
        <v>2507871</v>
      </c>
    </row>
    <row r="32" spans="1:5" s="506" customFormat="1" ht="12.75">
      <c r="A32" s="512"/>
      <c r="B32" s="516" t="s">
        <v>864</v>
      </c>
      <c r="C32" s="517">
        <f>SUM(C26+C27+C30)</f>
        <v>96687905</v>
      </c>
      <c r="D32" s="517">
        <f>SUM(D26+D27+D30)</f>
        <v>115499756</v>
      </c>
      <c r="E32" s="517">
        <f t="shared" si="1"/>
        <v>18811851</v>
      </c>
    </row>
    <row r="33" spans="1:5" s="506" customFormat="1" ht="12.75">
      <c r="A33" s="512"/>
      <c r="B33" s="516" t="s">
        <v>808</v>
      </c>
      <c r="C33" s="517">
        <f>SUM(C25+C32)</f>
        <v>203492498</v>
      </c>
      <c r="D33" s="517">
        <f>SUM(D25+D32)</f>
        <v>238972604</v>
      </c>
      <c r="E33" s="517">
        <f t="shared" si="1"/>
        <v>35480106</v>
      </c>
    </row>
    <row r="34" spans="1:5" s="506" customFormat="1" ht="12.75">
      <c r="A34" s="512"/>
      <c r="B34" s="511"/>
      <c r="C34" s="511"/>
      <c r="D34" s="511"/>
      <c r="E34" s="511"/>
    </row>
    <row r="35" spans="1:5" s="506" customFormat="1" ht="12.75">
      <c r="A35" s="508" t="s">
        <v>151</v>
      </c>
      <c r="B35" s="509" t="s">
        <v>733</v>
      </c>
      <c r="C35" s="514"/>
      <c r="D35" s="514"/>
      <c r="E35" s="511"/>
    </row>
    <row r="36" spans="1:5" s="506" customFormat="1" ht="12.75">
      <c r="A36" s="512">
        <v>1</v>
      </c>
      <c r="B36" s="511" t="s">
        <v>865</v>
      </c>
      <c r="C36" s="514">
        <f aca="true" t="shared" si="2" ref="C36:D42">C14+C25</f>
        <v>268699815</v>
      </c>
      <c r="D36" s="514">
        <f t="shared" si="2"/>
        <v>316158051</v>
      </c>
      <c r="E36" s="514">
        <f aca="true" t="shared" si="3" ref="E36:E44">D36-C36</f>
        <v>47458236</v>
      </c>
    </row>
    <row r="37" spans="1:5" s="506" customFormat="1" ht="12.75">
      <c r="A37" s="512">
        <v>2</v>
      </c>
      <c r="B37" s="511" t="s">
        <v>866</v>
      </c>
      <c r="C37" s="514">
        <f t="shared" si="2"/>
        <v>359281635</v>
      </c>
      <c r="D37" s="514">
        <f t="shared" si="2"/>
        <v>414483421</v>
      </c>
      <c r="E37" s="514">
        <f t="shared" si="3"/>
        <v>55201786</v>
      </c>
    </row>
    <row r="38" spans="1:5" s="506" customFormat="1" ht="12.75">
      <c r="A38" s="512">
        <v>3</v>
      </c>
      <c r="B38" s="511" t="s">
        <v>867</v>
      </c>
      <c r="C38" s="514">
        <f t="shared" si="2"/>
        <v>89554233</v>
      </c>
      <c r="D38" s="514">
        <f t="shared" si="2"/>
        <v>121212781</v>
      </c>
      <c r="E38" s="514">
        <f t="shared" si="3"/>
        <v>31658548</v>
      </c>
    </row>
    <row r="39" spans="1:5" s="506" customFormat="1" ht="12.75">
      <c r="A39" s="512">
        <v>4</v>
      </c>
      <c r="B39" s="511" t="s">
        <v>868</v>
      </c>
      <c r="C39" s="514">
        <f t="shared" si="2"/>
        <v>72431541</v>
      </c>
      <c r="D39" s="514">
        <f t="shared" si="2"/>
        <v>96364311</v>
      </c>
      <c r="E39" s="514">
        <f t="shared" si="3"/>
        <v>23932770</v>
      </c>
    </row>
    <row r="40" spans="1:5" s="506" customFormat="1" ht="12.75">
      <c r="A40" s="512">
        <v>5</v>
      </c>
      <c r="B40" s="511" t="s">
        <v>869</v>
      </c>
      <c r="C40" s="514">
        <f t="shared" si="2"/>
        <v>17122692</v>
      </c>
      <c r="D40" s="514">
        <f t="shared" si="2"/>
        <v>24848470</v>
      </c>
      <c r="E40" s="514">
        <f t="shared" si="3"/>
        <v>7725778</v>
      </c>
    </row>
    <row r="41" spans="1:5" s="506" customFormat="1" ht="12.75">
      <c r="A41" s="512">
        <v>6</v>
      </c>
      <c r="B41" s="511" t="s">
        <v>870</v>
      </c>
      <c r="C41" s="514">
        <f t="shared" si="2"/>
        <v>380863</v>
      </c>
      <c r="D41" s="514">
        <f t="shared" si="2"/>
        <v>644616</v>
      </c>
      <c r="E41" s="514">
        <f t="shared" si="3"/>
        <v>263753</v>
      </c>
    </row>
    <row r="42" spans="1:5" s="506" customFormat="1" ht="12.75">
      <c r="A42" s="512">
        <v>7</v>
      </c>
      <c r="B42" s="511" t="s">
        <v>871</v>
      </c>
      <c r="C42" s="514">
        <f t="shared" si="2"/>
        <v>34304823</v>
      </c>
      <c r="D42" s="514">
        <f t="shared" si="2"/>
        <v>41092431</v>
      </c>
      <c r="E42" s="514">
        <f t="shared" si="3"/>
        <v>6787608</v>
      </c>
    </row>
    <row r="43" spans="1:5" s="506" customFormat="1" ht="12.75">
      <c r="A43" s="512"/>
      <c r="B43" s="516" t="s">
        <v>872</v>
      </c>
      <c r="C43" s="517">
        <f>SUM(C37+C38+C41)</f>
        <v>449216731</v>
      </c>
      <c r="D43" s="517">
        <f>SUM(D37+D38+D41)</f>
        <v>536340818</v>
      </c>
      <c r="E43" s="517">
        <f t="shared" si="3"/>
        <v>87124087</v>
      </c>
    </row>
    <row r="44" spans="1:5" s="506" customFormat="1" ht="12.75">
      <c r="A44" s="512"/>
      <c r="B44" s="516" t="s">
        <v>810</v>
      </c>
      <c r="C44" s="517">
        <f>SUM(C36+C43)</f>
        <v>717916546</v>
      </c>
      <c r="D44" s="517">
        <f>SUM(D36+D43)</f>
        <v>852498869</v>
      </c>
      <c r="E44" s="517">
        <f t="shared" si="3"/>
        <v>134582323</v>
      </c>
    </row>
    <row r="45" spans="1:5" s="506" customFormat="1" ht="12.75">
      <c r="A45" s="512"/>
      <c r="B45" s="511"/>
      <c r="C45" s="514"/>
      <c r="D45" s="515"/>
      <c r="E45" s="511"/>
    </row>
    <row r="46" spans="1:5" s="506" customFormat="1" ht="12.75">
      <c r="A46" s="508" t="s">
        <v>436</v>
      </c>
      <c r="B46" s="509" t="s">
        <v>873</v>
      </c>
      <c r="C46" s="499"/>
      <c r="D46" s="515"/>
      <c r="E46" s="511"/>
    </row>
    <row r="47" spans="1:5" s="506" customFormat="1" ht="12" customHeight="1">
      <c r="A47" s="512">
        <v>1</v>
      </c>
      <c r="B47" s="511" t="s">
        <v>736</v>
      </c>
      <c r="C47" s="513">
        <v>81504099</v>
      </c>
      <c r="D47" s="513">
        <v>91369062</v>
      </c>
      <c r="E47" s="514">
        <f aca="true" t="shared" si="4" ref="E47:E55">D47-C47</f>
        <v>9864963</v>
      </c>
    </row>
    <row r="48" spans="1:5" s="506" customFormat="1" ht="12.75">
      <c r="A48" s="512">
        <v>2</v>
      </c>
      <c r="B48" s="511" t="s">
        <v>715</v>
      </c>
      <c r="C48" s="513">
        <v>119066796</v>
      </c>
      <c r="D48" s="515">
        <v>120803786</v>
      </c>
      <c r="E48" s="514">
        <f t="shared" si="4"/>
        <v>1736990</v>
      </c>
    </row>
    <row r="49" spans="1:5" s="506" customFormat="1" ht="12.75">
      <c r="A49" s="512">
        <v>3</v>
      </c>
      <c r="B49" s="511" t="s">
        <v>861</v>
      </c>
      <c r="C49" s="513">
        <v>13533295</v>
      </c>
      <c r="D49" s="515">
        <v>21968259</v>
      </c>
      <c r="E49" s="514">
        <f t="shared" si="4"/>
        <v>8434964</v>
      </c>
    </row>
    <row r="50" spans="1:5" s="506" customFormat="1" ht="12.75">
      <c r="A50" s="512">
        <v>4</v>
      </c>
      <c r="B50" s="511" t="s">
        <v>229</v>
      </c>
      <c r="C50" s="513">
        <v>12523236</v>
      </c>
      <c r="D50" s="515">
        <v>19983110</v>
      </c>
      <c r="E50" s="514">
        <f t="shared" si="4"/>
        <v>7459874</v>
      </c>
    </row>
    <row r="51" spans="1:5" s="506" customFormat="1" ht="12.75">
      <c r="A51" s="512">
        <v>5</v>
      </c>
      <c r="B51" s="511" t="s">
        <v>828</v>
      </c>
      <c r="C51" s="513">
        <v>1010059</v>
      </c>
      <c r="D51" s="515">
        <v>1985149</v>
      </c>
      <c r="E51" s="514">
        <f t="shared" si="4"/>
        <v>975090</v>
      </c>
    </row>
    <row r="52" spans="1:5" s="506" customFormat="1" ht="12.75">
      <c r="A52" s="512">
        <v>6</v>
      </c>
      <c r="B52" s="511" t="s">
        <v>533</v>
      </c>
      <c r="C52" s="513">
        <v>9078</v>
      </c>
      <c r="D52" s="515">
        <v>121850</v>
      </c>
      <c r="E52" s="514">
        <f t="shared" si="4"/>
        <v>112772</v>
      </c>
    </row>
    <row r="53" spans="1:5" s="506" customFormat="1" ht="12.75">
      <c r="A53" s="512">
        <v>7</v>
      </c>
      <c r="B53" s="511" t="s">
        <v>843</v>
      </c>
      <c r="C53" s="513">
        <v>2092200</v>
      </c>
      <c r="D53" s="515">
        <v>1590034</v>
      </c>
      <c r="E53" s="514">
        <f t="shared" si="4"/>
        <v>-502166</v>
      </c>
    </row>
    <row r="54" spans="1:5" s="506" customFormat="1" ht="12.75">
      <c r="A54" s="512"/>
      <c r="B54" s="516" t="s">
        <v>874</v>
      </c>
      <c r="C54" s="517">
        <f>SUM(C48+C49+C52)</f>
        <v>132609169</v>
      </c>
      <c r="D54" s="517">
        <f>SUM(D48+D49+D52)</f>
        <v>142893895</v>
      </c>
      <c r="E54" s="517">
        <f t="shared" si="4"/>
        <v>10284726</v>
      </c>
    </row>
    <row r="55" spans="1:5" s="506" customFormat="1" ht="12.75">
      <c r="A55" s="512"/>
      <c r="B55" s="516" t="s">
        <v>803</v>
      </c>
      <c r="C55" s="517">
        <f>SUM(C47+C54)</f>
        <v>214113268</v>
      </c>
      <c r="D55" s="517">
        <f>SUM(D47+D54)</f>
        <v>234262957</v>
      </c>
      <c r="E55" s="517">
        <f t="shared" si="4"/>
        <v>20149689</v>
      </c>
    </row>
    <row r="56" spans="1:5" s="506" customFormat="1" ht="12.75">
      <c r="A56" s="512"/>
      <c r="B56" s="511"/>
      <c r="C56" s="511"/>
      <c r="D56" s="515"/>
      <c r="E56" s="511"/>
    </row>
    <row r="57" spans="1:5" s="506" customFormat="1" ht="12.75">
      <c r="A57" s="508" t="s">
        <v>457</v>
      </c>
      <c r="B57" s="509" t="s">
        <v>875</v>
      </c>
      <c r="C57" s="499"/>
      <c r="D57" s="515"/>
      <c r="E57" s="511"/>
    </row>
    <row r="58" spans="1:5" s="506" customFormat="1" ht="12.75">
      <c r="A58" s="512">
        <v>1</v>
      </c>
      <c r="B58" s="511" t="s">
        <v>736</v>
      </c>
      <c r="C58" s="513">
        <v>47439640</v>
      </c>
      <c r="D58" s="513">
        <v>50855109</v>
      </c>
      <c r="E58" s="514">
        <f aca="true" t="shared" si="5" ref="E58:E66">D58-C58</f>
        <v>3415469</v>
      </c>
    </row>
    <row r="59" spans="1:5" s="506" customFormat="1" ht="12.75">
      <c r="A59" s="512">
        <v>2</v>
      </c>
      <c r="B59" s="511" t="s">
        <v>715</v>
      </c>
      <c r="C59" s="513">
        <v>19509328</v>
      </c>
      <c r="D59" s="515">
        <v>24868355</v>
      </c>
      <c r="E59" s="514">
        <f t="shared" si="5"/>
        <v>5359027</v>
      </c>
    </row>
    <row r="60" spans="1:5" s="506" customFormat="1" ht="12.75">
      <c r="A60" s="512">
        <v>3</v>
      </c>
      <c r="B60" s="511" t="s">
        <v>861</v>
      </c>
      <c r="C60" s="513">
        <f>C61+C62</f>
        <v>8103594</v>
      </c>
      <c r="D60" s="515">
        <f>D61+D62</f>
        <v>9882678</v>
      </c>
      <c r="E60" s="514">
        <f t="shared" si="5"/>
        <v>1779084</v>
      </c>
    </row>
    <row r="61" spans="1:5" s="506" customFormat="1" ht="12.75">
      <c r="A61" s="512">
        <v>4</v>
      </c>
      <c r="B61" s="511" t="s">
        <v>229</v>
      </c>
      <c r="C61" s="513">
        <v>6871918</v>
      </c>
      <c r="D61" s="515">
        <v>8456331</v>
      </c>
      <c r="E61" s="514">
        <f t="shared" si="5"/>
        <v>1584413</v>
      </c>
    </row>
    <row r="62" spans="1:5" s="506" customFormat="1" ht="12.75">
      <c r="A62" s="512">
        <v>5</v>
      </c>
      <c r="B62" s="511" t="s">
        <v>828</v>
      </c>
      <c r="C62" s="513">
        <v>1231676</v>
      </c>
      <c r="D62" s="515">
        <v>1426347</v>
      </c>
      <c r="E62" s="514">
        <f t="shared" si="5"/>
        <v>194671</v>
      </c>
    </row>
    <row r="63" spans="1:5" s="506" customFormat="1" ht="12.75">
      <c r="A63" s="512">
        <v>6</v>
      </c>
      <c r="B63" s="511" t="s">
        <v>533</v>
      </c>
      <c r="C63" s="513">
        <v>64863</v>
      </c>
      <c r="D63" s="515">
        <v>101544</v>
      </c>
      <c r="E63" s="514">
        <f t="shared" si="5"/>
        <v>36681</v>
      </c>
    </row>
    <row r="64" spans="1:5" s="506" customFormat="1" ht="12.75">
      <c r="A64" s="512">
        <v>7</v>
      </c>
      <c r="B64" s="511" t="s">
        <v>843</v>
      </c>
      <c r="C64" s="513">
        <v>1732472</v>
      </c>
      <c r="D64" s="515">
        <v>1462161</v>
      </c>
      <c r="E64" s="514">
        <f t="shared" si="5"/>
        <v>-270311</v>
      </c>
    </row>
    <row r="65" spans="1:5" s="506" customFormat="1" ht="12.75">
      <c r="A65" s="512"/>
      <c r="B65" s="516" t="s">
        <v>876</v>
      </c>
      <c r="C65" s="517">
        <f>SUM(C59+C60+C63)</f>
        <v>27677785</v>
      </c>
      <c r="D65" s="517">
        <f>SUM(D59+D60+D63)</f>
        <v>34852577</v>
      </c>
      <c r="E65" s="517">
        <f t="shared" si="5"/>
        <v>7174792</v>
      </c>
    </row>
    <row r="66" spans="1:5" s="506" customFormat="1" ht="12.75">
      <c r="A66" s="512"/>
      <c r="B66" s="516" t="s">
        <v>809</v>
      </c>
      <c r="C66" s="517">
        <f>SUM(C58+C65)</f>
        <v>75117425</v>
      </c>
      <c r="D66" s="517">
        <f>SUM(D58+D65)</f>
        <v>85707686</v>
      </c>
      <c r="E66" s="517">
        <f t="shared" si="5"/>
        <v>10590261</v>
      </c>
    </row>
    <row r="67" spans="1:5" ht="11.25" customHeight="1">
      <c r="A67" s="502"/>
      <c r="B67" s="519"/>
      <c r="C67" s="520"/>
      <c r="D67" s="520"/>
      <c r="E67" s="520"/>
    </row>
    <row r="68" spans="1:5" s="506" customFormat="1" ht="12.75">
      <c r="A68" s="508" t="s">
        <v>469</v>
      </c>
      <c r="B68" s="521" t="s">
        <v>734</v>
      </c>
      <c r="C68" s="511"/>
      <c r="D68" s="511"/>
      <c r="E68" s="511"/>
    </row>
    <row r="69" spans="1:5" s="506" customFormat="1" ht="12.75">
      <c r="A69" s="512">
        <v>1</v>
      </c>
      <c r="B69" s="511" t="s">
        <v>865</v>
      </c>
      <c r="C69" s="514">
        <f aca="true" t="shared" si="6" ref="C69:D75">C47+C58</f>
        <v>128943739</v>
      </c>
      <c r="D69" s="514">
        <f t="shared" si="6"/>
        <v>142224171</v>
      </c>
      <c r="E69" s="514">
        <f aca="true" t="shared" si="7" ref="E69:E77">D69-C69</f>
        <v>13280432</v>
      </c>
    </row>
    <row r="70" spans="1:5" s="506" customFormat="1" ht="12.75">
      <c r="A70" s="512">
        <v>2</v>
      </c>
      <c r="B70" s="511" t="s">
        <v>866</v>
      </c>
      <c r="C70" s="514">
        <f t="shared" si="6"/>
        <v>138576124</v>
      </c>
      <c r="D70" s="514">
        <f t="shared" si="6"/>
        <v>145672141</v>
      </c>
      <c r="E70" s="514">
        <f t="shared" si="7"/>
        <v>7096017</v>
      </c>
    </row>
    <row r="71" spans="1:5" s="506" customFormat="1" ht="12.75">
      <c r="A71" s="512">
        <v>3</v>
      </c>
      <c r="B71" s="511" t="s">
        <v>867</v>
      </c>
      <c r="C71" s="514">
        <f t="shared" si="6"/>
        <v>21636889</v>
      </c>
      <c r="D71" s="514">
        <f t="shared" si="6"/>
        <v>31850937</v>
      </c>
      <c r="E71" s="514">
        <f t="shared" si="7"/>
        <v>10214048</v>
      </c>
    </row>
    <row r="72" spans="1:5" s="506" customFormat="1" ht="12.75">
      <c r="A72" s="512">
        <v>4</v>
      </c>
      <c r="B72" s="511" t="s">
        <v>868</v>
      </c>
      <c r="C72" s="514">
        <f t="shared" si="6"/>
        <v>19395154</v>
      </c>
      <c r="D72" s="514">
        <f t="shared" si="6"/>
        <v>28439441</v>
      </c>
      <c r="E72" s="514">
        <f t="shared" si="7"/>
        <v>9044287</v>
      </c>
    </row>
    <row r="73" spans="1:5" s="506" customFormat="1" ht="12.75">
      <c r="A73" s="512">
        <v>5</v>
      </c>
      <c r="B73" s="511" t="s">
        <v>869</v>
      </c>
      <c r="C73" s="514">
        <f t="shared" si="6"/>
        <v>2241735</v>
      </c>
      <c r="D73" s="514">
        <f t="shared" si="6"/>
        <v>3411496</v>
      </c>
      <c r="E73" s="514">
        <f t="shared" si="7"/>
        <v>1169761</v>
      </c>
    </row>
    <row r="74" spans="1:5" s="506" customFormat="1" ht="12.75">
      <c r="A74" s="512">
        <v>6</v>
      </c>
      <c r="B74" s="511" t="s">
        <v>870</v>
      </c>
      <c r="C74" s="514">
        <f t="shared" si="6"/>
        <v>73941</v>
      </c>
      <c r="D74" s="514">
        <f t="shared" si="6"/>
        <v>223394</v>
      </c>
      <c r="E74" s="514">
        <f t="shared" si="7"/>
        <v>149453</v>
      </c>
    </row>
    <row r="75" spans="1:5" s="506" customFormat="1" ht="12.75">
      <c r="A75" s="512">
        <v>7</v>
      </c>
      <c r="B75" s="511" t="s">
        <v>871</v>
      </c>
      <c r="C75" s="514">
        <f t="shared" si="6"/>
        <v>3824672</v>
      </c>
      <c r="D75" s="514">
        <f t="shared" si="6"/>
        <v>3052195</v>
      </c>
      <c r="E75" s="514">
        <f t="shared" si="7"/>
        <v>-772477</v>
      </c>
    </row>
    <row r="76" spans="1:5" s="506" customFormat="1" ht="12.75">
      <c r="A76" s="512"/>
      <c r="B76" s="516" t="s">
        <v>877</v>
      </c>
      <c r="C76" s="517">
        <f>SUM(C70+C71+C74)</f>
        <v>160286954</v>
      </c>
      <c r="D76" s="517">
        <f>SUM(D70+D71+D74)</f>
        <v>177746472</v>
      </c>
      <c r="E76" s="517">
        <f t="shared" si="7"/>
        <v>17459518</v>
      </c>
    </row>
    <row r="77" spans="1:5" s="506" customFormat="1" ht="12.75">
      <c r="A77" s="512"/>
      <c r="B77" s="516" t="s">
        <v>811</v>
      </c>
      <c r="C77" s="517">
        <f>SUM(C69+C76)</f>
        <v>289230693</v>
      </c>
      <c r="D77" s="517">
        <f>SUM(D69+D76)</f>
        <v>319970643</v>
      </c>
      <c r="E77" s="517">
        <f t="shared" si="7"/>
        <v>30739950</v>
      </c>
    </row>
    <row r="78" spans="1:5" s="506" customFormat="1" ht="12.75">
      <c r="A78" s="505"/>
      <c r="B78" s="510"/>
      <c r="C78" s="491"/>
      <c r="D78" s="491"/>
      <c r="E78" s="511"/>
    </row>
    <row r="79" spans="1:5" s="506" customFormat="1" ht="15.75" customHeight="1">
      <c r="A79" s="500" t="s">
        <v>159</v>
      </c>
      <c r="B79" s="501" t="s">
        <v>878</v>
      </c>
      <c r="C79" s="340"/>
      <c r="D79" s="340"/>
      <c r="E79" s="511"/>
    </row>
    <row r="80" spans="1:5" s="506" customFormat="1" ht="12.75">
      <c r="A80" s="505"/>
      <c r="B80" s="510"/>
      <c r="C80" s="340"/>
      <c r="D80" s="340"/>
      <c r="E80" s="511"/>
    </row>
    <row r="81" spans="1:5" s="506" customFormat="1" ht="12.75">
      <c r="A81" s="508" t="s">
        <v>129</v>
      </c>
      <c r="B81" s="522" t="s">
        <v>879</v>
      </c>
      <c r="C81" s="510"/>
      <c r="D81" s="510"/>
      <c r="E81" s="511"/>
    </row>
    <row r="82" spans="1:5" s="506" customFormat="1" ht="12.75">
      <c r="A82" s="512"/>
      <c r="B82" s="511"/>
      <c r="C82" s="514"/>
      <c r="D82" s="514"/>
      <c r="E82" s="511"/>
    </row>
    <row r="83" spans="1:5" s="506" customFormat="1" ht="12.75">
      <c r="A83" s="512">
        <v>1</v>
      </c>
      <c r="B83" s="511" t="s">
        <v>736</v>
      </c>
      <c r="C83" s="523">
        <f aca="true" t="shared" si="8" ref="C83:D89">IF(C$44=0,0,C14/C$44)</f>
        <v>0.22550702153617727</v>
      </c>
      <c r="D83" s="523">
        <f t="shared" si="8"/>
        <v>0.22602399839664772</v>
      </c>
      <c r="E83" s="523">
        <f aca="true" t="shared" si="9" ref="E83:E91">D83-C83</f>
        <v>0.0005169768604704472</v>
      </c>
    </row>
    <row r="84" spans="1:5" s="506" customFormat="1" ht="12.75">
      <c r="A84" s="512">
        <v>2</v>
      </c>
      <c r="B84" s="511" t="s">
        <v>715</v>
      </c>
      <c r="C84" s="523">
        <f t="shared" si="8"/>
        <v>0.406909405595452</v>
      </c>
      <c r="D84" s="523">
        <f t="shared" si="8"/>
        <v>0.39150783201801526</v>
      </c>
      <c r="E84" s="523">
        <f t="shared" si="9"/>
        <v>-0.015401573577436767</v>
      </c>
    </row>
    <row r="85" spans="1:5" s="506" customFormat="1" ht="12.75">
      <c r="A85" s="512">
        <v>3</v>
      </c>
      <c r="B85" s="511" t="s">
        <v>861</v>
      </c>
      <c r="C85" s="523">
        <f t="shared" si="8"/>
        <v>0.0838959532769983</v>
      </c>
      <c r="D85" s="523">
        <f t="shared" si="8"/>
        <v>0.10172459712670892</v>
      </c>
      <c r="E85" s="523">
        <f t="shared" si="9"/>
        <v>0.017828643849710626</v>
      </c>
    </row>
    <row r="86" spans="1:5" s="506" customFormat="1" ht="12.75">
      <c r="A86" s="512">
        <v>4</v>
      </c>
      <c r="B86" s="511" t="s">
        <v>229</v>
      </c>
      <c r="C86" s="523">
        <f t="shared" si="8"/>
        <v>0.06870640644072856</v>
      </c>
      <c r="D86" s="523">
        <f t="shared" si="8"/>
        <v>0.08227655021088362</v>
      </c>
      <c r="E86" s="523">
        <f t="shared" si="9"/>
        <v>0.013570143770155058</v>
      </c>
    </row>
    <row r="87" spans="1:5" s="506" customFormat="1" ht="12.75">
      <c r="A87" s="512">
        <v>5</v>
      </c>
      <c r="B87" s="511" t="s">
        <v>828</v>
      </c>
      <c r="C87" s="523">
        <f t="shared" si="8"/>
        <v>0.015189546836269741</v>
      </c>
      <c r="D87" s="523">
        <f t="shared" si="8"/>
        <v>0.019448046915825294</v>
      </c>
      <c r="E87" s="523">
        <f t="shared" si="9"/>
        <v>0.004258500079555553</v>
      </c>
    </row>
    <row r="88" spans="1:5" s="506" customFormat="1" ht="12.75">
      <c r="A88" s="512">
        <v>6</v>
      </c>
      <c r="B88" s="511" t="s">
        <v>533</v>
      </c>
      <c r="C88" s="523">
        <f t="shared" si="8"/>
        <v>0.0002389386356335629</v>
      </c>
      <c r="D88" s="523">
        <f t="shared" si="8"/>
        <v>0.00042343047378283385</v>
      </c>
      <c r="E88" s="523">
        <f t="shared" si="9"/>
        <v>0.00018449183814927094</v>
      </c>
    </row>
    <row r="89" spans="1:5" s="506" customFormat="1" ht="12.75">
      <c r="A89" s="512">
        <v>7</v>
      </c>
      <c r="B89" s="511" t="s">
        <v>843</v>
      </c>
      <c r="C89" s="523">
        <f t="shared" si="8"/>
        <v>0.02246280168614473</v>
      </c>
      <c r="D89" s="523">
        <f t="shared" si="8"/>
        <v>0.023936869293371462</v>
      </c>
      <c r="E89" s="523">
        <f t="shared" si="9"/>
        <v>0.0014740676072267332</v>
      </c>
    </row>
    <row r="90" spans="1:5" s="506" customFormat="1" ht="12.75">
      <c r="A90" s="512"/>
      <c r="B90" s="516" t="s">
        <v>880</v>
      </c>
      <c r="C90" s="524">
        <f>SUM(C84+C85+C88)</f>
        <v>0.49104429750808387</v>
      </c>
      <c r="D90" s="524">
        <f>SUM(D84+D85+D88)</f>
        <v>0.49365585961850705</v>
      </c>
      <c r="E90" s="525">
        <f t="shared" si="9"/>
        <v>0.0026115621104231823</v>
      </c>
    </row>
    <row r="91" spans="1:5" s="506" customFormat="1" ht="12.75">
      <c r="A91" s="512"/>
      <c r="B91" s="516" t="s">
        <v>881</v>
      </c>
      <c r="C91" s="524">
        <f>SUM(C83+C90)</f>
        <v>0.7165513190442612</v>
      </c>
      <c r="D91" s="524">
        <f>SUM(D83+D90)</f>
        <v>0.7196798580151548</v>
      </c>
      <c r="E91" s="525">
        <f t="shared" si="9"/>
        <v>0.0031285389708936018</v>
      </c>
    </row>
    <row r="92" spans="1:5" s="506" customFormat="1" ht="12.75">
      <c r="A92" s="512"/>
      <c r="B92" s="499"/>
      <c r="C92" s="526"/>
      <c r="D92" s="526"/>
      <c r="E92" s="516"/>
    </row>
    <row r="93" spans="1:5" s="506" customFormat="1" ht="12.75">
      <c r="A93" s="508" t="s">
        <v>141</v>
      </c>
      <c r="B93" s="522" t="s">
        <v>882</v>
      </c>
      <c r="C93" s="526"/>
      <c r="D93" s="526"/>
      <c r="E93" s="516"/>
    </row>
    <row r="94" spans="1:5" s="506" customFormat="1" ht="12.75">
      <c r="A94" s="512"/>
      <c r="B94" s="511"/>
      <c r="C94" s="526"/>
      <c r="D94" s="526"/>
      <c r="E94" s="516"/>
    </row>
    <row r="95" spans="1:5" s="506" customFormat="1" ht="12.75">
      <c r="A95" s="512">
        <v>1</v>
      </c>
      <c r="B95" s="511" t="s">
        <v>736</v>
      </c>
      <c r="C95" s="523">
        <f aca="true" t="shared" si="10" ref="C95:D101">IF(C$44=0,0,C25/C$44)</f>
        <v>0.14877020678110964</v>
      </c>
      <c r="D95" s="523">
        <f t="shared" si="10"/>
        <v>0.14483637748966913</v>
      </c>
      <c r="E95" s="523">
        <f aca="true" t="shared" si="11" ref="E95:E103">D95-C95</f>
        <v>-0.00393382929144051</v>
      </c>
    </row>
    <row r="96" spans="1:5" s="506" customFormat="1" ht="12.75">
      <c r="A96" s="512">
        <v>2</v>
      </c>
      <c r="B96" s="511" t="s">
        <v>715</v>
      </c>
      <c r="C96" s="523">
        <f t="shared" si="10"/>
        <v>0.09354101165959197</v>
      </c>
      <c r="D96" s="523">
        <f t="shared" si="10"/>
        <v>0.09469037430476639</v>
      </c>
      <c r="E96" s="523">
        <f t="shared" si="11"/>
        <v>0.0011493626451744149</v>
      </c>
    </row>
    <row r="97" spans="1:5" s="506" customFormat="1" ht="12.75">
      <c r="A97" s="512">
        <v>3</v>
      </c>
      <c r="B97" s="511" t="s">
        <v>861</v>
      </c>
      <c r="C97" s="523">
        <f t="shared" si="10"/>
        <v>0.04084588962795684</v>
      </c>
      <c r="D97" s="523">
        <f t="shared" si="10"/>
        <v>0.04046067186043387</v>
      </c>
      <c r="E97" s="523">
        <f t="shared" si="11"/>
        <v>-0.00038521776752297593</v>
      </c>
    </row>
    <row r="98" spans="1:5" s="506" customFormat="1" ht="12.75">
      <c r="A98" s="512">
        <v>4</v>
      </c>
      <c r="B98" s="511" t="s">
        <v>229</v>
      </c>
      <c r="C98" s="523">
        <f t="shared" si="10"/>
        <v>0.03218490384257002</v>
      </c>
      <c r="D98" s="523">
        <f t="shared" si="10"/>
        <v>0.030760914710374825</v>
      </c>
      <c r="E98" s="523">
        <f t="shared" si="11"/>
        <v>-0.0014239891321951963</v>
      </c>
    </row>
    <row r="99" spans="1:5" s="506" customFormat="1" ht="12.75">
      <c r="A99" s="512">
        <v>5</v>
      </c>
      <c r="B99" s="511" t="s">
        <v>828</v>
      </c>
      <c r="C99" s="523">
        <f t="shared" si="10"/>
        <v>0.008660985785386816</v>
      </c>
      <c r="D99" s="523">
        <f t="shared" si="10"/>
        <v>0.009699757150059047</v>
      </c>
      <c r="E99" s="523">
        <f t="shared" si="11"/>
        <v>0.0010387713646722307</v>
      </c>
    </row>
    <row r="100" spans="1:5" s="506" customFormat="1" ht="12.75">
      <c r="A100" s="512">
        <v>6</v>
      </c>
      <c r="B100" s="511" t="s">
        <v>533</v>
      </c>
      <c r="C100" s="523">
        <f t="shared" si="10"/>
        <v>0.00029157288708038775</v>
      </c>
      <c r="D100" s="523">
        <f t="shared" si="10"/>
        <v>0.0003327183299758724</v>
      </c>
      <c r="E100" s="523">
        <f t="shared" si="11"/>
        <v>4.114544289548464E-05</v>
      </c>
    </row>
    <row r="101" spans="1:5" s="506" customFormat="1" ht="12.75">
      <c r="A101" s="512">
        <v>7</v>
      </c>
      <c r="B101" s="511" t="s">
        <v>843</v>
      </c>
      <c r="C101" s="523">
        <f t="shared" si="10"/>
        <v>0.025321057302947297</v>
      </c>
      <c r="D101" s="523">
        <f t="shared" si="10"/>
        <v>0.024265459758633416</v>
      </c>
      <c r="E101" s="523">
        <f t="shared" si="11"/>
        <v>-0.0010555975443138806</v>
      </c>
    </row>
    <row r="102" spans="1:5" s="506" customFormat="1" ht="12.75">
      <c r="A102" s="512"/>
      <c r="B102" s="516" t="s">
        <v>883</v>
      </c>
      <c r="C102" s="524">
        <f>SUM(C96+C97+C100)</f>
        <v>0.13467847417462922</v>
      </c>
      <c r="D102" s="524">
        <f>SUM(D96+D97+D100)</f>
        <v>0.1354837644951761</v>
      </c>
      <c r="E102" s="525">
        <f t="shared" si="11"/>
        <v>0.0008052903205468809</v>
      </c>
    </row>
    <row r="103" spans="1:5" s="506" customFormat="1" ht="12.75">
      <c r="A103" s="512"/>
      <c r="B103" s="516" t="s">
        <v>884</v>
      </c>
      <c r="C103" s="524">
        <f>SUM(C95+C102)</f>
        <v>0.28344868095573883</v>
      </c>
      <c r="D103" s="524">
        <f>SUM(D95+D102)</f>
        <v>0.28032014198484523</v>
      </c>
      <c r="E103" s="525">
        <f t="shared" si="11"/>
        <v>-0.0031285389708936018</v>
      </c>
    </row>
    <row r="104" spans="1:5" s="506" customFormat="1" ht="12.75">
      <c r="A104" s="505"/>
      <c r="B104" s="527"/>
      <c r="C104" s="525"/>
      <c r="D104" s="523"/>
      <c r="E104" s="524"/>
    </row>
    <row r="105" spans="1:5" s="506" customFormat="1" ht="12.75">
      <c r="A105" s="505"/>
      <c r="B105" s="527" t="s">
        <v>885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ht="12.75">
      <c r="A106" s="508"/>
      <c r="B106" s="510"/>
      <c r="C106" s="528"/>
      <c r="D106" s="528"/>
      <c r="E106" s="524"/>
    </row>
    <row r="107" spans="1:5" s="506" customFormat="1" ht="12.75">
      <c r="A107" s="508" t="s">
        <v>151</v>
      </c>
      <c r="B107" s="522" t="s">
        <v>886</v>
      </c>
      <c r="C107" s="528"/>
      <c r="D107" s="528"/>
      <c r="E107" s="524"/>
    </row>
    <row r="108" spans="1:5" s="506" customFormat="1" ht="12.75">
      <c r="A108" s="508"/>
      <c r="B108" s="510"/>
      <c r="C108" s="528"/>
      <c r="D108" s="528"/>
      <c r="E108" s="524"/>
    </row>
    <row r="109" spans="1:5" s="506" customFormat="1" ht="12.75">
      <c r="A109" s="512">
        <v>1</v>
      </c>
      <c r="B109" s="511" t="s">
        <v>736</v>
      </c>
      <c r="C109" s="523">
        <f aca="true" t="shared" si="12" ref="C109:D115">IF(C$77=0,0,C47/C$77)</f>
        <v>0.2817961612393606</v>
      </c>
      <c r="D109" s="523">
        <f t="shared" si="12"/>
        <v>0.2855545156997419</v>
      </c>
      <c r="E109" s="523">
        <f aca="true" t="shared" si="13" ref="E109:E117">D109-C109</f>
        <v>0.003758354460381308</v>
      </c>
    </row>
    <row r="110" spans="1:5" s="506" customFormat="1" ht="12.75">
      <c r="A110" s="512">
        <v>2</v>
      </c>
      <c r="B110" s="511" t="s">
        <v>715</v>
      </c>
      <c r="C110" s="523">
        <f t="shared" si="12"/>
        <v>0.41166722233037695</v>
      </c>
      <c r="D110" s="523">
        <f t="shared" si="12"/>
        <v>0.3775464675989041</v>
      </c>
      <c r="E110" s="523">
        <f t="shared" si="13"/>
        <v>-0.03412075473147286</v>
      </c>
    </row>
    <row r="111" spans="1:5" s="506" customFormat="1" ht="12.75">
      <c r="A111" s="512">
        <v>3</v>
      </c>
      <c r="B111" s="511" t="s">
        <v>861</v>
      </c>
      <c r="C111" s="523">
        <f t="shared" si="12"/>
        <v>0.04679065993870851</v>
      </c>
      <c r="D111" s="523">
        <f t="shared" si="12"/>
        <v>0.06865710802100054</v>
      </c>
      <c r="E111" s="523">
        <f t="shared" si="13"/>
        <v>0.02186644808229203</v>
      </c>
    </row>
    <row r="112" spans="1:5" s="506" customFormat="1" ht="12.75">
      <c r="A112" s="512">
        <v>4</v>
      </c>
      <c r="B112" s="511" t="s">
        <v>229</v>
      </c>
      <c r="C112" s="523">
        <f t="shared" si="12"/>
        <v>0.04329843375232655</v>
      </c>
      <c r="D112" s="523">
        <f t="shared" si="12"/>
        <v>0.062452948222503024</v>
      </c>
      <c r="E112" s="523">
        <f t="shared" si="13"/>
        <v>0.01915451447017647</v>
      </c>
    </row>
    <row r="113" spans="1:5" s="506" customFormat="1" ht="12.75">
      <c r="A113" s="512">
        <v>5</v>
      </c>
      <c r="B113" s="511" t="s">
        <v>828</v>
      </c>
      <c r="C113" s="523">
        <f t="shared" si="12"/>
        <v>0.0034922261863819548</v>
      </c>
      <c r="D113" s="523">
        <f t="shared" si="12"/>
        <v>0.006204159798497514</v>
      </c>
      <c r="E113" s="523">
        <f t="shared" si="13"/>
        <v>0.002711933612115559</v>
      </c>
    </row>
    <row r="114" spans="1:5" s="506" customFormat="1" ht="12.75">
      <c r="A114" s="512">
        <v>6</v>
      </c>
      <c r="B114" s="511" t="s">
        <v>533</v>
      </c>
      <c r="C114" s="523">
        <f t="shared" si="12"/>
        <v>3.138671040006117E-05</v>
      </c>
      <c r="D114" s="523">
        <f t="shared" si="12"/>
        <v>0.00038081618631494266</v>
      </c>
      <c r="E114" s="523">
        <f t="shared" si="13"/>
        <v>0.0003494294759148815</v>
      </c>
    </row>
    <row r="115" spans="1:5" s="506" customFormat="1" ht="12.75">
      <c r="A115" s="512">
        <v>7</v>
      </c>
      <c r="B115" s="511" t="s">
        <v>843</v>
      </c>
      <c r="C115" s="523">
        <f t="shared" si="12"/>
        <v>0.007233672119300285</v>
      </c>
      <c r="D115" s="523">
        <f t="shared" si="12"/>
        <v>0.0049693121378013416</v>
      </c>
      <c r="E115" s="523">
        <f t="shared" si="13"/>
        <v>-0.0022643599814989434</v>
      </c>
    </row>
    <row r="116" spans="1:5" s="506" customFormat="1" ht="12.75">
      <c r="A116" s="512"/>
      <c r="B116" s="516" t="s">
        <v>880</v>
      </c>
      <c r="C116" s="524">
        <f>SUM(C110+C111+C114)</f>
        <v>0.4584892689794855</v>
      </c>
      <c r="D116" s="524">
        <f>SUM(D110+D111+D114)</f>
        <v>0.4465843918062196</v>
      </c>
      <c r="E116" s="525">
        <f t="shared" si="13"/>
        <v>-0.011904877173265882</v>
      </c>
    </row>
    <row r="117" spans="1:5" s="506" customFormat="1" ht="12.75">
      <c r="A117" s="512"/>
      <c r="B117" s="516" t="s">
        <v>881</v>
      </c>
      <c r="C117" s="524">
        <f>SUM(C109+C116)</f>
        <v>0.7402854302188461</v>
      </c>
      <c r="D117" s="524">
        <f>SUM(D109+D116)</f>
        <v>0.7321389075059614</v>
      </c>
      <c r="E117" s="525">
        <f t="shared" si="13"/>
        <v>-0.00814652271288463</v>
      </c>
    </row>
    <row r="118" spans="1:5" s="506" customFormat="1" ht="12.75">
      <c r="A118" s="508"/>
      <c r="B118" s="510"/>
      <c r="C118" s="526"/>
      <c r="D118" s="526"/>
      <c r="E118" s="524"/>
    </row>
    <row r="119" spans="1:5" s="506" customFormat="1" ht="12.75">
      <c r="A119" s="508" t="s">
        <v>436</v>
      </c>
      <c r="B119" s="522" t="s">
        <v>887</v>
      </c>
      <c r="C119" s="526"/>
      <c r="D119" s="526"/>
      <c r="E119" s="524"/>
    </row>
    <row r="120" spans="1:5" s="506" customFormat="1" ht="12.75">
      <c r="A120" s="508"/>
      <c r="B120" s="510"/>
      <c r="C120" s="526"/>
      <c r="D120" s="526"/>
      <c r="E120" s="524"/>
    </row>
    <row r="121" spans="1:5" s="506" customFormat="1" ht="12.75">
      <c r="A121" s="512">
        <v>1</v>
      </c>
      <c r="B121" s="511" t="s">
        <v>736</v>
      </c>
      <c r="C121" s="523">
        <f aca="true" t="shared" si="14" ref="C121:D127">IF(C$77=0,0,C58/C$77)</f>
        <v>0.16402007514465278</v>
      </c>
      <c r="D121" s="523">
        <f t="shared" si="14"/>
        <v>0.1589367965860543</v>
      </c>
      <c r="E121" s="523">
        <f aca="true" t="shared" si="15" ref="E121:E129">D121-C121</f>
        <v>-0.00508327855859847</v>
      </c>
    </row>
    <row r="122" spans="1:5" s="506" customFormat="1" ht="12.75">
      <c r="A122" s="512">
        <v>2</v>
      </c>
      <c r="B122" s="511" t="s">
        <v>715</v>
      </c>
      <c r="C122" s="523">
        <f t="shared" si="14"/>
        <v>0.06745248160782162</v>
      </c>
      <c r="D122" s="523">
        <f t="shared" si="14"/>
        <v>0.07772073952421941</v>
      </c>
      <c r="E122" s="523">
        <f t="shared" si="15"/>
        <v>0.010268257916397794</v>
      </c>
    </row>
    <row r="123" spans="1:5" s="506" customFormat="1" ht="12.75">
      <c r="A123" s="512">
        <v>3</v>
      </c>
      <c r="B123" s="511" t="s">
        <v>861</v>
      </c>
      <c r="C123" s="523">
        <f t="shared" si="14"/>
        <v>0.028017752597232135</v>
      </c>
      <c r="D123" s="523">
        <f t="shared" si="14"/>
        <v>0.03088620226950008</v>
      </c>
      <c r="E123" s="523">
        <f t="shared" si="15"/>
        <v>0.002868449672267945</v>
      </c>
    </row>
    <row r="124" spans="1:5" s="506" customFormat="1" ht="12.75">
      <c r="A124" s="512">
        <v>4</v>
      </c>
      <c r="B124" s="511" t="s">
        <v>229</v>
      </c>
      <c r="C124" s="523">
        <f t="shared" si="14"/>
        <v>0.023759297219538178</v>
      </c>
      <c r="D124" s="523">
        <f t="shared" si="14"/>
        <v>0.02642845893834079</v>
      </c>
      <c r="E124" s="523">
        <f t="shared" si="15"/>
        <v>0.002669161718802611</v>
      </c>
    </row>
    <row r="125" spans="1:5" s="506" customFormat="1" ht="12.75">
      <c r="A125" s="512">
        <v>5</v>
      </c>
      <c r="B125" s="511" t="s">
        <v>828</v>
      </c>
      <c r="C125" s="523">
        <f t="shared" si="14"/>
        <v>0.004258455377693957</v>
      </c>
      <c r="D125" s="523">
        <f t="shared" si="14"/>
        <v>0.00445774333115929</v>
      </c>
      <c r="E125" s="523">
        <f t="shared" si="15"/>
        <v>0.00019928795346533298</v>
      </c>
    </row>
    <row r="126" spans="1:5" s="506" customFormat="1" ht="12.75">
      <c r="A126" s="512">
        <v>6</v>
      </c>
      <c r="B126" s="511" t="s">
        <v>533</v>
      </c>
      <c r="C126" s="523">
        <f t="shared" si="14"/>
        <v>0.00022426043144736373</v>
      </c>
      <c r="D126" s="523">
        <f t="shared" si="14"/>
        <v>0.000317354114264789</v>
      </c>
      <c r="E126" s="523">
        <f t="shared" si="15"/>
        <v>9.309368281742525E-05</v>
      </c>
    </row>
    <row r="127" spans="1:5" s="506" customFormat="1" ht="12.75">
      <c r="A127" s="512">
        <v>7</v>
      </c>
      <c r="B127" s="511" t="s">
        <v>843</v>
      </c>
      <c r="C127" s="523">
        <f t="shared" si="14"/>
        <v>0.005989931365963294</v>
      </c>
      <c r="D127" s="523">
        <f t="shared" si="14"/>
        <v>0.004569672349597397</v>
      </c>
      <c r="E127" s="523">
        <f t="shared" si="15"/>
        <v>-0.0014202590163658966</v>
      </c>
    </row>
    <row r="128" spans="1:5" s="506" customFormat="1" ht="12.75">
      <c r="A128" s="512"/>
      <c r="B128" s="516" t="s">
        <v>883</v>
      </c>
      <c r="C128" s="524">
        <f>SUM(C122+C123+C126)</f>
        <v>0.09569449463650112</v>
      </c>
      <c r="D128" s="524">
        <f>SUM(D122+D123+D126)</f>
        <v>0.10892429590798428</v>
      </c>
      <c r="E128" s="525">
        <f t="shared" si="15"/>
        <v>0.013229801271483155</v>
      </c>
    </row>
    <row r="129" spans="1:5" s="506" customFormat="1" ht="12.75">
      <c r="A129" s="512"/>
      <c r="B129" s="516" t="s">
        <v>884</v>
      </c>
      <c r="C129" s="524">
        <f>SUM(C121+C128)</f>
        <v>0.2597145697811539</v>
      </c>
      <c r="D129" s="524">
        <f>SUM(D121+D128)</f>
        <v>0.26786109249403856</v>
      </c>
      <c r="E129" s="525">
        <f t="shared" si="15"/>
        <v>0.00814652271288463</v>
      </c>
    </row>
    <row r="130" spans="1:5" s="506" customFormat="1" ht="12.75">
      <c r="A130" s="512"/>
      <c r="B130" s="516"/>
      <c r="C130" s="525"/>
      <c r="D130" s="523"/>
      <c r="E130" s="524"/>
    </row>
    <row r="131" spans="1:5" s="506" customFormat="1" ht="12.75">
      <c r="A131" s="512"/>
      <c r="B131" s="527" t="s">
        <v>888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ht="12.75">
      <c r="A132" s="512"/>
      <c r="B132" s="511"/>
      <c r="C132" s="514"/>
      <c r="D132" s="514"/>
      <c r="E132" s="511"/>
    </row>
    <row r="133" spans="1:5" s="506" customFormat="1" ht="15.75" customHeight="1">
      <c r="A133" s="529" t="s">
        <v>250</v>
      </c>
      <c r="B133" s="501" t="s">
        <v>889</v>
      </c>
      <c r="C133" s="491"/>
      <c r="D133" s="491"/>
      <c r="E133" s="516"/>
    </row>
    <row r="134" spans="1:5" s="506" customFormat="1" ht="12.75">
      <c r="A134" s="512"/>
      <c r="B134" s="511"/>
      <c r="C134" s="340"/>
      <c r="D134" s="340"/>
      <c r="E134" s="511"/>
    </row>
    <row r="135" spans="1:5" s="506" customFormat="1" ht="12.75">
      <c r="A135" s="508" t="s">
        <v>129</v>
      </c>
      <c r="B135" s="509" t="s">
        <v>890</v>
      </c>
      <c r="C135" s="340"/>
      <c r="D135" s="340"/>
      <c r="E135" s="511"/>
    </row>
    <row r="136" spans="1:5" s="506" customFormat="1" ht="12.75">
      <c r="A136" s="512"/>
      <c r="B136" s="511"/>
      <c r="C136" s="511"/>
      <c r="D136" s="511"/>
      <c r="E136" s="511"/>
    </row>
    <row r="137" spans="1:5" s="506" customFormat="1" ht="12.75">
      <c r="A137" s="512">
        <v>1</v>
      </c>
      <c r="B137" s="511" t="s">
        <v>736</v>
      </c>
      <c r="C137" s="530">
        <v>7538</v>
      </c>
      <c r="D137" s="530">
        <v>8200</v>
      </c>
      <c r="E137" s="531">
        <f aca="true" t="shared" si="16" ref="E137:E145">D137-C137</f>
        <v>662</v>
      </c>
    </row>
    <row r="138" spans="1:5" s="506" customFormat="1" ht="12.75">
      <c r="A138" s="512">
        <v>2</v>
      </c>
      <c r="B138" s="511" t="s">
        <v>715</v>
      </c>
      <c r="C138" s="530">
        <v>9522</v>
      </c>
      <c r="D138" s="530">
        <v>9746</v>
      </c>
      <c r="E138" s="531">
        <f t="shared" si="16"/>
        <v>224</v>
      </c>
    </row>
    <row r="139" spans="1:5" s="506" customFormat="1" ht="12.75">
      <c r="A139" s="512">
        <v>3</v>
      </c>
      <c r="B139" s="511" t="s">
        <v>861</v>
      </c>
      <c r="C139" s="530">
        <f>C140+C141</f>
        <v>3087</v>
      </c>
      <c r="D139" s="530">
        <f>D140+D141</f>
        <v>3779</v>
      </c>
      <c r="E139" s="531">
        <f t="shared" si="16"/>
        <v>692</v>
      </c>
    </row>
    <row r="140" spans="1:5" s="506" customFormat="1" ht="12.75">
      <c r="A140" s="512">
        <v>4</v>
      </c>
      <c r="B140" s="511" t="s">
        <v>229</v>
      </c>
      <c r="C140" s="530">
        <v>2656</v>
      </c>
      <c r="D140" s="530">
        <v>3120</v>
      </c>
      <c r="E140" s="531">
        <f t="shared" si="16"/>
        <v>464</v>
      </c>
    </row>
    <row r="141" spans="1:5" s="506" customFormat="1" ht="12.75">
      <c r="A141" s="512">
        <v>5</v>
      </c>
      <c r="B141" s="511" t="s">
        <v>828</v>
      </c>
      <c r="C141" s="530">
        <v>431</v>
      </c>
      <c r="D141" s="530">
        <v>659</v>
      </c>
      <c r="E141" s="531">
        <f t="shared" si="16"/>
        <v>228</v>
      </c>
    </row>
    <row r="142" spans="1:5" s="506" customFormat="1" ht="12.75">
      <c r="A142" s="512">
        <v>6</v>
      </c>
      <c r="B142" s="511" t="s">
        <v>533</v>
      </c>
      <c r="C142" s="530">
        <v>12</v>
      </c>
      <c r="D142" s="530">
        <v>18</v>
      </c>
      <c r="E142" s="531">
        <f t="shared" si="16"/>
        <v>6</v>
      </c>
    </row>
    <row r="143" spans="1:5" s="506" customFormat="1" ht="12.75">
      <c r="A143" s="512">
        <v>7</v>
      </c>
      <c r="B143" s="511" t="s">
        <v>843</v>
      </c>
      <c r="C143" s="530">
        <v>950</v>
      </c>
      <c r="D143" s="530">
        <v>955</v>
      </c>
      <c r="E143" s="531">
        <f t="shared" si="16"/>
        <v>5</v>
      </c>
    </row>
    <row r="144" spans="1:5" s="506" customFormat="1" ht="12.75">
      <c r="A144" s="512"/>
      <c r="B144" s="516" t="s">
        <v>891</v>
      </c>
      <c r="C144" s="532">
        <f>SUM(C138+C139+C142)</f>
        <v>12621</v>
      </c>
      <c r="D144" s="532">
        <f>SUM(D138+D139+D142)</f>
        <v>13543</v>
      </c>
      <c r="E144" s="533">
        <f t="shared" si="16"/>
        <v>922</v>
      </c>
    </row>
    <row r="145" spans="1:5" s="506" customFormat="1" ht="12.75">
      <c r="A145" s="512"/>
      <c r="B145" s="516" t="s">
        <v>805</v>
      </c>
      <c r="C145" s="532">
        <f>SUM(C137+C144)</f>
        <v>20159</v>
      </c>
      <c r="D145" s="532">
        <f>SUM(D137+D144)</f>
        <v>21743</v>
      </c>
      <c r="E145" s="533">
        <f t="shared" si="16"/>
        <v>1584</v>
      </c>
    </row>
    <row r="146" spans="1:5" s="506" customFormat="1" ht="12.75">
      <c r="A146" s="512"/>
      <c r="B146" s="511"/>
      <c r="C146" s="534"/>
      <c r="D146" s="534"/>
      <c r="E146" s="511"/>
    </row>
    <row r="147" spans="1:5" s="506" customFormat="1" ht="12.75">
      <c r="A147" s="508" t="s">
        <v>141</v>
      </c>
      <c r="B147" s="509" t="s">
        <v>254</v>
      </c>
      <c r="C147" s="534"/>
      <c r="D147" s="534"/>
      <c r="E147" s="511"/>
    </row>
    <row r="148" spans="1:5" s="506" customFormat="1" ht="12.75">
      <c r="A148" s="512"/>
      <c r="B148" s="511"/>
      <c r="C148" s="534"/>
      <c r="D148" s="534"/>
      <c r="E148" s="511"/>
    </row>
    <row r="149" spans="1:5" s="506" customFormat="1" ht="12.75">
      <c r="A149" s="512">
        <v>1</v>
      </c>
      <c r="B149" s="511" t="s">
        <v>736</v>
      </c>
      <c r="C149" s="534">
        <v>28703</v>
      </c>
      <c r="D149" s="534">
        <v>36714</v>
      </c>
      <c r="E149" s="531">
        <f aca="true" t="shared" si="17" ref="E149:E157">D149-C149</f>
        <v>8011</v>
      </c>
    </row>
    <row r="150" spans="1:5" s="506" customFormat="1" ht="12.75">
      <c r="A150" s="512">
        <v>2</v>
      </c>
      <c r="B150" s="511" t="s">
        <v>715</v>
      </c>
      <c r="C150" s="534">
        <v>60217</v>
      </c>
      <c r="D150" s="534">
        <v>64038</v>
      </c>
      <c r="E150" s="531">
        <f t="shared" si="17"/>
        <v>3821</v>
      </c>
    </row>
    <row r="151" spans="1:5" s="506" customFormat="1" ht="12.75">
      <c r="A151" s="512">
        <v>3</v>
      </c>
      <c r="B151" s="511" t="s">
        <v>861</v>
      </c>
      <c r="C151" s="534">
        <f>C152+C153</f>
        <v>15575</v>
      </c>
      <c r="D151" s="534">
        <f>D152+D153</f>
        <v>24616</v>
      </c>
      <c r="E151" s="531">
        <f t="shared" si="17"/>
        <v>9041</v>
      </c>
    </row>
    <row r="152" spans="1:5" s="506" customFormat="1" ht="12.75">
      <c r="A152" s="512">
        <v>4</v>
      </c>
      <c r="B152" s="511" t="s">
        <v>229</v>
      </c>
      <c r="C152" s="534">
        <v>13243</v>
      </c>
      <c r="D152" s="534">
        <v>20920</v>
      </c>
      <c r="E152" s="531">
        <f t="shared" si="17"/>
        <v>7677</v>
      </c>
    </row>
    <row r="153" spans="1:5" s="506" customFormat="1" ht="12.75">
      <c r="A153" s="512">
        <v>5</v>
      </c>
      <c r="B153" s="511" t="s">
        <v>828</v>
      </c>
      <c r="C153" s="535">
        <v>2332</v>
      </c>
      <c r="D153" s="534">
        <v>3696</v>
      </c>
      <c r="E153" s="531">
        <f t="shared" si="17"/>
        <v>1364</v>
      </c>
    </row>
    <row r="154" spans="1:5" s="506" customFormat="1" ht="12.75">
      <c r="A154" s="512">
        <v>6</v>
      </c>
      <c r="B154" s="511" t="s">
        <v>533</v>
      </c>
      <c r="C154" s="534">
        <v>29</v>
      </c>
      <c r="D154" s="534">
        <v>79</v>
      </c>
      <c r="E154" s="531">
        <f t="shared" si="17"/>
        <v>50</v>
      </c>
    </row>
    <row r="155" spans="1:5" s="506" customFormat="1" ht="12.75">
      <c r="A155" s="512">
        <v>7</v>
      </c>
      <c r="B155" s="511" t="s">
        <v>843</v>
      </c>
      <c r="C155" s="534">
        <v>3652</v>
      </c>
      <c r="D155" s="534">
        <v>4657</v>
      </c>
      <c r="E155" s="531">
        <f t="shared" si="17"/>
        <v>1005</v>
      </c>
    </row>
    <row r="156" spans="1:5" s="506" customFormat="1" ht="12.75">
      <c r="A156" s="512"/>
      <c r="B156" s="516" t="s">
        <v>892</v>
      </c>
      <c r="C156" s="532">
        <f>SUM(C150+C151+C154)</f>
        <v>75821</v>
      </c>
      <c r="D156" s="532">
        <f>SUM(D150+D151+D154)</f>
        <v>88733</v>
      </c>
      <c r="E156" s="533">
        <f t="shared" si="17"/>
        <v>12912</v>
      </c>
    </row>
    <row r="157" spans="1:5" s="506" customFormat="1" ht="12.75">
      <c r="A157" s="512"/>
      <c r="B157" s="516" t="s">
        <v>893</v>
      </c>
      <c r="C157" s="532">
        <f>SUM(C149+C156)</f>
        <v>104524</v>
      </c>
      <c r="D157" s="532">
        <f>SUM(D149+D156)</f>
        <v>125447</v>
      </c>
      <c r="E157" s="533">
        <f t="shared" si="17"/>
        <v>20923</v>
      </c>
    </row>
    <row r="158" spans="1:5" s="506" customFormat="1" ht="12.75">
      <c r="A158" s="512"/>
      <c r="B158" s="511"/>
      <c r="C158" s="534"/>
      <c r="D158" s="534"/>
      <c r="E158" s="511"/>
    </row>
    <row r="159" spans="1:5" s="506" customFormat="1" ht="12.75">
      <c r="A159" s="508" t="s">
        <v>151</v>
      </c>
      <c r="B159" s="509" t="s">
        <v>894</v>
      </c>
      <c r="C159" s="534"/>
      <c r="D159" s="534"/>
      <c r="E159" s="511"/>
    </row>
    <row r="160" spans="1:5" s="506" customFormat="1" ht="12.75">
      <c r="A160" s="512"/>
      <c r="B160" s="511"/>
      <c r="C160" s="534"/>
      <c r="D160" s="534"/>
      <c r="E160" s="511"/>
    </row>
    <row r="161" spans="1:5" s="506" customFormat="1" ht="12.75">
      <c r="A161" s="512">
        <v>1</v>
      </c>
      <c r="B161" s="511" t="s">
        <v>736</v>
      </c>
      <c r="C161" s="536">
        <f aca="true" t="shared" si="18" ref="C161:D169">IF(C137=0,0,C149/C137)</f>
        <v>3.8077739453435924</v>
      </c>
      <c r="D161" s="536">
        <f t="shared" si="18"/>
        <v>4.477317073170732</v>
      </c>
      <c r="E161" s="537">
        <f aca="true" t="shared" si="19" ref="E161:E169">D161-C161</f>
        <v>0.6695431278271395</v>
      </c>
    </row>
    <row r="162" spans="1:5" s="506" customFormat="1" ht="12.75">
      <c r="A162" s="512">
        <v>2</v>
      </c>
      <c r="B162" s="511" t="s">
        <v>715</v>
      </c>
      <c r="C162" s="536">
        <f t="shared" si="18"/>
        <v>6.323986557445915</v>
      </c>
      <c r="D162" s="536">
        <f t="shared" si="18"/>
        <v>6.570695670018469</v>
      </c>
      <c r="E162" s="537">
        <f t="shared" si="19"/>
        <v>0.246709112572554</v>
      </c>
    </row>
    <row r="163" spans="1:5" s="506" customFormat="1" ht="12.75">
      <c r="A163" s="512">
        <v>3</v>
      </c>
      <c r="B163" s="511" t="s">
        <v>861</v>
      </c>
      <c r="C163" s="536">
        <f t="shared" si="18"/>
        <v>5.045351473922903</v>
      </c>
      <c r="D163" s="536">
        <f t="shared" si="18"/>
        <v>6.5138925641704155</v>
      </c>
      <c r="E163" s="537">
        <f t="shared" si="19"/>
        <v>1.4685410902475127</v>
      </c>
    </row>
    <row r="164" spans="1:5" s="506" customFormat="1" ht="12.75">
      <c r="A164" s="512">
        <v>4</v>
      </c>
      <c r="B164" s="511" t="s">
        <v>229</v>
      </c>
      <c r="C164" s="536">
        <f t="shared" si="18"/>
        <v>4.986069277108434</v>
      </c>
      <c r="D164" s="536">
        <f t="shared" si="18"/>
        <v>6.705128205128205</v>
      </c>
      <c r="E164" s="537">
        <f t="shared" si="19"/>
        <v>1.7190589280197717</v>
      </c>
    </row>
    <row r="165" spans="1:5" s="506" customFormat="1" ht="12.75">
      <c r="A165" s="512">
        <v>5</v>
      </c>
      <c r="B165" s="511" t="s">
        <v>828</v>
      </c>
      <c r="C165" s="536">
        <f t="shared" si="18"/>
        <v>5.410672853828307</v>
      </c>
      <c r="D165" s="536">
        <f t="shared" si="18"/>
        <v>5.608497723823976</v>
      </c>
      <c r="E165" s="537">
        <f t="shared" si="19"/>
        <v>0.19782486999566906</v>
      </c>
    </row>
    <row r="166" spans="1:5" s="506" customFormat="1" ht="12.75">
      <c r="A166" s="512">
        <v>6</v>
      </c>
      <c r="B166" s="511" t="s">
        <v>533</v>
      </c>
      <c r="C166" s="536">
        <f t="shared" si="18"/>
        <v>2.4166666666666665</v>
      </c>
      <c r="D166" s="536">
        <f t="shared" si="18"/>
        <v>4.388888888888889</v>
      </c>
      <c r="E166" s="537">
        <f t="shared" si="19"/>
        <v>1.9722222222222228</v>
      </c>
    </row>
    <row r="167" spans="1:5" s="506" customFormat="1" ht="12.75">
      <c r="A167" s="512">
        <v>7</v>
      </c>
      <c r="B167" s="511" t="s">
        <v>843</v>
      </c>
      <c r="C167" s="536">
        <f t="shared" si="18"/>
        <v>3.8442105263157895</v>
      </c>
      <c r="D167" s="536">
        <f t="shared" si="18"/>
        <v>4.876439790575916</v>
      </c>
      <c r="E167" s="537">
        <f t="shared" si="19"/>
        <v>1.0322292642601267</v>
      </c>
    </row>
    <row r="168" spans="1:5" s="506" customFormat="1" ht="12.75">
      <c r="A168" s="512"/>
      <c r="B168" s="516" t="s">
        <v>895</v>
      </c>
      <c r="C168" s="538">
        <f t="shared" si="18"/>
        <v>6.007527137310831</v>
      </c>
      <c r="D168" s="538">
        <f t="shared" si="18"/>
        <v>6.5519456545817025</v>
      </c>
      <c r="E168" s="539">
        <f t="shared" si="19"/>
        <v>0.5444185172708718</v>
      </c>
    </row>
    <row r="169" spans="1:5" s="506" customFormat="1" ht="12.75">
      <c r="A169" s="512"/>
      <c r="B169" s="516" t="s">
        <v>829</v>
      </c>
      <c r="C169" s="538">
        <f t="shared" si="18"/>
        <v>5.184979413661392</v>
      </c>
      <c r="D169" s="538">
        <f t="shared" si="18"/>
        <v>5.769535022765948</v>
      </c>
      <c r="E169" s="539">
        <f t="shared" si="19"/>
        <v>0.5845556091045561</v>
      </c>
    </row>
    <row r="170" spans="1:5" s="506" customFormat="1" ht="12.75">
      <c r="A170" s="512"/>
      <c r="B170" s="511"/>
      <c r="C170" s="534"/>
      <c r="D170" s="534"/>
      <c r="E170" s="540"/>
    </row>
    <row r="171" spans="1:5" s="506" customFormat="1" ht="12.75">
      <c r="A171" s="508" t="s">
        <v>436</v>
      </c>
      <c r="B171" s="509" t="s">
        <v>896</v>
      </c>
      <c r="C171" s="511"/>
      <c r="D171" s="511"/>
      <c r="E171" s="540"/>
    </row>
    <row r="172" spans="1:5" s="506" customFormat="1" ht="12.75">
      <c r="A172" s="512"/>
      <c r="B172" s="511"/>
      <c r="C172" s="511"/>
      <c r="D172" s="511"/>
      <c r="E172" s="540"/>
    </row>
    <row r="173" spans="1:5" s="506" customFormat="1" ht="12.75">
      <c r="A173" s="512">
        <v>1</v>
      </c>
      <c r="B173" s="511" t="s">
        <v>736</v>
      </c>
      <c r="C173" s="541">
        <f aca="true" t="shared" si="20" ref="C173:D181">IF(C137=0,0,C203/C137)</f>
        <v>1.292</v>
      </c>
      <c r="D173" s="541">
        <f t="shared" si="20"/>
        <v>1.1909</v>
      </c>
      <c r="E173" s="542">
        <f aca="true" t="shared" si="21" ref="E173:E181">D173-C173</f>
        <v>-0.10109999999999997</v>
      </c>
    </row>
    <row r="174" spans="1:5" s="506" customFormat="1" ht="12.75">
      <c r="A174" s="512">
        <v>2</v>
      </c>
      <c r="B174" s="511" t="s">
        <v>715</v>
      </c>
      <c r="C174" s="541">
        <f t="shared" si="20"/>
        <v>1.5366</v>
      </c>
      <c r="D174" s="541">
        <f t="shared" si="20"/>
        <v>1.5299</v>
      </c>
      <c r="E174" s="542">
        <f t="shared" si="21"/>
        <v>-0.006699999999999928</v>
      </c>
    </row>
    <row r="175" spans="1:5" s="506" customFormat="1" ht="12.75">
      <c r="A175" s="512">
        <v>0</v>
      </c>
      <c r="B175" s="511" t="s">
        <v>861</v>
      </c>
      <c r="C175" s="541">
        <f t="shared" si="20"/>
        <v>0.9980784256559767</v>
      </c>
      <c r="D175" s="541">
        <f t="shared" si="20"/>
        <v>0.9634377877745436</v>
      </c>
      <c r="E175" s="542">
        <f t="shared" si="21"/>
        <v>-0.03464063788143312</v>
      </c>
    </row>
    <row r="176" spans="1:5" s="506" customFormat="1" ht="12.75">
      <c r="A176" s="512">
        <v>4</v>
      </c>
      <c r="B176" s="511" t="s">
        <v>229</v>
      </c>
      <c r="C176" s="541">
        <f t="shared" si="20"/>
        <v>0.9639</v>
      </c>
      <c r="D176" s="541">
        <f t="shared" si="20"/>
        <v>0.9125</v>
      </c>
      <c r="E176" s="542">
        <f t="shared" si="21"/>
        <v>-0.0514</v>
      </c>
    </row>
    <row r="177" spans="1:5" s="506" customFormat="1" ht="12.75">
      <c r="A177" s="512">
        <v>5</v>
      </c>
      <c r="B177" s="511" t="s">
        <v>828</v>
      </c>
      <c r="C177" s="541">
        <f t="shared" si="20"/>
        <v>1.2087</v>
      </c>
      <c r="D177" s="541">
        <f t="shared" si="20"/>
        <v>1.2046</v>
      </c>
      <c r="E177" s="542">
        <f t="shared" si="21"/>
        <v>-0.004100000000000215</v>
      </c>
    </row>
    <row r="178" spans="1:5" s="506" customFormat="1" ht="12.75">
      <c r="A178" s="512">
        <v>6</v>
      </c>
      <c r="B178" s="511" t="s">
        <v>533</v>
      </c>
      <c r="C178" s="541">
        <f t="shared" si="20"/>
        <v>0.697</v>
      </c>
      <c r="D178" s="541">
        <f t="shared" si="20"/>
        <v>1.1109</v>
      </c>
      <c r="E178" s="542">
        <f t="shared" si="21"/>
        <v>0.41390000000000005</v>
      </c>
    </row>
    <row r="179" spans="1:5" s="506" customFormat="1" ht="12.75">
      <c r="A179" s="512">
        <v>7</v>
      </c>
      <c r="B179" s="511" t="s">
        <v>843</v>
      </c>
      <c r="C179" s="541">
        <f t="shared" si="20"/>
        <v>1.0992</v>
      </c>
      <c r="D179" s="541">
        <f t="shared" si="20"/>
        <v>1.0987</v>
      </c>
      <c r="E179" s="542">
        <f t="shared" si="21"/>
        <v>-0.0004999999999999449</v>
      </c>
    </row>
    <row r="180" spans="1:5" s="506" customFormat="1" ht="12.75">
      <c r="A180" s="512"/>
      <c r="B180" s="516" t="s">
        <v>897</v>
      </c>
      <c r="C180" s="543">
        <f t="shared" si="20"/>
        <v>1.4040834561445212</v>
      </c>
      <c r="D180" s="543">
        <f t="shared" si="20"/>
        <v>1.371279110979842</v>
      </c>
      <c r="E180" s="544">
        <f t="shared" si="21"/>
        <v>-0.03280434516467934</v>
      </c>
    </row>
    <row r="181" spans="1:5" s="506" customFormat="1" ht="12.75">
      <c r="A181" s="512"/>
      <c r="B181" s="516" t="s">
        <v>806</v>
      </c>
      <c r="C181" s="543">
        <f t="shared" si="20"/>
        <v>1.3621723944640112</v>
      </c>
      <c r="D181" s="543">
        <f t="shared" si="20"/>
        <v>1.3032522191049993</v>
      </c>
      <c r="E181" s="544">
        <f t="shared" si="21"/>
        <v>-0.05892017535901184</v>
      </c>
    </row>
    <row r="182" spans="1:5" s="506" customFormat="1" ht="12.75">
      <c r="A182" s="508"/>
      <c r="B182" s="511"/>
      <c r="C182" s="545"/>
      <c r="D182" s="545"/>
      <c r="E182" s="511"/>
    </row>
    <row r="183" spans="1:5" s="506" customFormat="1" ht="12.75">
      <c r="A183" s="508" t="s">
        <v>457</v>
      </c>
      <c r="B183" s="509" t="s">
        <v>898</v>
      </c>
      <c r="C183" s="340"/>
      <c r="D183" s="340"/>
      <c r="E183" s="511"/>
    </row>
    <row r="184" spans="1:5" s="506" customFormat="1" ht="12.75">
      <c r="A184" s="505"/>
      <c r="B184" s="511"/>
      <c r="C184" s="545"/>
      <c r="D184" s="545"/>
      <c r="E184" s="511"/>
    </row>
    <row r="185" spans="1:5" s="506" customFormat="1" ht="12.75">
      <c r="A185" s="512">
        <v>1</v>
      </c>
      <c r="B185" s="511" t="s">
        <v>899</v>
      </c>
      <c r="C185" s="513">
        <v>258381243</v>
      </c>
      <c r="D185" s="513">
        <v>305724906</v>
      </c>
      <c r="E185" s="514">
        <f>D185-C185</f>
        <v>47343663</v>
      </c>
    </row>
    <row r="186" spans="1:5" s="506" customFormat="1" ht="25.5">
      <c r="A186" s="512">
        <v>2</v>
      </c>
      <c r="B186" s="511" t="s">
        <v>900</v>
      </c>
      <c r="C186" s="513">
        <v>159336951</v>
      </c>
      <c r="D186" s="513">
        <v>174790464</v>
      </c>
      <c r="E186" s="514">
        <f>D186-C186</f>
        <v>15453513</v>
      </c>
    </row>
    <row r="187" spans="1:5" s="506" customFormat="1" ht="12.75">
      <c r="A187" s="512"/>
      <c r="B187" s="511" t="s">
        <v>748</v>
      </c>
      <c r="C187" s="510"/>
      <c r="D187" s="510"/>
      <c r="E187" s="511"/>
    </row>
    <row r="188" spans="1:5" s="506" customFormat="1" ht="12.75">
      <c r="A188" s="512">
        <v>3</v>
      </c>
      <c r="B188" s="511" t="s">
        <v>832</v>
      </c>
      <c r="C188" s="546">
        <f>+C185-C186</f>
        <v>99044292</v>
      </c>
      <c r="D188" s="546">
        <f>+D185-D186</f>
        <v>130934442</v>
      </c>
      <c r="E188" s="514">
        <f aca="true" t="shared" si="22" ref="E188:E197">D188-C188</f>
        <v>31890150</v>
      </c>
    </row>
    <row r="189" spans="1:5" s="506" customFormat="1" ht="12.75">
      <c r="A189" s="512">
        <v>4</v>
      </c>
      <c r="B189" s="511" t="s">
        <v>750</v>
      </c>
      <c r="C189" s="547">
        <f>IF(C185=0,0,+C188/C185)</f>
        <v>0.3833261689200868</v>
      </c>
      <c r="D189" s="547">
        <f>IF(D185=0,0,+D188/D185)</f>
        <v>0.42827535287556845</v>
      </c>
      <c r="E189" s="523">
        <f t="shared" si="22"/>
        <v>0.04494918395548164</v>
      </c>
    </row>
    <row r="190" spans="1:5" s="506" customFormat="1" ht="12.75">
      <c r="A190" s="512">
        <v>5</v>
      </c>
      <c r="B190" s="511" t="s">
        <v>847</v>
      </c>
      <c r="C190" s="513">
        <v>10318573</v>
      </c>
      <c r="D190" s="513">
        <v>10433144</v>
      </c>
      <c r="E190" s="546">
        <f t="shared" si="22"/>
        <v>114571</v>
      </c>
    </row>
    <row r="191" spans="1:5" s="506" customFormat="1" ht="12.75">
      <c r="A191" s="512">
        <v>6</v>
      </c>
      <c r="B191" s="511" t="s">
        <v>833</v>
      </c>
      <c r="C191" s="513">
        <v>5664422</v>
      </c>
      <c r="D191" s="513">
        <v>6114636</v>
      </c>
      <c r="E191" s="546">
        <f t="shared" si="22"/>
        <v>450214</v>
      </c>
    </row>
    <row r="192" spans="1:5" ht="29.25">
      <c r="A192" s="512">
        <v>7</v>
      </c>
      <c r="B192" s="548" t="s">
        <v>901</v>
      </c>
      <c r="C192" s="513">
        <v>2299246</v>
      </c>
      <c r="D192" s="513">
        <v>2290216</v>
      </c>
      <c r="E192" s="546">
        <f t="shared" si="22"/>
        <v>-9030</v>
      </c>
    </row>
    <row r="193" spans="1:5" s="506" customFormat="1" ht="12.75">
      <c r="A193" s="512">
        <v>8</v>
      </c>
      <c r="B193" s="511" t="s">
        <v>902</v>
      </c>
      <c r="C193" s="513">
        <v>5784833</v>
      </c>
      <c r="D193" s="513">
        <v>8833000</v>
      </c>
      <c r="E193" s="546">
        <f t="shared" si="22"/>
        <v>3048167</v>
      </c>
    </row>
    <row r="194" spans="1:5" s="506" customFormat="1" ht="12.75">
      <c r="A194" s="512">
        <v>9</v>
      </c>
      <c r="B194" s="511" t="s">
        <v>903</v>
      </c>
      <c r="C194" s="513">
        <v>26273077</v>
      </c>
      <c r="D194" s="513">
        <v>30554626</v>
      </c>
      <c r="E194" s="546">
        <f t="shared" si="22"/>
        <v>4281549</v>
      </c>
    </row>
    <row r="195" spans="1:5" s="506" customFormat="1" ht="12.75">
      <c r="A195" s="512">
        <v>10</v>
      </c>
      <c r="B195" s="511" t="s">
        <v>904</v>
      </c>
      <c r="C195" s="513">
        <f>+C193+C194</f>
        <v>32057910</v>
      </c>
      <c r="D195" s="513">
        <f>+D193+D194</f>
        <v>39387626</v>
      </c>
      <c r="E195" s="549">
        <f t="shared" si="22"/>
        <v>7329716</v>
      </c>
    </row>
    <row r="196" spans="1:5" s="506" customFormat="1" ht="12.75">
      <c r="A196" s="512">
        <v>11</v>
      </c>
      <c r="B196" s="511" t="s">
        <v>905</v>
      </c>
      <c r="C196" s="513">
        <v>258381243</v>
      </c>
      <c r="D196" s="513">
        <v>305724906</v>
      </c>
      <c r="E196" s="546">
        <f t="shared" si="22"/>
        <v>47343663</v>
      </c>
    </row>
    <row r="197" spans="1:5" s="506" customFormat="1" ht="12.75">
      <c r="A197" s="512">
        <v>12</v>
      </c>
      <c r="B197" s="511" t="s">
        <v>790</v>
      </c>
      <c r="C197" s="513">
        <v>302743318</v>
      </c>
      <c r="D197" s="513">
        <v>341987000</v>
      </c>
      <c r="E197" s="546">
        <f t="shared" si="22"/>
        <v>39243682</v>
      </c>
    </row>
    <row r="198" spans="1:5" s="506" customFormat="1" ht="12.75">
      <c r="A198" s="512"/>
      <c r="B198" s="511"/>
      <c r="C198" s="513"/>
      <c r="D198" s="513"/>
      <c r="E198" s="510"/>
    </row>
    <row r="199" spans="1:5" s="506" customFormat="1" ht="15.75" customHeight="1">
      <c r="A199" s="529" t="s">
        <v>259</v>
      </c>
      <c r="B199" s="550" t="s">
        <v>906</v>
      </c>
      <c r="C199" s="510"/>
      <c r="D199" s="510"/>
      <c r="E199" s="510"/>
    </row>
    <row r="200" spans="1:5" s="506" customFormat="1" ht="12.75">
      <c r="A200" s="508"/>
      <c r="B200" s="551"/>
      <c r="C200" s="510"/>
      <c r="D200" s="510"/>
      <c r="E200" s="510"/>
    </row>
    <row r="201" spans="1:5" s="506" customFormat="1" ht="12.75">
      <c r="A201" s="508" t="s">
        <v>129</v>
      </c>
      <c r="B201" s="509" t="s">
        <v>907</v>
      </c>
      <c r="C201" s="510"/>
      <c r="D201" s="510"/>
      <c r="E201" s="510"/>
    </row>
    <row r="202" spans="2:5" s="506" customFormat="1" ht="12.75">
      <c r="B202" s="552"/>
      <c r="C202" s="510"/>
      <c r="D202" s="510"/>
      <c r="E202" s="510"/>
    </row>
    <row r="203" spans="1:5" s="506" customFormat="1" ht="12.75">
      <c r="A203" s="512">
        <v>1</v>
      </c>
      <c r="B203" s="511" t="s">
        <v>736</v>
      </c>
      <c r="C203" s="553">
        <v>9739.096</v>
      </c>
      <c r="D203" s="553">
        <v>9765.380000000001</v>
      </c>
      <c r="E203" s="554">
        <f aca="true" t="shared" si="23" ref="E203:E211">D203-C203</f>
        <v>26.28400000000147</v>
      </c>
    </row>
    <row r="204" spans="1:5" s="506" customFormat="1" ht="12.75">
      <c r="A204" s="512">
        <v>2</v>
      </c>
      <c r="B204" s="511" t="s">
        <v>715</v>
      </c>
      <c r="C204" s="553">
        <v>14631.5052</v>
      </c>
      <c r="D204" s="553">
        <v>14910.4054</v>
      </c>
      <c r="E204" s="554">
        <f t="shared" si="23"/>
        <v>278.90020000000004</v>
      </c>
    </row>
    <row r="205" spans="1:5" s="506" customFormat="1" ht="12.75">
      <c r="A205" s="512">
        <v>3</v>
      </c>
      <c r="B205" s="511" t="s">
        <v>861</v>
      </c>
      <c r="C205" s="553">
        <f>C206+C207</f>
        <v>3081.0681</v>
      </c>
      <c r="D205" s="553">
        <f>D206+D207</f>
        <v>3640.8314</v>
      </c>
      <c r="E205" s="554">
        <f t="shared" si="23"/>
        <v>559.7633000000001</v>
      </c>
    </row>
    <row r="206" spans="1:5" s="506" customFormat="1" ht="12.75">
      <c r="A206" s="512">
        <v>4</v>
      </c>
      <c r="B206" s="511" t="s">
        <v>229</v>
      </c>
      <c r="C206" s="553">
        <v>2560.1184</v>
      </c>
      <c r="D206" s="553">
        <v>2847</v>
      </c>
      <c r="E206" s="554">
        <f t="shared" si="23"/>
        <v>286.88160000000016</v>
      </c>
    </row>
    <row r="207" spans="1:5" s="506" customFormat="1" ht="12.75">
      <c r="A207" s="512">
        <v>5</v>
      </c>
      <c r="B207" s="511" t="s">
        <v>828</v>
      </c>
      <c r="C207" s="553">
        <v>520.9497</v>
      </c>
      <c r="D207" s="553">
        <v>793.8313999999999</v>
      </c>
      <c r="E207" s="554">
        <f t="shared" si="23"/>
        <v>272.8816999999999</v>
      </c>
    </row>
    <row r="208" spans="1:5" s="506" customFormat="1" ht="12.75">
      <c r="A208" s="512">
        <v>6</v>
      </c>
      <c r="B208" s="511" t="s">
        <v>533</v>
      </c>
      <c r="C208" s="553">
        <v>8.363999999999999</v>
      </c>
      <c r="D208" s="553">
        <v>19.9962</v>
      </c>
      <c r="E208" s="554">
        <f t="shared" si="23"/>
        <v>11.632200000000003</v>
      </c>
    </row>
    <row r="209" spans="1:5" s="506" customFormat="1" ht="12.75">
      <c r="A209" s="512">
        <v>7</v>
      </c>
      <c r="B209" s="511" t="s">
        <v>843</v>
      </c>
      <c r="C209" s="553">
        <v>1044.24</v>
      </c>
      <c r="D209" s="553">
        <v>1049.2585</v>
      </c>
      <c r="E209" s="554">
        <f t="shared" si="23"/>
        <v>5.018499999999904</v>
      </c>
    </row>
    <row r="210" spans="1:5" s="506" customFormat="1" ht="12.75">
      <c r="A210" s="512"/>
      <c r="B210" s="516" t="s">
        <v>908</v>
      </c>
      <c r="C210" s="555">
        <f>C204+C205+C208</f>
        <v>17720.9373</v>
      </c>
      <c r="D210" s="555">
        <f>D204+D205+D208</f>
        <v>18571.233</v>
      </c>
      <c r="E210" s="556">
        <f t="shared" si="23"/>
        <v>850.2956999999988</v>
      </c>
    </row>
    <row r="211" spans="1:5" s="506" customFormat="1" ht="12.75">
      <c r="A211" s="512"/>
      <c r="B211" s="516" t="s">
        <v>807</v>
      </c>
      <c r="C211" s="555">
        <f>C210+C203</f>
        <v>27460.033300000003</v>
      </c>
      <c r="D211" s="555">
        <f>D210+D203</f>
        <v>28336.613</v>
      </c>
      <c r="E211" s="556">
        <f t="shared" si="23"/>
        <v>876.5796999999984</v>
      </c>
    </row>
    <row r="212" spans="1:5" s="506" customFormat="1" ht="12.75">
      <c r="A212" s="512"/>
      <c r="B212" s="551"/>
      <c r="C212" s="510"/>
      <c r="D212" s="510"/>
      <c r="E212" s="555"/>
    </row>
    <row r="213" spans="1:5" s="506" customFormat="1" ht="12.75">
      <c r="A213" s="508" t="s">
        <v>141</v>
      </c>
      <c r="B213" s="509" t="s">
        <v>909</v>
      </c>
      <c r="C213" s="510"/>
      <c r="D213" s="510"/>
      <c r="E213" s="555"/>
    </row>
    <row r="214" spans="1:5" s="506" customFormat="1" ht="12.75">
      <c r="A214" s="505"/>
      <c r="B214" s="551"/>
      <c r="C214" s="510"/>
      <c r="D214" s="510"/>
      <c r="E214" s="510"/>
    </row>
    <row r="215" spans="1:5" s="506" customFormat="1" ht="12.75">
      <c r="A215" s="512">
        <v>1</v>
      </c>
      <c r="B215" s="511" t="s">
        <v>736</v>
      </c>
      <c r="C215" s="557">
        <f>IF(C14*C137=0,0,C25/C14*C137)</f>
        <v>4972.9263908356725</v>
      </c>
      <c r="D215" s="557">
        <f>IF(D14*D137=0,0,D25/D14*D137)</f>
        <v>5254.56723109143</v>
      </c>
      <c r="E215" s="557">
        <f aca="true" t="shared" si="24" ref="E215:E223">D215-C215</f>
        <v>281.6408402557572</v>
      </c>
    </row>
    <row r="216" spans="1:5" s="506" customFormat="1" ht="12.75">
      <c r="A216" s="512">
        <v>2</v>
      </c>
      <c r="B216" s="511" t="s">
        <v>715</v>
      </c>
      <c r="C216" s="557">
        <f>IF(C15*C138=0,0,C26/C15*C138)</f>
        <v>2188.933214063288</v>
      </c>
      <c r="D216" s="557">
        <f>IF(D15*D138=0,0,D26/D15*D138)</f>
        <v>2357.1747804314373</v>
      </c>
      <c r="E216" s="557">
        <f t="shared" si="24"/>
        <v>168.2415663681495</v>
      </c>
    </row>
    <row r="217" spans="1:5" s="506" customFormat="1" ht="12.75">
      <c r="A217" s="512">
        <v>3</v>
      </c>
      <c r="B217" s="511" t="s">
        <v>861</v>
      </c>
      <c r="C217" s="557">
        <f>C218+C219</f>
        <v>1489.933069787673</v>
      </c>
      <c r="D217" s="557">
        <f>D218+D219</f>
        <v>1495.1589917476792</v>
      </c>
      <c r="E217" s="557">
        <f t="shared" si="24"/>
        <v>5.22592196000619</v>
      </c>
    </row>
    <row r="218" spans="1:5" s="506" customFormat="1" ht="12.75">
      <c r="A218" s="512">
        <v>4</v>
      </c>
      <c r="B218" s="511" t="s">
        <v>229</v>
      </c>
      <c r="C218" s="557">
        <f aca="true" t="shared" si="25" ref="C218:D221">IF(C17*C140=0,0,C28/C17*C140)</f>
        <v>1244.1795319277876</v>
      </c>
      <c r="D218" s="557">
        <f t="shared" si="25"/>
        <v>1166.481259245528</v>
      </c>
      <c r="E218" s="557">
        <f t="shared" si="24"/>
        <v>-77.69827268225959</v>
      </c>
    </row>
    <row r="219" spans="1:5" s="506" customFormat="1" ht="12.75">
      <c r="A219" s="512">
        <v>5</v>
      </c>
      <c r="B219" s="511" t="s">
        <v>828</v>
      </c>
      <c r="C219" s="557">
        <f t="shared" si="25"/>
        <v>245.75353785988534</v>
      </c>
      <c r="D219" s="557">
        <f t="shared" si="25"/>
        <v>328.6777325021512</v>
      </c>
      <c r="E219" s="557">
        <f t="shared" si="24"/>
        <v>82.92419464226583</v>
      </c>
    </row>
    <row r="220" spans="1:5" s="506" customFormat="1" ht="12.75">
      <c r="A220" s="512">
        <v>6</v>
      </c>
      <c r="B220" s="511" t="s">
        <v>533</v>
      </c>
      <c r="C220" s="557">
        <f t="shared" si="25"/>
        <v>14.643402627989133</v>
      </c>
      <c r="D220" s="557">
        <f t="shared" si="25"/>
        <v>14.143833073850194</v>
      </c>
      <c r="E220" s="557">
        <f t="shared" si="24"/>
        <v>-0.49956955413893844</v>
      </c>
    </row>
    <row r="221" spans="1:5" s="506" customFormat="1" ht="12.75">
      <c r="A221" s="512">
        <v>7</v>
      </c>
      <c r="B221" s="511" t="s">
        <v>843</v>
      </c>
      <c r="C221" s="557">
        <f t="shared" si="25"/>
        <v>1070.8817525926559</v>
      </c>
      <c r="D221" s="557">
        <f t="shared" si="25"/>
        <v>968.1096464821346</v>
      </c>
      <c r="E221" s="557">
        <f t="shared" si="24"/>
        <v>-102.77210611052124</v>
      </c>
    </row>
    <row r="222" spans="1:5" s="506" customFormat="1" ht="12.75">
      <c r="A222" s="512"/>
      <c r="B222" s="516" t="s">
        <v>910</v>
      </c>
      <c r="C222" s="558">
        <f>C216+C218+C219+C220</f>
        <v>3693.50968647895</v>
      </c>
      <c r="D222" s="558">
        <f>D216+D218+D219+D220</f>
        <v>3866.477605252967</v>
      </c>
      <c r="E222" s="558">
        <f t="shared" si="24"/>
        <v>172.9679187740171</v>
      </c>
    </row>
    <row r="223" spans="1:5" s="506" customFormat="1" ht="12.75">
      <c r="A223" s="512"/>
      <c r="B223" s="516" t="s">
        <v>911</v>
      </c>
      <c r="C223" s="558">
        <f>C215+C222</f>
        <v>8666.436077314622</v>
      </c>
      <c r="D223" s="558">
        <f>D215+D222</f>
        <v>9121.044836344397</v>
      </c>
      <c r="E223" s="558">
        <f t="shared" si="24"/>
        <v>454.6087590297757</v>
      </c>
    </row>
    <row r="224" spans="1:5" s="506" customFormat="1" ht="12.75">
      <c r="A224" s="505"/>
      <c r="B224" s="551"/>
      <c r="C224" s="510"/>
      <c r="D224" s="510"/>
      <c r="E224" s="559"/>
    </row>
    <row r="225" spans="1:5" s="506" customFormat="1" ht="12.75">
      <c r="A225" s="508" t="s">
        <v>151</v>
      </c>
      <c r="B225" s="509" t="s">
        <v>912</v>
      </c>
      <c r="C225" s="510"/>
      <c r="D225" s="510"/>
      <c r="E225" s="559"/>
    </row>
    <row r="226" spans="1:5" s="506" customFormat="1" ht="12.75">
      <c r="A226" s="505"/>
      <c r="B226" s="551"/>
      <c r="C226" s="510"/>
      <c r="D226" s="510"/>
      <c r="E226" s="559"/>
    </row>
    <row r="227" spans="1:5" s="506" customFormat="1" ht="12.75">
      <c r="A227" s="512">
        <v>1</v>
      </c>
      <c r="B227" s="511" t="s">
        <v>736</v>
      </c>
      <c r="C227" s="560">
        <f aca="true" t="shared" si="26" ref="C227:D235">IF(C203=0,0,C47/C203)</f>
        <v>8368.754040416072</v>
      </c>
      <c r="D227" s="560">
        <f t="shared" si="26"/>
        <v>9356.426682832618</v>
      </c>
      <c r="E227" s="560">
        <f aca="true" t="shared" si="27" ref="E227:E235">D227-C227</f>
        <v>987.6726424165463</v>
      </c>
    </row>
    <row r="228" spans="1:5" s="506" customFormat="1" ht="12.75">
      <c r="A228" s="512">
        <v>2</v>
      </c>
      <c r="B228" s="511" t="s">
        <v>715</v>
      </c>
      <c r="C228" s="560">
        <f t="shared" si="26"/>
        <v>8137.699735772913</v>
      </c>
      <c r="D228" s="560">
        <f t="shared" si="26"/>
        <v>8101.978635671436</v>
      </c>
      <c r="E228" s="560">
        <f t="shared" si="27"/>
        <v>-35.72110010147753</v>
      </c>
    </row>
    <row r="229" spans="1:5" s="506" customFormat="1" ht="12.75">
      <c r="A229" s="512">
        <v>3</v>
      </c>
      <c r="B229" s="511" t="s">
        <v>861</v>
      </c>
      <c r="C229" s="560">
        <f t="shared" si="26"/>
        <v>4392.4037251886775</v>
      </c>
      <c r="D229" s="560">
        <f t="shared" si="26"/>
        <v>6033.857816102113</v>
      </c>
      <c r="E229" s="560">
        <f t="shared" si="27"/>
        <v>1641.4540909134357</v>
      </c>
    </row>
    <row r="230" spans="1:5" s="506" customFormat="1" ht="12.75">
      <c r="A230" s="512">
        <v>4</v>
      </c>
      <c r="B230" s="511" t="s">
        <v>229</v>
      </c>
      <c r="C230" s="560">
        <f t="shared" si="26"/>
        <v>4891.6628230944325</v>
      </c>
      <c r="D230" s="560">
        <f t="shared" si="26"/>
        <v>7019.005971197752</v>
      </c>
      <c r="E230" s="560">
        <f t="shared" si="27"/>
        <v>2127.3431481033194</v>
      </c>
    </row>
    <row r="231" spans="1:5" s="506" customFormat="1" ht="12.75">
      <c r="A231" s="512">
        <v>5</v>
      </c>
      <c r="B231" s="511" t="s">
        <v>828</v>
      </c>
      <c r="C231" s="560">
        <f t="shared" si="26"/>
        <v>1938.8800876552957</v>
      </c>
      <c r="D231" s="560">
        <f t="shared" si="26"/>
        <v>2500.7186664573865</v>
      </c>
      <c r="E231" s="560">
        <f t="shared" si="27"/>
        <v>561.8385788020908</v>
      </c>
    </row>
    <row r="232" spans="1:5" s="506" customFormat="1" ht="12.75">
      <c r="A232" s="512">
        <v>6</v>
      </c>
      <c r="B232" s="511" t="s">
        <v>533</v>
      </c>
      <c r="C232" s="560">
        <f t="shared" si="26"/>
        <v>1085.3658536585367</v>
      </c>
      <c r="D232" s="560">
        <f t="shared" si="26"/>
        <v>6093.657794981046</v>
      </c>
      <c r="E232" s="560">
        <f t="shared" si="27"/>
        <v>5008.29194132251</v>
      </c>
    </row>
    <row r="233" spans="1:5" s="506" customFormat="1" ht="12.75">
      <c r="A233" s="512">
        <v>7</v>
      </c>
      <c r="B233" s="511" t="s">
        <v>843</v>
      </c>
      <c r="C233" s="560">
        <f t="shared" si="26"/>
        <v>2003.5623994484026</v>
      </c>
      <c r="D233" s="560">
        <f t="shared" si="26"/>
        <v>1515.3882479865545</v>
      </c>
      <c r="E233" s="560">
        <f t="shared" si="27"/>
        <v>-488.17415146184817</v>
      </c>
    </row>
    <row r="234" spans="1:5" ht="12.75">
      <c r="A234" s="512"/>
      <c r="B234" s="516" t="s">
        <v>913</v>
      </c>
      <c r="C234" s="561">
        <f t="shared" si="26"/>
        <v>7483.191591677263</v>
      </c>
      <c r="D234" s="561">
        <f t="shared" si="26"/>
        <v>7694.367681456584</v>
      </c>
      <c r="E234" s="561">
        <f t="shared" si="27"/>
        <v>211.17608977932105</v>
      </c>
    </row>
    <row r="235" spans="1:5" s="506" customFormat="1" ht="12.75">
      <c r="A235" s="512"/>
      <c r="B235" s="516" t="s">
        <v>914</v>
      </c>
      <c r="C235" s="561">
        <f t="shared" si="26"/>
        <v>7797.269058664979</v>
      </c>
      <c r="D235" s="561">
        <f t="shared" si="26"/>
        <v>8267.1474180771</v>
      </c>
      <c r="E235" s="561">
        <f t="shared" si="27"/>
        <v>469.8783594121214</v>
      </c>
    </row>
    <row r="236" spans="1:5" s="506" customFormat="1" ht="12.75">
      <c r="A236" s="505"/>
      <c r="B236" s="551"/>
      <c r="C236" s="510"/>
      <c r="D236" s="510"/>
      <c r="E236" s="561"/>
    </row>
    <row r="237" spans="1:5" s="506" customFormat="1" ht="12.75">
      <c r="A237" s="508" t="s">
        <v>436</v>
      </c>
      <c r="B237" s="509" t="s">
        <v>915</v>
      </c>
      <c r="C237" s="340"/>
      <c r="D237" s="340"/>
      <c r="E237" s="561"/>
    </row>
    <row r="238" spans="1:5" s="506" customFormat="1" ht="12.75">
      <c r="A238" s="505"/>
      <c r="B238" s="519"/>
      <c r="C238" s="520"/>
      <c r="D238" s="520"/>
      <c r="E238" s="520"/>
    </row>
    <row r="239" spans="1:5" s="506" customFormat="1" ht="12.75">
      <c r="A239" s="512">
        <v>1</v>
      </c>
      <c r="B239" s="511" t="s">
        <v>736</v>
      </c>
      <c r="C239" s="560">
        <f aca="true" t="shared" si="28" ref="C239:D247">IF(C215=0,0,C58/C215)</f>
        <v>9539.582183927729</v>
      </c>
      <c r="D239" s="560">
        <f t="shared" si="28"/>
        <v>9678.26783128567</v>
      </c>
      <c r="E239" s="562">
        <f aca="true" t="shared" si="29" ref="E239:E247">D239-C239</f>
        <v>138.68564735794098</v>
      </c>
    </row>
    <row r="240" spans="1:5" s="506" customFormat="1" ht="12.75">
      <c r="A240" s="512">
        <v>2</v>
      </c>
      <c r="B240" s="511" t="s">
        <v>715</v>
      </c>
      <c r="C240" s="560">
        <f t="shared" si="28"/>
        <v>8912.71048136964</v>
      </c>
      <c r="D240" s="560">
        <f t="shared" si="28"/>
        <v>10550.068330295095</v>
      </c>
      <c r="E240" s="562">
        <f t="shared" si="29"/>
        <v>1637.3578489254542</v>
      </c>
    </row>
    <row r="241" spans="1:5" ht="12.75">
      <c r="A241" s="512">
        <v>3</v>
      </c>
      <c r="B241" s="511" t="s">
        <v>861</v>
      </c>
      <c r="C241" s="560">
        <f t="shared" si="28"/>
        <v>5438.8980044283635</v>
      </c>
      <c r="D241" s="560">
        <f t="shared" si="28"/>
        <v>6609.784012634146</v>
      </c>
      <c r="E241" s="562">
        <f t="shared" si="29"/>
        <v>1170.8860082057827</v>
      </c>
    </row>
    <row r="242" spans="1:5" ht="12.75">
      <c r="A242" s="512">
        <v>4</v>
      </c>
      <c r="B242" s="511" t="s">
        <v>229</v>
      </c>
      <c r="C242" s="560">
        <f t="shared" si="28"/>
        <v>5523.252732949514</v>
      </c>
      <c r="D242" s="560">
        <f t="shared" si="28"/>
        <v>7249.435799311081</v>
      </c>
      <c r="E242" s="562">
        <f t="shared" si="29"/>
        <v>1726.1830663615665</v>
      </c>
    </row>
    <row r="243" spans="1:5" ht="12.75">
      <c r="A243" s="512">
        <v>5</v>
      </c>
      <c r="B243" s="511" t="s">
        <v>828</v>
      </c>
      <c r="C243" s="560">
        <f t="shared" si="28"/>
        <v>5011.834257711608</v>
      </c>
      <c r="D243" s="560">
        <f t="shared" si="28"/>
        <v>4339.65206325824</v>
      </c>
      <c r="E243" s="562">
        <f t="shared" si="29"/>
        <v>-672.1821944533685</v>
      </c>
    </row>
    <row r="244" spans="1:5" ht="12.75">
      <c r="A244" s="512">
        <v>6</v>
      </c>
      <c r="B244" s="511" t="s">
        <v>533</v>
      </c>
      <c r="C244" s="560">
        <f t="shared" si="28"/>
        <v>4429.503281977786</v>
      </c>
      <c r="D244" s="560">
        <f t="shared" si="28"/>
        <v>7179.383372937247</v>
      </c>
      <c r="E244" s="562">
        <f t="shared" si="29"/>
        <v>2749.880090959461</v>
      </c>
    </row>
    <row r="245" spans="1:5" ht="12.75">
      <c r="A245" s="512">
        <v>7</v>
      </c>
      <c r="B245" s="511" t="s">
        <v>843</v>
      </c>
      <c r="C245" s="560">
        <f t="shared" si="28"/>
        <v>1617.7995337072489</v>
      </c>
      <c r="D245" s="560">
        <f t="shared" si="28"/>
        <v>1510.3258244694937</v>
      </c>
      <c r="E245" s="562">
        <f t="shared" si="29"/>
        <v>-107.4737092377552</v>
      </c>
    </row>
    <row r="246" spans="1:5" ht="25.5">
      <c r="A246" s="512"/>
      <c r="B246" s="516" t="s">
        <v>916</v>
      </c>
      <c r="C246" s="561">
        <f t="shared" si="28"/>
        <v>7493.627294743997</v>
      </c>
      <c r="D246" s="561">
        <f t="shared" si="28"/>
        <v>9014.038243141395</v>
      </c>
      <c r="E246" s="563">
        <f t="shared" si="29"/>
        <v>1520.410948397398</v>
      </c>
    </row>
    <row r="247" spans="1:5" ht="12.75">
      <c r="A247" s="512"/>
      <c r="B247" s="516" t="s">
        <v>917</v>
      </c>
      <c r="C247" s="561">
        <f t="shared" si="28"/>
        <v>8667.625807179074</v>
      </c>
      <c r="D247" s="561">
        <f t="shared" si="28"/>
        <v>9396.696051584217</v>
      </c>
      <c r="E247" s="563">
        <f t="shared" si="29"/>
        <v>729.0702444051421</v>
      </c>
    </row>
    <row r="248" spans="1:5" ht="12.75">
      <c r="A248" s="505"/>
      <c r="B248" s="519"/>
      <c r="C248" s="560"/>
      <c r="D248" s="560"/>
      <c r="E248" s="563"/>
    </row>
    <row r="249" spans="1:5" s="506" customFormat="1" ht="15.75" customHeight="1">
      <c r="A249" s="529" t="s">
        <v>845</v>
      </c>
      <c r="B249" s="550" t="s">
        <v>842</v>
      </c>
      <c r="C249" s="520"/>
      <c r="D249" s="520"/>
      <c r="E249" s="561"/>
    </row>
    <row r="250" spans="1:5" ht="12.75">
      <c r="A250" s="505"/>
      <c r="B250" s="519"/>
      <c r="C250" s="560"/>
      <c r="D250" s="560"/>
      <c r="E250" s="561"/>
    </row>
    <row r="251" spans="1:5" ht="12.75">
      <c r="A251" s="512">
        <v>1</v>
      </c>
      <c r="B251" s="511" t="s">
        <v>229</v>
      </c>
      <c r="C251" s="546">
        <f>((IF((IF(C15=0,0,C26/C15)*C138)=0,0,C59/(IF(C15=0,0,C26/C15)*C138)))-(IF((IF(C17=0,0,C28/C17)*C140)=0,0,C61/(IF(C17=0,0,C28/C17)*C140))))*(IF(C17=0,0,C28/C17)*C140)</f>
        <v>4217093.954918366</v>
      </c>
      <c r="D251" s="546">
        <f>((IF((IF(D15=0,0,D26/D15)*D138)=0,0,D59/(IF(D15=0,0,D26/D15)*D138)))-(IF((IF(D17=0,0,D28/D17)*D140)=0,0,D61/(IF(D17=0,0,D28/D17)*D140))))*(IF(D17=0,0,D28/D17)*D140)</f>
        <v>3850125.991048987</v>
      </c>
      <c r="E251" s="546">
        <f>D251-C251</f>
        <v>-366967.9638693789</v>
      </c>
    </row>
    <row r="252" spans="1:5" ht="12.75">
      <c r="A252" s="512">
        <v>2</v>
      </c>
      <c r="B252" s="511" t="s">
        <v>828</v>
      </c>
      <c r="C252" s="546">
        <f>IF(C231=0,0,(C228-C231)*C207)+IF(C243=0,0,(C240-C243)*C219)</f>
        <v>4187927.3687584493</v>
      </c>
      <c r="D252" s="546">
        <f>IF(D231=0,0,(D228-D231)*D207)+IF(D243=0,0,(D240-D243)*D219)</f>
        <v>6487681.579669293</v>
      </c>
      <c r="E252" s="546">
        <f>D252-C252</f>
        <v>2299754.2109108437</v>
      </c>
    </row>
    <row r="253" spans="1:5" ht="12.75">
      <c r="A253" s="512">
        <v>3</v>
      </c>
      <c r="B253" s="511" t="s">
        <v>843</v>
      </c>
      <c r="C253" s="546">
        <f>IF(C233=0,0,(C228-C233)*C209+IF(C221=0,0,(C240-C245)*C221))</f>
        <v>14217498.592723561</v>
      </c>
      <c r="D253" s="546">
        <f>IF(D233=0,0,(D228-D233)*D209+IF(D221=0,0,(D240-D245)*D221))</f>
        <v>15662497.871901006</v>
      </c>
      <c r="E253" s="546">
        <f>D253-C253</f>
        <v>1444999.279177444</v>
      </c>
    </row>
    <row r="254" spans="1:5" ht="15" customHeight="1">
      <c r="A254" s="512"/>
      <c r="B254" s="516" t="s">
        <v>844</v>
      </c>
      <c r="C254" s="564">
        <f>+C251+C252+C253</f>
        <v>22622519.916400377</v>
      </c>
      <c r="D254" s="564">
        <f>+D251+D252+D253</f>
        <v>26000305.442619286</v>
      </c>
      <c r="E254" s="564">
        <f>D254-C254</f>
        <v>3377785.52621891</v>
      </c>
    </row>
    <row r="255" spans="1:5" ht="12.75">
      <c r="A255" s="502"/>
      <c r="B255" s="519"/>
      <c r="C255" s="520"/>
      <c r="D255" s="520"/>
      <c r="E255" s="564"/>
    </row>
    <row r="256" spans="1:5" ht="15.75" customHeight="1">
      <c r="A256" s="529" t="s">
        <v>918</v>
      </c>
      <c r="B256" s="550" t="s">
        <v>919</v>
      </c>
      <c r="C256" s="520"/>
      <c r="D256" s="520"/>
      <c r="E256" s="564"/>
    </row>
    <row r="257" spans="1:5" ht="11.25" customHeight="1">
      <c r="A257" s="502"/>
      <c r="B257" s="519"/>
      <c r="C257" s="520"/>
      <c r="D257" s="520"/>
      <c r="E257" s="520"/>
    </row>
    <row r="258" spans="1:5" ht="12.75">
      <c r="A258" s="512">
        <v>1</v>
      </c>
      <c r="B258" s="511" t="s">
        <v>810</v>
      </c>
      <c r="C258" s="546">
        <f>+C44</f>
        <v>717916546</v>
      </c>
      <c r="D258" s="549">
        <f>+D44</f>
        <v>852498869</v>
      </c>
      <c r="E258" s="546">
        <f aca="true" t="shared" si="30" ref="E258:E271">D258-C258</f>
        <v>134582323</v>
      </c>
    </row>
    <row r="259" spans="1:5" ht="12.75">
      <c r="A259" s="512">
        <v>2</v>
      </c>
      <c r="B259" s="511" t="s">
        <v>827</v>
      </c>
      <c r="C259" s="546">
        <f>+(C43-C76)</f>
        <v>288929777</v>
      </c>
      <c r="D259" s="549">
        <f>+(D43-D76)</f>
        <v>358594346</v>
      </c>
      <c r="E259" s="546">
        <f t="shared" si="30"/>
        <v>69664569</v>
      </c>
    </row>
    <row r="260" spans="1:5" ht="12.75">
      <c r="A260" s="512">
        <v>3</v>
      </c>
      <c r="B260" s="511" t="s">
        <v>831</v>
      </c>
      <c r="C260" s="546">
        <f>C195</f>
        <v>32057910</v>
      </c>
      <c r="D260" s="546">
        <f>D195</f>
        <v>39387626</v>
      </c>
      <c r="E260" s="546">
        <f t="shared" si="30"/>
        <v>7329716</v>
      </c>
    </row>
    <row r="261" spans="1:5" ht="12.75">
      <c r="A261" s="512">
        <v>4</v>
      </c>
      <c r="B261" s="511" t="s">
        <v>832</v>
      </c>
      <c r="C261" s="546">
        <f>C188</f>
        <v>99044292</v>
      </c>
      <c r="D261" s="546">
        <f>D188</f>
        <v>130934442</v>
      </c>
      <c r="E261" s="546">
        <f t="shared" si="30"/>
        <v>31890150</v>
      </c>
    </row>
    <row r="262" spans="1:5" ht="12.75">
      <c r="A262" s="512">
        <v>5</v>
      </c>
      <c r="B262" s="511" t="s">
        <v>833</v>
      </c>
      <c r="C262" s="546">
        <f>C191</f>
        <v>5664422</v>
      </c>
      <c r="D262" s="546">
        <f>D191</f>
        <v>6114636</v>
      </c>
      <c r="E262" s="546">
        <f t="shared" si="30"/>
        <v>450214</v>
      </c>
    </row>
    <row r="263" spans="1:5" ht="12.75">
      <c r="A263" s="512">
        <v>6</v>
      </c>
      <c r="B263" s="511" t="s">
        <v>834</v>
      </c>
      <c r="C263" s="546">
        <f>+C259+C260+C261+C262</f>
        <v>425696401</v>
      </c>
      <c r="D263" s="546">
        <f>+D259+D260+D261+D262</f>
        <v>535031050</v>
      </c>
      <c r="E263" s="546">
        <f t="shared" si="30"/>
        <v>109334649</v>
      </c>
    </row>
    <row r="264" spans="1:5" ht="12.75">
      <c r="A264" s="512">
        <v>7</v>
      </c>
      <c r="B264" s="511" t="s">
        <v>734</v>
      </c>
      <c r="C264" s="546">
        <f>+C258-C263</f>
        <v>292220145</v>
      </c>
      <c r="D264" s="546">
        <f>+D258-D263</f>
        <v>317467819</v>
      </c>
      <c r="E264" s="546">
        <f t="shared" si="30"/>
        <v>25247674</v>
      </c>
    </row>
    <row r="265" spans="1:5" ht="12.75">
      <c r="A265" s="512">
        <v>8</v>
      </c>
      <c r="B265" s="511" t="s">
        <v>920</v>
      </c>
      <c r="C265" s="565">
        <f>C192</f>
        <v>2299246</v>
      </c>
      <c r="D265" s="565">
        <f>D192</f>
        <v>2290216</v>
      </c>
      <c r="E265" s="546">
        <f t="shared" si="30"/>
        <v>-9030</v>
      </c>
    </row>
    <row r="266" spans="1:5" ht="12.75">
      <c r="A266" s="512">
        <v>9</v>
      </c>
      <c r="B266" s="511" t="s">
        <v>921</v>
      </c>
      <c r="C266" s="546">
        <f>+C264+C265</f>
        <v>294519391</v>
      </c>
      <c r="D266" s="546">
        <f>+D264+D265</f>
        <v>319758035</v>
      </c>
      <c r="E266" s="565">
        <f t="shared" si="30"/>
        <v>25238644</v>
      </c>
    </row>
    <row r="267" spans="1:5" ht="12.75">
      <c r="A267" s="512">
        <v>10</v>
      </c>
      <c r="B267" s="511" t="s">
        <v>922</v>
      </c>
      <c r="C267" s="566">
        <f>IF(C258=0,0,C266/C258)</f>
        <v>0.41024182078121374</v>
      </c>
      <c r="D267" s="566">
        <f>IF(D258=0,0,D266/D258)</f>
        <v>0.3750832366206928</v>
      </c>
      <c r="E267" s="567">
        <f t="shared" si="30"/>
        <v>-0.03515858416052092</v>
      </c>
    </row>
    <row r="268" spans="1:5" ht="12.75">
      <c r="A268" s="512">
        <v>11</v>
      </c>
      <c r="B268" s="511" t="s">
        <v>796</v>
      </c>
      <c r="C268" s="546">
        <f>+C260*C267</f>
        <v>13151495.368840279</v>
      </c>
      <c r="D268" s="568">
        <f>+D260*D267</f>
        <v>14773638.242885353</v>
      </c>
      <c r="E268" s="546">
        <f t="shared" si="30"/>
        <v>1622142.874045074</v>
      </c>
    </row>
    <row r="269" spans="1:5" ht="12.75">
      <c r="A269" s="512">
        <v>12</v>
      </c>
      <c r="B269" s="511" t="s">
        <v>923</v>
      </c>
      <c r="C269" s="546">
        <f>((C17+C18+C28+C29)*C267)-(C50+C51+C61+C62)</f>
        <v>15102002.604585059</v>
      </c>
      <c r="D269" s="568">
        <f>((D17+D18+D28+D29)*D267)-(D50+D51+D61+D62)</f>
        <v>13613945.217275217</v>
      </c>
      <c r="E269" s="546">
        <f t="shared" si="30"/>
        <v>-1488057.3873098418</v>
      </c>
    </row>
    <row r="270" spans="1:5" s="569" customFormat="1" ht="12.75">
      <c r="A270" s="570">
        <v>13</v>
      </c>
      <c r="B270" s="571" t="s">
        <v>924</v>
      </c>
      <c r="C270" s="572">
        <v>0</v>
      </c>
      <c r="D270" s="572">
        <v>0</v>
      </c>
      <c r="E270" s="546">
        <f t="shared" si="30"/>
        <v>0</v>
      </c>
    </row>
    <row r="271" spans="1:5" ht="12.75">
      <c r="A271" s="512">
        <v>14</v>
      </c>
      <c r="B271" s="511" t="s">
        <v>925</v>
      </c>
      <c r="C271" s="546">
        <f>+C268+C269+C270</f>
        <v>28253497.973425336</v>
      </c>
      <c r="D271" s="546">
        <f>+D268+D269+D270</f>
        <v>28387583.46016057</v>
      </c>
      <c r="E271" s="549">
        <f t="shared" si="30"/>
        <v>134085.48673523217</v>
      </c>
    </row>
    <row r="272" spans="1:5" ht="12.75">
      <c r="A272" s="512"/>
      <c r="B272" s="511"/>
      <c r="C272" s="546"/>
      <c r="D272" s="546"/>
      <c r="E272" s="564"/>
    </row>
    <row r="273" spans="1:5" ht="15.75" customHeight="1">
      <c r="A273" s="500" t="s">
        <v>926</v>
      </c>
      <c r="B273" s="550" t="s">
        <v>927</v>
      </c>
      <c r="C273" s="546"/>
      <c r="D273" s="546"/>
      <c r="E273" s="564"/>
    </row>
    <row r="274" spans="1:5" ht="15.75" customHeight="1">
      <c r="A274" s="508"/>
      <c r="B274" s="573"/>
      <c r="C274" s="546"/>
      <c r="D274" s="546"/>
      <c r="E274" s="564"/>
    </row>
    <row r="275" spans="1:5" ht="12.75">
      <c r="A275" s="340" t="s">
        <v>129</v>
      </c>
      <c r="B275" s="509" t="s">
        <v>928</v>
      </c>
      <c r="C275" s="340"/>
      <c r="D275" s="340"/>
      <c r="E275" s="520"/>
    </row>
    <row r="276" spans="1:5" ht="12.75">
      <c r="A276" s="512">
        <v>1</v>
      </c>
      <c r="B276" s="511" t="s">
        <v>736</v>
      </c>
      <c r="C276" s="547">
        <f aca="true" t="shared" si="31" ref="C276:D284">IF(C14=0,0,+C47/C14)</f>
        <v>0.5034373343025528</v>
      </c>
      <c r="D276" s="547">
        <f t="shared" si="31"/>
        <v>0.474188264471974</v>
      </c>
      <c r="E276" s="574">
        <f aca="true" t="shared" si="32" ref="E276:E284">D276-C276</f>
        <v>-0.02924906983057879</v>
      </c>
    </row>
    <row r="277" spans="1:5" ht="12.75">
      <c r="A277" s="512">
        <v>2</v>
      </c>
      <c r="B277" s="511" t="s">
        <v>715</v>
      </c>
      <c r="C277" s="547">
        <f t="shared" si="31"/>
        <v>0.4075857351012699</v>
      </c>
      <c r="D277" s="547">
        <f t="shared" si="31"/>
        <v>0.3619480818287671</v>
      </c>
      <c r="E277" s="574">
        <f t="shared" si="32"/>
        <v>-0.0456376532725028</v>
      </c>
    </row>
    <row r="278" spans="1:5" ht="12.75">
      <c r="A278" s="512">
        <v>3</v>
      </c>
      <c r="B278" s="511" t="s">
        <v>861</v>
      </c>
      <c r="C278" s="547">
        <f t="shared" si="31"/>
        <v>0.22469249817529527</v>
      </c>
      <c r="D278" s="547">
        <f t="shared" si="31"/>
        <v>0.25332371603244386</v>
      </c>
      <c r="E278" s="574">
        <f t="shared" si="32"/>
        <v>0.02863121785714859</v>
      </c>
    </row>
    <row r="279" spans="1:5" ht="12.75">
      <c r="A279" s="512">
        <v>4</v>
      </c>
      <c r="B279" s="511" t="s">
        <v>229</v>
      </c>
      <c r="C279" s="547">
        <f t="shared" si="31"/>
        <v>0.25388986695026866</v>
      </c>
      <c r="D279" s="547">
        <f t="shared" si="31"/>
        <v>0.28490048839855614</v>
      </c>
      <c r="E279" s="574">
        <f t="shared" si="32"/>
        <v>0.03101062144828748</v>
      </c>
    </row>
    <row r="280" spans="1:5" ht="12.75">
      <c r="A280" s="512">
        <v>5</v>
      </c>
      <c r="B280" s="511" t="s">
        <v>828</v>
      </c>
      <c r="C280" s="547">
        <f t="shared" si="31"/>
        <v>0.0926249448982547</v>
      </c>
      <c r="D280" s="547">
        <f t="shared" si="31"/>
        <v>0.11973560261813458</v>
      </c>
      <c r="E280" s="574">
        <f t="shared" si="32"/>
        <v>0.027110657719879888</v>
      </c>
    </row>
    <row r="281" spans="1:5" ht="12.75">
      <c r="A281" s="512">
        <v>6</v>
      </c>
      <c r="B281" s="511" t="s">
        <v>533</v>
      </c>
      <c r="C281" s="547">
        <f t="shared" si="31"/>
        <v>0.05292121862211289</v>
      </c>
      <c r="D281" s="547">
        <f t="shared" si="31"/>
        <v>0.3375589377628306</v>
      </c>
      <c r="E281" s="574">
        <f t="shared" si="32"/>
        <v>0.28463771914071767</v>
      </c>
    </row>
    <row r="282" spans="1:5" ht="12.75">
      <c r="A282" s="512">
        <v>7</v>
      </c>
      <c r="B282" s="511" t="s">
        <v>843</v>
      </c>
      <c r="C282" s="547">
        <f t="shared" si="31"/>
        <v>0.12973743640636354</v>
      </c>
      <c r="D282" s="547">
        <f t="shared" si="31"/>
        <v>0.07791933747045132</v>
      </c>
      <c r="E282" s="574">
        <f t="shared" si="32"/>
        <v>-0.051818098935912216</v>
      </c>
    </row>
    <row r="283" spans="1:5" ht="29.25" customHeight="1">
      <c r="A283" s="512"/>
      <c r="B283" s="516" t="s">
        <v>929</v>
      </c>
      <c r="C283" s="575">
        <f t="shared" si="31"/>
        <v>0.37616546284927066</v>
      </c>
      <c r="D283" s="575">
        <f t="shared" si="31"/>
        <v>0.33954361373605696</v>
      </c>
      <c r="E283" s="576">
        <f t="shared" si="32"/>
        <v>-0.0366218491132137</v>
      </c>
    </row>
    <row r="284" spans="1:5" ht="12.75">
      <c r="A284" s="512"/>
      <c r="B284" s="516" t="s">
        <v>930</v>
      </c>
      <c r="C284" s="575">
        <f t="shared" si="31"/>
        <v>0.4162193988256163</v>
      </c>
      <c r="D284" s="575">
        <f t="shared" si="31"/>
        <v>0.3818303638557348</v>
      </c>
      <c r="E284" s="576">
        <f t="shared" si="32"/>
        <v>-0.03438903496988149</v>
      </c>
    </row>
    <row r="285" spans="1:5" ht="11.25" customHeight="1">
      <c r="A285" s="502"/>
      <c r="B285" s="519"/>
      <c r="C285" s="520"/>
      <c r="D285" s="520"/>
      <c r="E285" s="520"/>
    </row>
    <row r="286" spans="1:5" ht="12.75">
      <c r="A286" s="340" t="s">
        <v>141</v>
      </c>
      <c r="B286" s="509" t="s">
        <v>931</v>
      </c>
      <c r="C286" s="520"/>
      <c r="D286" s="520"/>
      <c r="E286" s="520"/>
    </row>
    <row r="287" spans="1:5" ht="12.75">
      <c r="A287" s="512">
        <v>1</v>
      </c>
      <c r="B287" s="511" t="s">
        <v>736</v>
      </c>
      <c r="C287" s="547">
        <f aca="true" t="shared" si="33" ref="C287:D295">IF(C25=0,0,+C58/C25)</f>
        <v>0.4441722838642342</v>
      </c>
      <c r="D287" s="547">
        <f t="shared" si="33"/>
        <v>0.4118728110977079</v>
      </c>
      <c r="E287" s="574">
        <f aca="true" t="shared" si="34" ref="E287:E295">D287-C287</f>
        <v>-0.03229947276652628</v>
      </c>
    </row>
    <row r="288" spans="1:5" ht="12.75">
      <c r="A288" s="512">
        <v>2</v>
      </c>
      <c r="B288" s="511" t="s">
        <v>715</v>
      </c>
      <c r="C288" s="547">
        <f t="shared" si="33"/>
        <v>0.290513477549727</v>
      </c>
      <c r="D288" s="547">
        <f t="shared" si="33"/>
        <v>0.30806858483986505</v>
      </c>
      <c r="E288" s="574">
        <f t="shared" si="34"/>
        <v>0.01755510729013804</v>
      </c>
    </row>
    <row r="289" spans="1:5" ht="12.75">
      <c r="A289" s="512">
        <v>3</v>
      </c>
      <c r="B289" s="511" t="s">
        <v>861</v>
      </c>
      <c r="C289" s="547">
        <f t="shared" si="33"/>
        <v>0.27634738033156525</v>
      </c>
      <c r="D289" s="547">
        <f t="shared" si="33"/>
        <v>0.28651525075887846</v>
      </c>
      <c r="E289" s="574">
        <f t="shared" si="34"/>
        <v>0.010167870427313208</v>
      </c>
    </row>
    <row r="290" spans="1:5" ht="12.75">
      <c r="A290" s="512">
        <v>4</v>
      </c>
      <c r="B290" s="511" t="s">
        <v>229</v>
      </c>
      <c r="C290" s="547">
        <f t="shared" si="33"/>
        <v>0.2974074134183326</v>
      </c>
      <c r="D290" s="547">
        <f t="shared" si="33"/>
        <v>0.322469702438391</v>
      </c>
      <c r="E290" s="574">
        <f t="shared" si="34"/>
        <v>0.025062289020058415</v>
      </c>
    </row>
    <row r="291" spans="1:5" ht="12.75">
      <c r="A291" s="512">
        <v>5</v>
      </c>
      <c r="B291" s="511" t="s">
        <v>828</v>
      </c>
      <c r="C291" s="547">
        <f t="shared" si="33"/>
        <v>0.19808664227994657</v>
      </c>
      <c r="D291" s="547">
        <f t="shared" si="33"/>
        <v>0.17249262065983056</v>
      </c>
      <c r="E291" s="574">
        <f t="shared" si="34"/>
        <v>-0.02559402162011601</v>
      </c>
    </row>
    <row r="292" spans="1:5" ht="12.75">
      <c r="A292" s="512">
        <v>6</v>
      </c>
      <c r="B292" s="511" t="s">
        <v>533</v>
      </c>
      <c r="C292" s="547">
        <f t="shared" si="33"/>
        <v>0.3098674310283053</v>
      </c>
      <c r="D292" s="547">
        <f t="shared" si="33"/>
        <v>0.35800057819363845</v>
      </c>
      <c r="E292" s="574">
        <f t="shared" si="34"/>
        <v>0.04813314716533318</v>
      </c>
    </row>
    <row r="293" spans="1:5" ht="12.75">
      <c r="A293" s="512">
        <v>7</v>
      </c>
      <c r="B293" s="511" t="s">
        <v>843</v>
      </c>
      <c r="C293" s="547">
        <f t="shared" si="33"/>
        <v>0.0953038456727174</v>
      </c>
      <c r="D293" s="547">
        <f t="shared" si="33"/>
        <v>0.07068265594625849</v>
      </c>
      <c r="E293" s="574">
        <f t="shared" si="34"/>
        <v>-0.02462118972645891</v>
      </c>
    </row>
    <row r="294" spans="1:5" ht="29.25" customHeight="1">
      <c r="A294" s="512"/>
      <c r="B294" s="516" t="s">
        <v>932</v>
      </c>
      <c r="C294" s="575">
        <f t="shared" si="33"/>
        <v>0.2862590207120529</v>
      </c>
      <c r="D294" s="575">
        <f t="shared" si="33"/>
        <v>0.3017545508927309</v>
      </c>
      <c r="E294" s="576">
        <f t="shared" si="34"/>
        <v>0.015495530180678008</v>
      </c>
    </row>
    <row r="295" spans="1:5" ht="12.75">
      <c r="A295" s="512"/>
      <c r="B295" s="516" t="s">
        <v>933</v>
      </c>
      <c r="C295" s="575">
        <f t="shared" si="33"/>
        <v>0.3691410039106208</v>
      </c>
      <c r="D295" s="575">
        <f t="shared" si="33"/>
        <v>0.35865067612520135</v>
      </c>
      <c r="E295" s="576">
        <f t="shared" si="34"/>
        <v>-0.010490327785419473</v>
      </c>
    </row>
    <row r="296" spans="1:5" ht="12.75">
      <c r="A296" s="502"/>
      <c r="B296" s="519"/>
      <c r="C296" s="519"/>
      <c r="D296" s="520"/>
      <c r="E296" s="576"/>
    </row>
    <row r="297" spans="1:5" ht="15.75" customHeight="1">
      <c r="A297" s="500" t="s">
        <v>934</v>
      </c>
      <c r="B297" s="501" t="s">
        <v>935</v>
      </c>
      <c r="C297" s="340"/>
      <c r="E297" s="576"/>
    </row>
    <row r="298" spans="1:5" ht="15.75" customHeight="1">
      <c r="A298" s="340"/>
      <c r="B298" s="577"/>
      <c r="C298" s="499"/>
      <c r="E298" s="576"/>
    </row>
    <row r="299" spans="1:5" ht="12.75">
      <c r="A299" s="508" t="s">
        <v>129</v>
      </c>
      <c r="B299" s="509" t="s">
        <v>936</v>
      </c>
      <c r="C299" s="510"/>
      <c r="D299" s="510"/>
      <c r="E299" s="576"/>
    </row>
    <row r="300" spans="1:5" ht="12.75">
      <c r="A300" s="511"/>
      <c r="B300" s="511"/>
      <c r="C300" s="510"/>
      <c r="D300" s="510"/>
      <c r="E300" s="576"/>
    </row>
    <row r="301" spans="1:5" ht="12.75">
      <c r="A301" s="512">
        <v>1</v>
      </c>
      <c r="B301" s="511" t="s">
        <v>734</v>
      </c>
      <c r="C301" s="514">
        <f>+C48+C47+C50+C51+C52+C59+C58+C61+C62+C63</f>
        <v>289230693</v>
      </c>
      <c r="D301" s="514">
        <f>+D48+D47+D50+D51+D52+D59+D58+D61+D62+D63</f>
        <v>319970643</v>
      </c>
      <c r="E301" s="514">
        <f>D301-C301</f>
        <v>30739950</v>
      </c>
    </row>
    <row r="302" spans="1:5" ht="25.5">
      <c r="A302" s="512">
        <v>2</v>
      </c>
      <c r="B302" s="511" t="s">
        <v>937</v>
      </c>
      <c r="C302" s="546">
        <f>C265</f>
        <v>2299246</v>
      </c>
      <c r="D302" s="546">
        <f>D265</f>
        <v>2290216</v>
      </c>
      <c r="E302" s="514">
        <f>D302-C302</f>
        <v>-9030</v>
      </c>
    </row>
    <row r="303" spans="1:5" ht="12.75">
      <c r="A303" s="512"/>
      <c r="B303" s="516" t="s">
        <v>938</v>
      </c>
      <c r="C303" s="517">
        <f>+C301+C302</f>
        <v>291529939</v>
      </c>
      <c r="D303" s="517">
        <f>+D301+D302</f>
        <v>322260859</v>
      </c>
      <c r="E303" s="517">
        <f>D303-C303</f>
        <v>30730920</v>
      </c>
    </row>
    <row r="304" spans="1:5" ht="12.75">
      <c r="A304" s="512"/>
      <c r="B304" s="511"/>
      <c r="C304" s="511"/>
      <c r="D304" s="511"/>
      <c r="E304" s="514"/>
    </row>
    <row r="305" spans="1:5" ht="12.75">
      <c r="A305" s="512">
        <v>3</v>
      </c>
      <c r="B305" s="511" t="s">
        <v>939</v>
      </c>
      <c r="C305" s="513">
        <v>17834516</v>
      </c>
      <c r="D305" s="578">
        <v>20683932</v>
      </c>
      <c r="E305" s="579">
        <f>D305-C305</f>
        <v>2849416</v>
      </c>
    </row>
    <row r="306" spans="1:5" ht="12.75">
      <c r="A306" s="512">
        <v>4</v>
      </c>
      <c r="B306" s="516" t="s">
        <v>940</v>
      </c>
      <c r="C306" s="580">
        <f>+C303+C305+C194+C190-C191</f>
        <v>340291683</v>
      </c>
      <c r="D306" s="580">
        <f>+D303+D305</f>
        <v>342944791</v>
      </c>
      <c r="E306" s="580">
        <f>D306-C306</f>
        <v>2653108</v>
      </c>
    </row>
    <row r="307" spans="1:5" ht="12.75">
      <c r="A307" s="512"/>
      <c r="B307" s="510"/>
      <c r="C307" s="510"/>
      <c r="D307" s="510"/>
      <c r="E307" s="514"/>
    </row>
    <row r="308" spans="1:5" ht="25.5">
      <c r="A308" s="512">
        <v>5</v>
      </c>
      <c r="B308" s="511" t="s">
        <v>941</v>
      </c>
      <c r="C308" s="513">
        <v>309364455</v>
      </c>
      <c r="D308" s="513">
        <v>342945000</v>
      </c>
      <c r="E308" s="514">
        <f>D308-C308</f>
        <v>33580545</v>
      </c>
    </row>
    <row r="309" spans="1:5" ht="12.75">
      <c r="A309" s="512"/>
      <c r="B309" s="511"/>
      <c r="C309" s="511"/>
      <c r="D309" s="511"/>
      <c r="E309" s="514"/>
    </row>
    <row r="310" spans="1:5" ht="12.75">
      <c r="A310" s="512">
        <v>6</v>
      </c>
      <c r="B310" s="516" t="s">
        <v>942</v>
      </c>
      <c r="C310" s="581">
        <f>C306-C308</f>
        <v>30927228</v>
      </c>
      <c r="D310" s="582">
        <f>D306-D308</f>
        <v>-209</v>
      </c>
      <c r="E310" s="580">
        <f>D310-C310</f>
        <v>-30927437</v>
      </c>
    </row>
    <row r="311" spans="1:5" ht="12.75">
      <c r="A311" s="512"/>
      <c r="B311" s="511"/>
      <c r="C311" s="511"/>
      <c r="D311" s="511"/>
      <c r="E311" s="514"/>
    </row>
    <row r="312" spans="1:5" ht="12.75">
      <c r="A312" s="340" t="s">
        <v>141</v>
      </c>
      <c r="B312" s="509" t="s">
        <v>943</v>
      </c>
      <c r="C312" s="510"/>
      <c r="D312" s="510"/>
      <c r="E312" s="514"/>
    </row>
    <row r="313" spans="1:5" ht="12.75">
      <c r="A313" s="510"/>
      <c r="B313" s="551"/>
      <c r="C313" s="510"/>
      <c r="D313" s="510"/>
      <c r="E313" s="514"/>
    </row>
    <row r="314" spans="1:5" ht="12.75">
      <c r="A314" s="512">
        <v>1</v>
      </c>
      <c r="B314" s="511" t="s">
        <v>944</v>
      </c>
      <c r="C314" s="514">
        <f>+C14+C15+C16+C19+C25+C26+C27+C30</f>
        <v>717916546</v>
      </c>
      <c r="D314" s="514">
        <f>+D14+D15+D16+D19+D25+D26+D27+D30</f>
        <v>852498869</v>
      </c>
      <c r="E314" s="514">
        <f>D314-C314</f>
        <v>134582323</v>
      </c>
    </row>
    <row r="315" spans="1:5" ht="12.75">
      <c r="A315" s="512">
        <v>2</v>
      </c>
      <c r="B315" s="583" t="s">
        <v>945</v>
      </c>
      <c r="C315" s="513">
        <v>0</v>
      </c>
      <c r="D315" s="513">
        <v>0</v>
      </c>
      <c r="E315" s="514">
        <f>D315-C315</f>
        <v>0</v>
      </c>
    </row>
    <row r="316" spans="1:5" ht="12.75">
      <c r="A316" s="512"/>
      <c r="B316" s="516" t="s">
        <v>946</v>
      </c>
      <c r="C316" s="581">
        <f>C314+C315</f>
        <v>717916546</v>
      </c>
      <c r="D316" s="581">
        <f>D314+D315</f>
        <v>852498869</v>
      </c>
      <c r="E316" s="517">
        <f>D316-C316</f>
        <v>134582323</v>
      </c>
    </row>
    <row r="317" spans="1:5" ht="12.75">
      <c r="A317" s="512"/>
      <c r="B317" s="510"/>
      <c r="C317" s="513"/>
      <c r="D317" s="513"/>
      <c r="E317" s="514"/>
    </row>
    <row r="318" spans="1:5" ht="25.5">
      <c r="A318" s="512">
        <v>3</v>
      </c>
      <c r="B318" s="511" t="s">
        <v>947</v>
      </c>
      <c r="C318" s="513">
        <v>717916546</v>
      </c>
      <c r="D318" s="513">
        <v>852499000</v>
      </c>
      <c r="E318" s="514">
        <f>D318-C318</f>
        <v>134582454</v>
      </c>
    </row>
    <row r="319" spans="1:5" ht="12.75">
      <c r="A319" s="512"/>
      <c r="B319" s="511"/>
      <c r="C319" s="513"/>
      <c r="D319" s="513"/>
      <c r="E319" s="514"/>
    </row>
    <row r="320" spans="1:5" ht="12.75">
      <c r="A320" s="512">
        <v>4</v>
      </c>
      <c r="B320" s="516" t="s">
        <v>942</v>
      </c>
      <c r="C320" s="581">
        <f>C316-C318</f>
        <v>0</v>
      </c>
      <c r="D320" s="581">
        <f>D316-D318</f>
        <v>-131</v>
      </c>
      <c r="E320" s="517">
        <f>D320-C320</f>
        <v>-131</v>
      </c>
    </row>
    <row r="321" spans="1:5" ht="12.75">
      <c r="A321" s="511"/>
      <c r="B321" s="510"/>
      <c r="C321" s="510"/>
      <c r="D321" s="510"/>
      <c r="E321" s="514"/>
    </row>
    <row r="322" spans="1:5" ht="12.75">
      <c r="A322" s="508" t="s">
        <v>151</v>
      </c>
      <c r="B322" s="509" t="s">
        <v>948</v>
      </c>
      <c r="C322" s="510"/>
      <c r="D322" s="510"/>
      <c r="E322" s="514"/>
    </row>
    <row r="323" spans="1:5" ht="12.75">
      <c r="A323" s="510"/>
      <c r="B323" s="551"/>
      <c r="C323" s="510"/>
      <c r="D323" s="510"/>
      <c r="E323" s="514"/>
    </row>
    <row r="324" spans="1:5" ht="12.75">
      <c r="A324" s="512">
        <v>1</v>
      </c>
      <c r="B324" s="511" t="s">
        <v>949</v>
      </c>
      <c r="C324" s="513">
        <f>+C193+C194</f>
        <v>32057910</v>
      </c>
      <c r="D324" s="513">
        <f>+D193+D194</f>
        <v>39387626</v>
      </c>
      <c r="E324" s="514">
        <f>D324-C324</f>
        <v>7329716</v>
      </c>
    </row>
    <row r="325" spans="1:5" ht="12.75">
      <c r="A325" s="512">
        <v>2</v>
      </c>
      <c r="B325" s="511" t="s">
        <v>950</v>
      </c>
      <c r="C325" s="513">
        <v>-6139315</v>
      </c>
      <c r="D325" s="513">
        <v>-8736821</v>
      </c>
      <c r="E325" s="514">
        <f>D325-C325</f>
        <v>-2597506</v>
      </c>
    </row>
    <row r="326" spans="1:5" ht="12.75">
      <c r="A326" s="512"/>
      <c r="B326" s="516" t="s">
        <v>951</v>
      </c>
      <c r="C326" s="581">
        <f>C324+C325</f>
        <v>25918595</v>
      </c>
      <c r="D326" s="581">
        <f>D324+D325</f>
        <v>30650805</v>
      </c>
      <c r="E326" s="517">
        <f>D326-C326</f>
        <v>4732210</v>
      </c>
    </row>
    <row r="327" spans="1:5" ht="12.75">
      <c r="A327" s="512"/>
      <c r="B327" s="510"/>
      <c r="C327" s="513"/>
      <c r="D327" s="513"/>
      <c r="E327" s="514"/>
    </row>
    <row r="328" spans="1:5" ht="25.5">
      <c r="A328" s="512">
        <v>3</v>
      </c>
      <c r="B328" s="511" t="s">
        <v>952</v>
      </c>
      <c r="C328" s="513">
        <v>25918595</v>
      </c>
      <c r="D328" s="513">
        <v>30651000</v>
      </c>
      <c r="E328" s="514">
        <f>D328-C328</f>
        <v>4732405</v>
      </c>
    </row>
    <row r="329" spans="1:5" ht="12.75">
      <c r="A329" s="512"/>
      <c r="B329" s="511"/>
      <c r="C329" s="513"/>
      <c r="D329" s="513"/>
      <c r="E329" s="514"/>
    </row>
    <row r="330" spans="1:5" ht="12.75">
      <c r="A330" s="512">
        <v>4</v>
      </c>
      <c r="B330" s="516" t="s">
        <v>953</v>
      </c>
      <c r="C330" s="581">
        <f>C326-C328</f>
        <v>0</v>
      </c>
      <c r="D330" s="581">
        <f>D326-D328</f>
        <v>-195</v>
      </c>
      <c r="E330" s="517">
        <f>D330-C330</f>
        <v>-195</v>
      </c>
    </row>
    <row r="331" ht="12.75">
      <c r="E331" s="514"/>
    </row>
    <row r="332" ht="12.75">
      <c r="E332" s="514"/>
    </row>
    <row r="333" ht="12.75">
      <c r="E333" s="517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FILING&amp;RSAINT VINCENT`S MEDICAL CENTER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115</v>
      </c>
      <c r="B2" s="705"/>
      <c r="C2" s="705"/>
      <c r="D2" s="585"/>
    </row>
    <row r="3" spans="1:4" s="338" customFormat="1" ht="15.75" customHeight="1">
      <c r="A3" s="695" t="s">
        <v>706</v>
      </c>
      <c r="B3" s="696"/>
      <c r="C3" s="697"/>
      <c r="D3" s="585"/>
    </row>
    <row r="4" spans="1:4" s="338" customFormat="1" ht="15.75" customHeight="1">
      <c r="A4" s="695" t="s">
        <v>117</v>
      </c>
      <c r="B4" s="696"/>
      <c r="C4" s="697"/>
      <c r="D4" s="585"/>
    </row>
    <row r="5" spans="1:4" s="338" customFormat="1" ht="15.75" customHeight="1">
      <c r="A5" s="695" t="s">
        <v>954</v>
      </c>
      <c r="B5" s="696"/>
      <c r="C5" s="697"/>
      <c r="D5" s="585"/>
    </row>
    <row r="6" spans="1:4" s="338" customFormat="1" ht="15.75" customHeight="1">
      <c r="A6" s="695" t="s">
        <v>955</v>
      </c>
      <c r="B6" s="696"/>
      <c r="C6" s="697"/>
      <c r="D6" s="585"/>
    </row>
    <row r="7" spans="1:4" s="338" customFormat="1" ht="15.75" customHeight="1">
      <c r="A7" s="709"/>
      <c r="B7" s="709"/>
      <c r="C7" s="709"/>
      <c r="D7" s="585"/>
    </row>
    <row r="8" spans="1:4" s="338" customFormat="1" ht="15.75" customHeight="1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>
      <c r="A9" s="587" t="s">
        <v>123</v>
      </c>
      <c r="B9" s="493" t="s">
        <v>124</v>
      </c>
      <c r="C9" s="494" t="s">
        <v>956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>
      <c r="A11" s="500" t="s">
        <v>127</v>
      </c>
      <c r="B11" s="501" t="s">
        <v>957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ht="12.75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ht="12.75">
      <c r="A13" s="508" t="s">
        <v>129</v>
      </c>
      <c r="B13" s="509" t="s">
        <v>860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ht="12.75">
      <c r="A14" s="512">
        <v>1</v>
      </c>
      <c r="B14" s="511" t="s">
        <v>736</v>
      </c>
      <c r="C14" s="513">
        <v>192685203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12.75">
      <c r="A15" s="512">
        <v>2</v>
      </c>
      <c r="B15" s="511" t="s">
        <v>715</v>
      </c>
      <c r="C15" s="515">
        <v>333759984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ht="12.75">
      <c r="A16" s="512">
        <v>3</v>
      </c>
      <c r="B16" s="511" t="s">
        <v>861</v>
      </c>
      <c r="C16" s="515">
        <v>86720104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ht="12.75">
      <c r="A17" s="512">
        <v>4</v>
      </c>
      <c r="B17" s="511" t="s">
        <v>229</v>
      </c>
      <c r="C17" s="515">
        <v>70140666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ht="12.75">
      <c r="A18" s="512">
        <v>5</v>
      </c>
      <c r="B18" s="511" t="s">
        <v>828</v>
      </c>
      <c r="C18" s="515">
        <v>16579438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ht="12.75">
      <c r="A19" s="512">
        <v>6</v>
      </c>
      <c r="B19" s="511" t="s">
        <v>533</v>
      </c>
      <c r="C19" s="515">
        <v>360974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ht="12.75">
      <c r="A20" s="512">
        <v>7</v>
      </c>
      <c r="B20" s="511" t="s">
        <v>843</v>
      </c>
      <c r="C20" s="515">
        <v>20406154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ht="12.75">
      <c r="A21" s="512"/>
      <c r="B21" s="516" t="s">
        <v>862</v>
      </c>
      <c r="C21" s="517">
        <f>SUM(C15+C16+C19)</f>
        <v>420841062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ht="12.75">
      <c r="A22" s="512"/>
      <c r="B22" s="516" t="s">
        <v>802</v>
      </c>
      <c r="C22" s="517">
        <f>SUM(C14+C21)</f>
        <v>613526265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ht="12.75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ht="12.75">
      <c r="A24" s="508" t="s">
        <v>141</v>
      </c>
      <c r="B24" s="509" t="s">
        <v>863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ht="12.75">
      <c r="A25" s="512">
        <v>1</v>
      </c>
      <c r="B25" s="511" t="s">
        <v>736</v>
      </c>
      <c r="C25" s="513">
        <v>123472848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ht="12.75">
      <c r="A26" s="512">
        <v>2</v>
      </c>
      <c r="B26" s="511" t="s">
        <v>715</v>
      </c>
      <c r="C26" s="515">
        <v>80723437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ht="12.75">
      <c r="A27" s="512">
        <v>3</v>
      </c>
      <c r="B27" s="511" t="s">
        <v>861</v>
      </c>
      <c r="C27" s="515">
        <v>34492677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ht="12.75">
      <c r="A28" s="512">
        <v>4</v>
      </c>
      <c r="B28" s="511" t="s">
        <v>229</v>
      </c>
      <c r="C28" s="515">
        <v>26223645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ht="12.75">
      <c r="A29" s="512">
        <v>5</v>
      </c>
      <c r="B29" s="511" t="s">
        <v>828</v>
      </c>
      <c r="C29" s="515">
        <v>8269032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ht="12.75">
      <c r="A30" s="512">
        <v>6</v>
      </c>
      <c r="B30" s="511" t="s">
        <v>533</v>
      </c>
      <c r="C30" s="515">
        <v>283642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ht="12.75">
      <c r="A31" s="512">
        <v>7</v>
      </c>
      <c r="B31" s="511" t="s">
        <v>843</v>
      </c>
      <c r="C31" s="518">
        <v>20686277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ht="12.75">
      <c r="A32" s="512"/>
      <c r="B32" s="516" t="s">
        <v>864</v>
      </c>
      <c r="C32" s="517">
        <f>SUM(C26+C27+C30)</f>
        <v>115499756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ht="12.75">
      <c r="A33" s="512"/>
      <c r="B33" s="516" t="s">
        <v>808</v>
      </c>
      <c r="C33" s="517">
        <f>SUM(C25+C32)</f>
        <v>238972604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ht="12.75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ht="12.75">
      <c r="A35" s="508" t="s">
        <v>151</v>
      </c>
      <c r="B35" s="509" t="s">
        <v>733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ht="12.75">
      <c r="A36" s="512">
        <v>1</v>
      </c>
      <c r="B36" s="511" t="s">
        <v>958</v>
      </c>
      <c r="C36" s="514">
        <f>SUM(C14+C25)</f>
        <v>316158051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ht="12.75">
      <c r="A37" s="512">
        <v>2</v>
      </c>
      <c r="B37" s="511" t="s">
        <v>959</v>
      </c>
      <c r="C37" s="518">
        <f>SUM(C21+C32)</f>
        <v>536340818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ht="12.75">
      <c r="A38" s="512"/>
      <c r="B38" s="516" t="s">
        <v>733</v>
      </c>
      <c r="C38" s="517">
        <f>SUM(+C36+C37)</f>
        <v>852498869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ht="12.75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ht="12.75">
      <c r="A40" s="508" t="s">
        <v>436</v>
      </c>
      <c r="B40" s="509" t="s">
        <v>873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>
      <c r="A41" s="512">
        <v>1</v>
      </c>
      <c r="B41" s="511" t="s">
        <v>736</v>
      </c>
      <c r="C41" s="513">
        <v>91369062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ht="12.75">
      <c r="A42" s="512">
        <v>2</v>
      </c>
      <c r="B42" s="511" t="s">
        <v>715</v>
      </c>
      <c r="C42" s="515">
        <v>120803786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ht="12.75">
      <c r="A43" s="512">
        <v>3</v>
      </c>
      <c r="B43" s="511" t="s">
        <v>861</v>
      </c>
      <c r="C43" s="515">
        <v>21968259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ht="12.75">
      <c r="A44" s="512">
        <v>4</v>
      </c>
      <c r="B44" s="511" t="s">
        <v>229</v>
      </c>
      <c r="C44" s="515">
        <v>19983110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ht="12.75">
      <c r="A45" s="512">
        <v>5</v>
      </c>
      <c r="B45" s="511" t="s">
        <v>828</v>
      </c>
      <c r="C45" s="515">
        <v>1985149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ht="12.75">
      <c r="A46" s="512">
        <v>6</v>
      </c>
      <c r="B46" s="511" t="s">
        <v>533</v>
      </c>
      <c r="C46" s="515">
        <v>121850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ht="12.75">
      <c r="A47" s="512">
        <v>7</v>
      </c>
      <c r="B47" s="511" t="s">
        <v>843</v>
      </c>
      <c r="C47" s="515">
        <v>1590034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ht="12.75">
      <c r="A48" s="512"/>
      <c r="B48" s="516" t="s">
        <v>874</v>
      </c>
      <c r="C48" s="517">
        <f>SUM(C42+C43+C46)</f>
        <v>142893895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ht="12.75">
      <c r="A49" s="512"/>
      <c r="B49" s="516" t="s">
        <v>803</v>
      </c>
      <c r="C49" s="517">
        <f>SUM(C41+C48)</f>
        <v>234262957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ht="12.75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ht="12.75">
      <c r="A51" s="508" t="s">
        <v>457</v>
      </c>
      <c r="B51" s="509" t="s">
        <v>875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ht="12.75">
      <c r="A52" s="512">
        <v>1</v>
      </c>
      <c r="B52" s="511" t="s">
        <v>736</v>
      </c>
      <c r="C52" s="513">
        <v>50855109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ht="12.75">
      <c r="A53" s="512">
        <v>2</v>
      </c>
      <c r="B53" s="511" t="s">
        <v>715</v>
      </c>
      <c r="C53" s="515">
        <v>24868355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ht="12.75">
      <c r="A54" s="512">
        <v>3</v>
      </c>
      <c r="B54" s="511" t="s">
        <v>861</v>
      </c>
      <c r="C54" s="515">
        <v>9882678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ht="12.75">
      <c r="A55" s="512">
        <v>4</v>
      </c>
      <c r="B55" s="511" t="s">
        <v>229</v>
      </c>
      <c r="C55" s="515">
        <v>8456331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ht="12.75">
      <c r="A56" s="512">
        <v>5</v>
      </c>
      <c r="B56" s="511" t="s">
        <v>828</v>
      </c>
      <c r="C56" s="515">
        <v>1426347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ht="12.75">
      <c r="A57" s="512">
        <v>6</v>
      </c>
      <c r="B57" s="511" t="s">
        <v>533</v>
      </c>
      <c r="C57" s="515">
        <v>101544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ht="12.75">
      <c r="A58" s="512">
        <v>7</v>
      </c>
      <c r="B58" s="511" t="s">
        <v>843</v>
      </c>
      <c r="C58" s="515">
        <v>1462161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ht="12.75">
      <c r="A59" s="512"/>
      <c r="B59" s="516" t="s">
        <v>876</v>
      </c>
      <c r="C59" s="517">
        <f>SUM(C53+C54+C57)</f>
        <v>34852577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ht="12.75">
      <c r="A60" s="512"/>
      <c r="B60" s="516" t="s">
        <v>809</v>
      </c>
      <c r="C60" s="517">
        <f>SUM(C52+C59)</f>
        <v>85707686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3" ht="12.75">
      <c r="A61" s="520"/>
      <c r="B61" s="519"/>
      <c r="C61" s="520"/>
    </row>
    <row r="62" spans="1:58" s="506" customFormat="1" ht="12.75">
      <c r="A62" s="508" t="s">
        <v>469</v>
      </c>
      <c r="B62" s="521" t="s">
        <v>734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ht="12.75">
      <c r="A63" s="512">
        <v>1</v>
      </c>
      <c r="B63" s="511" t="s">
        <v>960</v>
      </c>
      <c r="C63" s="514">
        <f>SUM(C41+C52)</f>
        <v>142224171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ht="12.75">
      <c r="A64" s="512">
        <v>2</v>
      </c>
      <c r="B64" s="511" t="s">
        <v>961</v>
      </c>
      <c r="C64" s="518">
        <f>SUM(C48+C59)</f>
        <v>177746472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ht="12.75">
      <c r="A65" s="512"/>
      <c r="B65" s="516" t="s">
        <v>734</v>
      </c>
      <c r="C65" s="517">
        <f>SUM(+C63+C64)</f>
        <v>319970643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ht="12.75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>
      <c r="A67" s="335" t="s">
        <v>159</v>
      </c>
      <c r="B67" s="501" t="s">
        <v>962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ht="12.75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ht="12.75">
      <c r="A69" s="508" t="s">
        <v>129</v>
      </c>
      <c r="B69" s="509" t="s">
        <v>963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ht="12.75">
      <c r="A70" s="512">
        <v>1</v>
      </c>
      <c r="B70" s="511" t="s">
        <v>736</v>
      </c>
      <c r="C70" s="530">
        <v>8200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ht="12.75">
      <c r="A71" s="512">
        <v>2</v>
      </c>
      <c r="B71" s="511" t="s">
        <v>715</v>
      </c>
      <c r="C71" s="530">
        <v>9746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ht="12.75">
      <c r="A72" s="512">
        <v>3</v>
      </c>
      <c r="B72" s="511" t="s">
        <v>861</v>
      </c>
      <c r="C72" s="530">
        <v>3779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ht="12.75">
      <c r="A73" s="512">
        <v>4</v>
      </c>
      <c r="B73" s="511" t="s">
        <v>229</v>
      </c>
      <c r="C73" s="530">
        <v>3120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ht="12.75">
      <c r="A74" s="512">
        <v>5</v>
      </c>
      <c r="B74" s="511" t="s">
        <v>828</v>
      </c>
      <c r="C74" s="530">
        <v>659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ht="12.75">
      <c r="A75" s="512">
        <v>6</v>
      </c>
      <c r="B75" s="511" t="s">
        <v>533</v>
      </c>
      <c r="C75" s="545">
        <v>18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ht="12.75">
      <c r="A76" s="512">
        <v>7</v>
      </c>
      <c r="B76" s="511" t="s">
        <v>843</v>
      </c>
      <c r="C76" s="545">
        <v>955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ht="12.75">
      <c r="A77" s="512"/>
      <c r="B77" s="516" t="s">
        <v>891</v>
      </c>
      <c r="C77" s="532">
        <f>SUM(C71+C72+C75)</f>
        <v>13543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ht="12.75">
      <c r="A78" s="512"/>
      <c r="B78" s="516" t="s">
        <v>805</v>
      </c>
      <c r="C78" s="596">
        <f>SUM(C70+C77)</f>
        <v>21743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ht="12.75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ht="12.75">
      <c r="A80" s="508" t="s">
        <v>141</v>
      </c>
      <c r="B80" s="509" t="s">
        <v>896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ht="12.75">
      <c r="A81" s="512">
        <v>1</v>
      </c>
      <c r="B81" s="511" t="s">
        <v>736</v>
      </c>
      <c r="C81" s="541">
        <v>1.1909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ht="12.75">
      <c r="A82" s="512">
        <v>2</v>
      </c>
      <c r="B82" s="511" t="s">
        <v>715</v>
      </c>
      <c r="C82" s="541">
        <v>1.5299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ht="12.75">
      <c r="A83" s="512">
        <v>3</v>
      </c>
      <c r="B83" s="511" t="s">
        <v>861</v>
      </c>
      <c r="C83" s="541">
        <f>((C73*C84)+(C74*C85))/(C73+C74)</f>
        <v>0.9634377877745436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ht="12.75">
      <c r="A84" s="512">
        <v>4</v>
      </c>
      <c r="B84" s="511" t="s">
        <v>229</v>
      </c>
      <c r="C84" s="541">
        <v>0.9125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ht="12.75">
      <c r="A85" s="512">
        <v>5</v>
      </c>
      <c r="B85" s="511" t="s">
        <v>828</v>
      </c>
      <c r="C85" s="541">
        <v>1.2046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ht="12.75">
      <c r="A86" s="512">
        <v>6</v>
      </c>
      <c r="B86" s="511" t="s">
        <v>533</v>
      </c>
      <c r="C86" s="541">
        <v>1.1109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ht="12.75">
      <c r="A87" s="512">
        <v>7</v>
      </c>
      <c r="B87" s="511" t="s">
        <v>843</v>
      </c>
      <c r="C87" s="541">
        <v>1.0987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ht="12.75">
      <c r="A88" s="512"/>
      <c r="B88" s="516" t="s">
        <v>897</v>
      </c>
      <c r="C88" s="543">
        <f>((C71*C82)+(C73*C84)+(C74*C85)+(C75*C86))/(C71+C73+C74+C75)</f>
        <v>1.371279110979842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ht="12.75">
      <c r="A89" s="512"/>
      <c r="B89" s="516" t="s">
        <v>806</v>
      </c>
      <c r="C89" s="543">
        <f>((C70*C81)+(C71*C82)+(C73*C84)+(C74*C85)+(C75*C86))/(C70+C71+C73+C74+C75)</f>
        <v>1.3032522191049993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ht="12.75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ht="12.75">
      <c r="A91" s="508" t="s">
        <v>151</v>
      </c>
      <c r="B91" s="509" t="s">
        <v>898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ht="12.75">
      <c r="A92" s="512">
        <v>1</v>
      </c>
      <c r="B92" s="511" t="s">
        <v>899</v>
      </c>
      <c r="C92" s="513">
        <v>305724906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ht="12.75">
      <c r="A93" s="512">
        <v>2</v>
      </c>
      <c r="B93" s="511" t="s">
        <v>900</v>
      </c>
      <c r="C93" s="546">
        <v>174790464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ht="12.75">
      <c r="A94" s="512"/>
      <c r="B94" s="511" t="s">
        <v>748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ht="12.75">
      <c r="A95" s="512">
        <v>3</v>
      </c>
      <c r="B95" s="511" t="s">
        <v>832</v>
      </c>
      <c r="C95" s="513">
        <f>+C92-C93</f>
        <v>130934442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ht="12.75">
      <c r="A96" s="512">
        <v>4</v>
      </c>
      <c r="B96" s="511" t="s">
        <v>750</v>
      </c>
      <c r="C96" s="597">
        <f>(+C92-C93)/C92</f>
        <v>0.42827535287556845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ht="12.75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ht="12.75">
      <c r="A98" s="512">
        <v>5</v>
      </c>
      <c r="B98" s="511" t="s">
        <v>847</v>
      </c>
      <c r="C98" s="513">
        <v>10433144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ht="12.75">
      <c r="A99" s="512">
        <v>6</v>
      </c>
      <c r="B99" s="511" t="s">
        <v>833</v>
      </c>
      <c r="C99" s="513">
        <v>6114636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ht="12.75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>
      <c r="A101" s="512">
        <v>7</v>
      </c>
      <c r="B101" s="548" t="s">
        <v>964</v>
      </c>
      <c r="C101" s="513">
        <v>2290216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ht="12.75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ht="12.75">
      <c r="A103" s="512">
        <v>8</v>
      </c>
      <c r="B103" s="511" t="s">
        <v>902</v>
      </c>
      <c r="C103" s="513">
        <v>8833000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ht="12.75">
      <c r="A104" s="512">
        <v>9</v>
      </c>
      <c r="B104" s="511" t="s">
        <v>903</v>
      </c>
      <c r="C104" s="513">
        <v>30554626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ht="12.75">
      <c r="A105" s="570">
        <v>10</v>
      </c>
      <c r="B105" s="571" t="s">
        <v>904</v>
      </c>
      <c r="C105" s="578">
        <f>+C103+C104</f>
        <v>39387626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ht="12.75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ht="12.75">
      <c r="A107" s="512">
        <v>11</v>
      </c>
      <c r="B107" s="511" t="s">
        <v>905</v>
      </c>
      <c r="C107" s="513">
        <v>9864000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ht="12.75">
      <c r="A108" s="512">
        <v>12</v>
      </c>
      <c r="B108" s="511" t="s">
        <v>790</v>
      </c>
      <c r="C108" s="513">
        <v>341987000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ht="12.75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>
      <c r="A110" s="500" t="s">
        <v>250</v>
      </c>
      <c r="B110" s="501" t="s">
        <v>935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ht="12.75">
      <c r="A112" s="508" t="s">
        <v>129</v>
      </c>
      <c r="B112" s="509" t="s">
        <v>936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ht="12.75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ht="12.75">
      <c r="A114" s="512">
        <v>1</v>
      </c>
      <c r="B114" s="511" t="s">
        <v>734</v>
      </c>
      <c r="C114" s="514">
        <f>+C65</f>
        <v>319970643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ht="12.75">
      <c r="A115" s="512">
        <v>2</v>
      </c>
      <c r="B115" s="511" t="s">
        <v>937</v>
      </c>
      <c r="C115" s="546">
        <f>+C101</f>
        <v>2290216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ht="12.75">
      <c r="A116" s="512"/>
      <c r="B116" s="516" t="s">
        <v>938</v>
      </c>
      <c r="C116" s="517">
        <f>+C114+C115</f>
        <v>322260859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ht="12.75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ht="12.75">
      <c r="A118" s="512">
        <v>3</v>
      </c>
      <c r="B118" s="511" t="s">
        <v>939</v>
      </c>
      <c r="C118" s="578">
        <v>20683932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ht="12.75">
      <c r="A119" s="512"/>
      <c r="B119" s="516" t="s">
        <v>940</v>
      </c>
      <c r="C119" s="580">
        <f>+C116+C118</f>
        <v>342944791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ht="12.75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ht="12.75">
      <c r="A121" s="512">
        <v>4</v>
      </c>
      <c r="B121" s="511" t="s">
        <v>941</v>
      </c>
      <c r="C121" s="513">
        <v>342945000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ht="12.75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ht="12.75">
      <c r="A123" s="512"/>
      <c r="B123" s="516" t="s">
        <v>942</v>
      </c>
      <c r="C123" s="582">
        <f>C119-C121</f>
        <v>-209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ht="12.75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ht="12.75">
      <c r="A125" s="340" t="s">
        <v>141</v>
      </c>
      <c r="B125" s="509" t="s">
        <v>943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ht="12.75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44" s="506" customFormat="1" ht="12.75">
      <c r="A127" s="512">
        <v>1</v>
      </c>
      <c r="B127" s="511" t="s">
        <v>944</v>
      </c>
      <c r="C127" s="514">
        <f>+C38</f>
        <v>852498869</v>
      </c>
      <c r="D127" s="588"/>
      <c r="AR127" s="507"/>
    </row>
    <row r="128" spans="1:44" s="506" customFormat="1" ht="12.75">
      <c r="A128" s="512">
        <v>2</v>
      </c>
      <c r="B128" s="583" t="s">
        <v>945</v>
      </c>
      <c r="C128" s="513">
        <v>0</v>
      </c>
      <c r="D128" s="588"/>
      <c r="AR128" s="507"/>
    </row>
    <row r="129" spans="1:44" s="506" customFormat="1" ht="12.75">
      <c r="A129" s="512"/>
      <c r="B129" s="516" t="s">
        <v>946</v>
      </c>
      <c r="C129" s="581">
        <f>C127+C128</f>
        <v>852498869</v>
      </c>
      <c r="D129" s="588"/>
      <c r="AR129" s="507"/>
    </row>
    <row r="130" spans="1:44" s="506" customFormat="1" ht="12.75">
      <c r="A130" s="512"/>
      <c r="B130" s="510"/>
      <c r="C130" s="513"/>
      <c r="D130" s="588"/>
      <c r="AR130" s="507"/>
    </row>
    <row r="131" spans="1:44" s="506" customFormat="1" ht="12.75">
      <c r="A131" s="512">
        <v>3</v>
      </c>
      <c r="B131" s="511" t="s">
        <v>947</v>
      </c>
      <c r="C131" s="513">
        <v>852499000</v>
      </c>
      <c r="D131" s="588"/>
      <c r="AR131" s="507"/>
    </row>
    <row r="132" spans="1:44" s="506" customFormat="1" ht="12.75">
      <c r="A132" s="512"/>
      <c r="B132" s="511"/>
      <c r="C132" s="513"/>
      <c r="D132" s="588"/>
      <c r="AR132" s="507"/>
    </row>
    <row r="133" spans="1:44" s="506" customFormat="1" ht="12.75">
      <c r="A133" s="512"/>
      <c r="B133" s="516" t="s">
        <v>942</v>
      </c>
      <c r="C133" s="581">
        <f>C129-C131</f>
        <v>-131</v>
      </c>
      <c r="D133" s="588"/>
      <c r="AR133" s="507"/>
    </row>
    <row r="134" spans="1:44" s="506" customFormat="1" ht="12.75">
      <c r="A134" s="511"/>
      <c r="B134" s="510"/>
      <c r="C134" s="510"/>
      <c r="D134" s="588"/>
      <c r="AR134" s="507"/>
    </row>
    <row r="135" spans="1:44" s="506" customFormat="1" ht="12.75">
      <c r="A135" s="508" t="s">
        <v>151</v>
      </c>
      <c r="B135" s="509" t="s">
        <v>948</v>
      </c>
      <c r="C135" s="510"/>
      <c r="D135" s="588"/>
      <c r="AR135" s="507"/>
    </row>
    <row r="136" spans="1:44" s="506" customFormat="1" ht="12.75">
      <c r="A136" s="510"/>
      <c r="B136" s="551"/>
      <c r="C136" s="510"/>
      <c r="D136" s="588"/>
      <c r="AR136" s="507"/>
    </row>
    <row r="137" spans="1:44" s="506" customFormat="1" ht="12.75">
      <c r="A137" s="512">
        <v>1</v>
      </c>
      <c r="B137" s="511" t="s">
        <v>949</v>
      </c>
      <c r="C137" s="513">
        <f>C105</f>
        <v>39387626</v>
      </c>
      <c r="D137" s="588"/>
      <c r="AR137" s="507"/>
    </row>
    <row r="138" spans="1:44" s="506" customFormat="1" ht="12.75">
      <c r="A138" s="512">
        <v>2</v>
      </c>
      <c r="B138" s="511" t="s">
        <v>965</v>
      </c>
      <c r="C138" s="513">
        <v>-8736821</v>
      </c>
      <c r="D138" s="588"/>
      <c r="AR138" s="507"/>
    </row>
    <row r="139" spans="1:44" s="506" customFormat="1" ht="12.75">
      <c r="A139" s="512"/>
      <c r="B139" s="516" t="s">
        <v>951</v>
      </c>
      <c r="C139" s="581">
        <f>C137+C138</f>
        <v>30650805</v>
      </c>
      <c r="D139" s="588"/>
      <c r="AR139" s="507"/>
    </row>
    <row r="140" spans="1:44" s="506" customFormat="1" ht="12.75">
      <c r="A140" s="512"/>
      <c r="B140" s="510"/>
      <c r="C140" s="513"/>
      <c r="D140" s="588"/>
      <c r="AR140" s="507"/>
    </row>
    <row r="141" spans="1:44" s="506" customFormat="1" ht="12.75">
      <c r="A141" s="512">
        <v>3</v>
      </c>
      <c r="B141" s="511" t="s">
        <v>966</v>
      </c>
      <c r="C141" s="513">
        <v>30651000</v>
      </c>
      <c r="D141" s="588"/>
      <c r="AR141" s="507"/>
    </row>
    <row r="142" spans="1:44" s="506" customFormat="1" ht="12.75">
      <c r="A142" s="512"/>
      <c r="B142" s="511"/>
      <c r="C142" s="513"/>
      <c r="D142" s="588"/>
      <c r="AR142" s="507"/>
    </row>
    <row r="143" spans="1:44" s="506" customFormat="1" ht="12.75">
      <c r="A143" s="512"/>
      <c r="B143" s="516" t="s">
        <v>953</v>
      </c>
      <c r="C143" s="581">
        <f>C139-C141</f>
        <v>-195</v>
      </c>
      <c r="D143" s="588"/>
      <c r="AR143" s="507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&amp;LOFFICE OF HEALTH CARE ACCESS&amp;CTWELVE MONTHS ACTUAL FILING&amp;RSAINT VINCENT`S MEDICAL CENTER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2"/>
      <c r="B1" s="602"/>
      <c r="C1" s="35"/>
      <c r="D1" s="602"/>
      <c r="E1" s="602"/>
      <c r="F1" s="602"/>
    </row>
    <row r="2" spans="1:6" ht="15.75" customHeight="1">
      <c r="A2" s="714" t="s">
        <v>115</v>
      </c>
      <c r="B2" s="715"/>
      <c r="C2" s="715"/>
      <c r="D2" s="715"/>
      <c r="E2" s="715"/>
      <c r="F2" s="716"/>
    </row>
    <row r="3" spans="1:6" ht="15.75" customHeight="1">
      <c r="A3" s="714" t="s">
        <v>706</v>
      </c>
      <c r="B3" s="715"/>
      <c r="C3" s="715"/>
      <c r="D3" s="715"/>
      <c r="E3" s="715"/>
      <c r="F3" s="716"/>
    </row>
    <row r="4" spans="1:6" ht="15.75" customHeight="1">
      <c r="A4" s="714" t="s">
        <v>707</v>
      </c>
      <c r="B4" s="715"/>
      <c r="C4" s="715"/>
      <c r="D4" s="715"/>
      <c r="E4" s="715"/>
      <c r="F4" s="716"/>
    </row>
    <row r="5" spans="1:6" ht="15.75" customHeight="1">
      <c r="A5" s="714" t="s">
        <v>967</v>
      </c>
      <c r="B5" s="715"/>
      <c r="C5" s="715"/>
      <c r="D5" s="715"/>
      <c r="E5" s="715"/>
      <c r="F5" s="716"/>
    </row>
    <row r="6" spans="1:13" ht="15.75" customHeight="1">
      <c r="A6" s="602"/>
      <c r="B6" s="602"/>
      <c r="C6" s="35"/>
      <c r="D6" s="35"/>
      <c r="E6" s="602"/>
      <c r="F6" s="602"/>
      <c r="M6" s="122"/>
    </row>
    <row r="7" spans="1:6" ht="15.75" customHeight="1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3" ht="15.75" customHeight="1">
      <c r="A8" s="602"/>
      <c r="B8" s="305"/>
      <c r="C8" s="35" t="s">
        <v>710</v>
      </c>
      <c r="D8" s="35" t="s">
        <v>710</v>
      </c>
      <c r="E8" s="35" t="s">
        <v>121</v>
      </c>
      <c r="F8" s="35" t="s">
        <v>122</v>
      </c>
      <c r="G8" s="604"/>
      <c r="H8" s="289"/>
      <c r="I8" s="308"/>
      <c r="J8" s="308"/>
      <c r="K8" s="308"/>
      <c r="L8" s="308"/>
      <c r="M8" s="308"/>
    </row>
    <row r="9" spans="1:14" ht="15.75" customHeight="1">
      <c r="A9" s="605" t="s">
        <v>123</v>
      </c>
      <c r="B9" s="606" t="s">
        <v>124</v>
      </c>
      <c r="C9" s="607" t="s">
        <v>712</v>
      </c>
      <c r="D9" s="607" t="s">
        <v>713</v>
      </c>
      <c r="E9" s="605" t="s">
        <v>126</v>
      </c>
      <c r="F9" s="605" t="s">
        <v>126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>
      <c r="A11" s="29" t="s">
        <v>129</v>
      </c>
      <c r="B11" s="606" t="s">
        <v>968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3" ht="15" customHeight="1">
      <c r="A12" s="25">
        <v>1</v>
      </c>
      <c r="B12" s="609" t="s">
        <v>969</v>
      </c>
      <c r="C12" s="49">
        <v>2548</v>
      </c>
      <c r="D12" s="49">
        <v>2481</v>
      </c>
      <c r="E12" s="49">
        <f>+D12-C12</f>
        <v>-67</v>
      </c>
      <c r="F12" s="70">
        <f>IF(C12=0,0,+E12/C12)</f>
        <v>-0.02629513343799058</v>
      </c>
      <c r="G12" s="610"/>
      <c r="H12" s="611"/>
      <c r="I12" s="612"/>
      <c r="J12" s="308"/>
      <c r="K12" s="308"/>
      <c r="L12" s="308"/>
      <c r="M12" s="308"/>
    </row>
    <row r="13" spans="1:13" ht="15" customHeight="1">
      <c r="A13" s="44">
        <v>2</v>
      </c>
      <c r="B13" s="609" t="s">
        <v>970</v>
      </c>
      <c r="C13" s="49">
        <v>2344</v>
      </c>
      <c r="D13" s="49">
        <v>2406</v>
      </c>
      <c r="E13" s="49">
        <f>+D13-C13</f>
        <v>62</v>
      </c>
      <c r="F13" s="70">
        <f>IF(C13=0,0,+E13/C13)</f>
        <v>0.026450511945392493</v>
      </c>
      <c r="G13" s="610"/>
      <c r="H13" s="611"/>
      <c r="I13" s="612"/>
      <c r="J13" s="308"/>
      <c r="K13" s="308"/>
      <c r="L13" s="308"/>
      <c r="M13" s="308"/>
    </row>
    <row r="14" spans="1:13" ht="15" customHeight="1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3" ht="15" customHeight="1">
      <c r="A15" s="25">
        <v>3</v>
      </c>
      <c r="B15" s="121" t="s">
        <v>971</v>
      </c>
      <c r="C15" s="51">
        <v>5784833</v>
      </c>
      <c r="D15" s="51">
        <v>8833000</v>
      </c>
      <c r="E15" s="51">
        <f>+D15-C15</f>
        <v>3048167</v>
      </c>
      <c r="F15" s="70">
        <f>IF(C15=0,0,+E15/C15)</f>
        <v>0.5269239405873947</v>
      </c>
      <c r="G15" s="610"/>
      <c r="H15" s="611"/>
      <c r="I15" s="612"/>
      <c r="J15" s="308"/>
      <c r="K15" s="308"/>
      <c r="L15" s="308"/>
      <c r="M15" s="308"/>
    </row>
    <row r="16" spans="1:13" ht="15.75" customHeight="1">
      <c r="A16" s="25">
        <v>4</v>
      </c>
      <c r="B16" s="121" t="s">
        <v>972</v>
      </c>
      <c r="C16" s="27">
        <f>IF(C13=0,0,+C15/+C13)</f>
        <v>2467.932167235495</v>
      </c>
      <c r="D16" s="27">
        <f>IF(D13=0,0,+D15/+D13)</f>
        <v>3671.238570241064</v>
      </c>
      <c r="E16" s="27">
        <f>+D16-C16</f>
        <v>1203.3064030055689</v>
      </c>
      <c r="F16" s="28">
        <f>IF(C16=0,0,+E16/C16)</f>
        <v>0.487576773373588</v>
      </c>
      <c r="G16" s="610"/>
      <c r="H16" s="611"/>
      <c r="I16" s="612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>
      <c r="A18" s="25">
        <v>5</v>
      </c>
      <c r="B18" s="613" t="s">
        <v>973</v>
      </c>
      <c r="C18" s="210">
        <v>0.451046</v>
      </c>
      <c r="D18" s="210">
        <v>0.413922</v>
      </c>
      <c r="E18" s="210">
        <f>+D18-C18</f>
        <v>-0.03712399999999999</v>
      </c>
      <c r="F18" s="70">
        <f>IF(C18=0,0,+E18/C18)</f>
        <v>-0.08230646098180672</v>
      </c>
      <c r="G18" s="610"/>
      <c r="H18" s="611"/>
      <c r="I18" s="612"/>
      <c r="J18" s="308"/>
      <c r="K18" s="308"/>
      <c r="L18" s="308"/>
      <c r="M18" s="308"/>
    </row>
    <row r="19" spans="1:13" ht="15.75" customHeight="1">
      <c r="A19" s="25">
        <v>6</v>
      </c>
      <c r="B19" s="614" t="s">
        <v>974</v>
      </c>
      <c r="C19" s="27">
        <f>+C15*C18</f>
        <v>2609225.7853180002</v>
      </c>
      <c r="D19" s="27">
        <f>+D15*D18</f>
        <v>3656173.026</v>
      </c>
      <c r="E19" s="27">
        <f>+D19-C19</f>
        <v>1046947.2406819998</v>
      </c>
      <c r="F19" s="28">
        <f>IF(C19=0,0,+E19/C19)</f>
        <v>0.4012482348492516</v>
      </c>
      <c r="G19" s="610"/>
      <c r="H19" s="611"/>
      <c r="I19" s="612"/>
      <c r="J19" s="308"/>
      <c r="K19" s="308"/>
      <c r="L19" s="308"/>
      <c r="M19" s="308"/>
    </row>
    <row r="20" spans="1:13" ht="15.75" customHeight="1">
      <c r="A20" s="25">
        <v>7</v>
      </c>
      <c r="B20" s="614" t="s">
        <v>975</v>
      </c>
      <c r="C20" s="27">
        <f>IF(C13=0,0,+C19/C13)</f>
        <v>1113.150932302901</v>
      </c>
      <c r="D20" s="27">
        <f>IF(D13=0,0,+D19/D13)</f>
        <v>1519.6064114713217</v>
      </c>
      <c r="E20" s="27">
        <f>+D20-C20</f>
        <v>406.45547916842065</v>
      </c>
      <c r="F20" s="28">
        <f>IF(C20=0,0,+E20/C20)</f>
        <v>0.36513959371847293</v>
      </c>
      <c r="G20" s="610"/>
      <c r="H20" s="611"/>
      <c r="I20" s="612"/>
      <c r="J20" s="308"/>
      <c r="K20" s="308"/>
      <c r="L20" s="308"/>
      <c r="M20" s="308"/>
    </row>
    <row r="21" spans="1:13" ht="15.75" customHeight="1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>
      <c r="A22" s="25">
        <v>8</v>
      </c>
      <c r="B22" s="613" t="s">
        <v>976</v>
      </c>
      <c r="C22" s="51">
        <v>1482432</v>
      </c>
      <c r="D22" s="51">
        <v>3774000</v>
      </c>
      <c r="E22" s="51">
        <f>+D22-C22</f>
        <v>2291568</v>
      </c>
      <c r="F22" s="70">
        <f>IF(C22=0,0,+E22/C22)</f>
        <v>1.5458166040668306</v>
      </c>
      <c r="G22" s="610"/>
      <c r="H22" s="611"/>
      <c r="I22" s="612"/>
      <c r="J22" s="308"/>
      <c r="K22" s="308"/>
      <c r="L22" s="308"/>
      <c r="M22" s="308"/>
    </row>
    <row r="23" spans="1:13" ht="15" customHeight="1">
      <c r="A23" s="25">
        <v>9</v>
      </c>
      <c r="B23" s="613" t="s">
        <v>977</v>
      </c>
      <c r="C23" s="49">
        <v>3492437</v>
      </c>
      <c r="D23" s="49">
        <v>3959294</v>
      </c>
      <c r="E23" s="49">
        <f>+D23-C23</f>
        <v>466857</v>
      </c>
      <c r="F23" s="70">
        <f>IF(C23=0,0,+E23/C23)</f>
        <v>0.1336765702573876</v>
      </c>
      <c r="G23" s="610"/>
      <c r="H23" s="611"/>
      <c r="I23" s="612"/>
      <c r="J23" s="308"/>
      <c r="K23" s="308"/>
      <c r="L23" s="308"/>
      <c r="M23" s="308"/>
    </row>
    <row r="24" spans="1:13" ht="15" customHeight="1">
      <c r="A24" s="25">
        <v>10</v>
      </c>
      <c r="B24" s="613" t="s">
        <v>0</v>
      </c>
      <c r="C24" s="49">
        <v>809964</v>
      </c>
      <c r="D24" s="49">
        <v>1099706</v>
      </c>
      <c r="E24" s="49">
        <f>+D24-C24</f>
        <v>289742</v>
      </c>
      <c r="F24" s="70">
        <f>IF(C24=0,0,+E24/C24)</f>
        <v>0.3577220715982439</v>
      </c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5">
        <v>11</v>
      </c>
      <c r="B25" s="614" t="s">
        <v>971</v>
      </c>
      <c r="C25" s="27">
        <f>+C22+C23+C24</f>
        <v>5784833</v>
      </c>
      <c r="D25" s="27">
        <f>+D22+D23+D24</f>
        <v>8833000</v>
      </c>
      <c r="E25" s="27">
        <f>+E22+E23+E24</f>
        <v>3048167</v>
      </c>
      <c r="F25" s="28">
        <f>IF(C25=0,0,+E25/C25)</f>
        <v>0.5269239405873947</v>
      </c>
      <c r="G25" s="610"/>
      <c r="H25" s="611"/>
      <c r="I25" s="612"/>
      <c r="J25" s="308"/>
      <c r="K25" s="308"/>
      <c r="L25" s="308"/>
      <c r="M25" s="308"/>
    </row>
    <row r="26" spans="1:13" ht="15.75" customHeight="1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>
      <c r="A27" s="25">
        <v>12</v>
      </c>
      <c r="B27" s="615" t="s">
        <v>1</v>
      </c>
      <c r="C27" s="49">
        <v>335</v>
      </c>
      <c r="D27" s="49">
        <v>774</v>
      </c>
      <c r="E27" s="49">
        <f>+D27-C27</f>
        <v>439</v>
      </c>
      <c r="F27" s="70">
        <f>IF(C27=0,0,+E27/C27)</f>
        <v>1.31044776119403</v>
      </c>
      <c r="G27" s="610"/>
      <c r="H27" s="611"/>
      <c r="I27" s="612"/>
      <c r="J27" s="308"/>
      <c r="K27" s="308"/>
      <c r="L27" s="308"/>
      <c r="M27" s="308"/>
    </row>
    <row r="28" spans="1:13" ht="15" customHeight="1">
      <c r="A28" s="25">
        <v>13</v>
      </c>
      <c r="B28" s="615" t="s">
        <v>2</v>
      </c>
      <c r="C28" s="49">
        <v>65</v>
      </c>
      <c r="D28" s="49">
        <v>138</v>
      </c>
      <c r="E28" s="49">
        <f>+D28-C28</f>
        <v>73</v>
      </c>
      <c r="F28" s="70">
        <f>IF(C28=0,0,+E28/C28)</f>
        <v>1.123076923076923</v>
      </c>
      <c r="G28" s="610"/>
      <c r="H28" s="611"/>
      <c r="I28" s="612"/>
      <c r="J28" s="308"/>
      <c r="K28" s="308"/>
      <c r="L28" s="308"/>
      <c r="M28" s="308"/>
    </row>
    <row r="29" spans="1:13" ht="16.5" customHeight="1">
      <c r="A29" s="25">
        <v>14</v>
      </c>
      <c r="B29" s="615" t="s">
        <v>3</v>
      </c>
      <c r="C29" s="49">
        <v>660</v>
      </c>
      <c r="D29" s="49">
        <v>880</v>
      </c>
      <c r="E29" s="49">
        <f>+D29-C29</f>
        <v>220</v>
      </c>
      <c r="F29" s="70">
        <f>IF(C29=0,0,+E29/C29)</f>
        <v>0.3333333333333333</v>
      </c>
      <c r="G29" s="610"/>
      <c r="H29" s="611"/>
      <c r="I29" s="612"/>
      <c r="J29" s="308"/>
      <c r="K29" s="308"/>
      <c r="L29" s="308"/>
      <c r="M29" s="308"/>
    </row>
    <row r="30" spans="1:13" ht="15" customHeight="1">
      <c r="A30" s="25">
        <v>15</v>
      </c>
      <c r="B30" s="615" t="s">
        <v>4</v>
      </c>
      <c r="C30" s="49">
        <v>6544</v>
      </c>
      <c r="D30" s="49">
        <v>6880</v>
      </c>
      <c r="E30" s="49">
        <f>+D30-C30</f>
        <v>336</v>
      </c>
      <c r="F30" s="70">
        <f>IF(C30=0,0,+E30/C30)</f>
        <v>0.05134474327628362</v>
      </c>
      <c r="G30" s="610"/>
      <c r="H30" s="611"/>
      <c r="I30" s="612"/>
      <c r="J30" s="308"/>
      <c r="K30" s="308"/>
      <c r="L30" s="308"/>
      <c r="M30" s="308"/>
    </row>
    <row r="31" spans="1:13" ht="15" customHeight="1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>
      <c r="A32" s="29" t="s">
        <v>141</v>
      </c>
      <c r="B32" s="606" t="s">
        <v>5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>
      <c r="A33" s="25">
        <v>1</v>
      </c>
      <c r="B33" s="613" t="s">
        <v>6</v>
      </c>
      <c r="C33" s="51">
        <v>13020202</v>
      </c>
      <c r="D33" s="51">
        <v>15637101</v>
      </c>
      <c r="E33" s="51">
        <f>+D33-C33</f>
        <v>2616899</v>
      </c>
      <c r="F33" s="70">
        <f>IF(C33=0,0,+E33/C33)</f>
        <v>0.20098758836460448</v>
      </c>
      <c r="G33" s="610"/>
      <c r="H33" s="611"/>
      <c r="I33" s="612"/>
      <c r="J33" s="308"/>
      <c r="K33" s="308"/>
      <c r="L33" s="308"/>
      <c r="M33" s="308"/>
    </row>
    <row r="34" spans="1:13" ht="15" customHeight="1">
      <c r="A34" s="25">
        <v>2</v>
      </c>
      <c r="B34" s="613" t="s">
        <v>7</v>
      </c>
      <c r="C34" s="49">
        <v>5721909</v>
      </c>
      <c r="D34" s="49">
        <v>6827944</v>
      </c>
      <c r="E34" s="49">
        <f>+D34-C34</f>
        <v>1106035</v>
      </c>
      <c r="F34" s="70">
        <f>IF(C34=0,0,+E34/C34)</f>
        <v>0.1932982506362824</v>
      </c>
      <c r="G34" s="610"/>
      <c r="H34" s="611"/>
      <c r="I34" s="612"/>
      <c r="J34" s="308"/>
      <c r="K34" s="308"/>
      <c r="L34" s="308"/>
      <c r="M34" s="308"/>
    </row>
    <row r="35" spans="1:13" ht="15" customHeight="1">
      <c r="A35" s="25">
        <v>3</v>
      </c>
      <c r="B35" s="613" t="s">
        <v>8</v>
      </c>
      <c r="C35" s="49">
        <v>7530966</v>
      </c>
      <c r="D35" s="49">
        <v>8089581</v>
      </c>
      <c r="E35" s="49">
        <f>+D35-C35</f>
        <v>558615</v>
      </c>
      <c r="F35" s="70">
        <f>IF(C35=0,0,+E35/C35)</f>
        <v>0.07417574319151089</v>
      </c>
      <c r="G35" s="610"/>
      <c r="H35" s="611"/>
      <c r="I35" s="612"/>
      <c r="J35" s="308"/>
      <c r="K35" s="308"/>
      <c r="L35" s="308"/>
      <c r="M35" s="308"/>
    </row>
    <row r="36" spans="1:13" ht="15.75" customHeight="1">
      <c r="A36" s="25">
        <v>4</v>
      </c>
      <c r="B36" s="614" t="s">
        <v>9</v>
      </c>
      <c r="C36" s="27">
        <f>+C33+C34+C35</f>
        <v>26273077</v>
      </c>
      <c r="D36" s="27">
        <f>+D33+D34+D35</f>
        <v>30554626</v>
      </c>
      <c r="E36" s="27">
        <f>+E33+E34+E35</f>
        <v>4281549</v>
      </c>
      <c r="F36" s="28">
        <f>IF(C36=0,0,+E36/C36)</f>
        <v>0.16296336359840913</v>
      </c>
      <c r="G36" s="610"/>
      <c r="H36" s="611"/>
      <c r="I36" s="612"/>
      <c r="J36" s="308"/>
      <c r="K36" s="308"/>
      <c r="L36" s="308"/>
      <c r="M36" s="308"/>
    </row>
    <row r="37" spans="1:13" ht="15.75" customHeight="1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>
      <c r="A38" s="29" t="s">
        <v>151</v>
      </c>
      <c r="B38" s="606" t="s">
        <v>10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>
      <c r="A39" s="25">
        <v>1</v>
      </c>
      <c r="B39" s="609" t="s">
        <v>11</v>
      </c>
      <c r="C39" s="51">
        <f>+C25</f>
        <v>5784833</v>
      </c>
      <c r="D39" s="51">
        <f>+D25</f>
        <v>8833000</v>
      </c>
      <c r="E39" s="51">
        <f>+D39-C39</f>
        <v>3048167</v>
      </c>
      <c r="F39" s="70">
        <f>IF(C39=0,0,+E39/C39)</f>
        <v>0.5269239405873947</v>
      </c>
      <c r="G39" s="610"/>
      <c r="H39" s="611"/>
      <c r="I39" s="612"/>
      <c r="J39" s="308"/>
      <c r="K39" s="308"/>
      <c r="L39" s="308"/>
      <c r="M39" s="308"/>
    </row>
    <row r="40" spans="1:13" ht="15" customHeight="1">
      <c r="A40" s="25">
        <v>2</v>
      </c>
      <c r="B40" s="609" t="s">
        <v>12</v>
      </c>
      <c r="C40" s="49">
        <f>+C36</f>
        <v>26273077</v>
      </c>
      <c r="D40" s="49">
        <f>+D36</f>
        <v>30554626</v>
      </c>
      <c r="E40" s="49">
        <f>+D40-C40</f>
        <v>4281549</v>
      </c>
      <c r="F40" s="70">
        <f>IF(C40=0,0,+E40/C40)</f>
        <v>0.16296336359840913</v>
      </c>
      <c r="G40" s="610"/>
      <c r="H40" s="611"/>
      <c r="I40" s="612"/>
      <c r="J40" s="308"/>
      <c r="K40" s="308"/>
      <c r="L40" s="308"/>
      <c r="M40" s="308"/>
    </row>
    <row r="41" spans="1:13" ht="15.75" customHeight="1">
      <c r="A41" s="25">
        <v>3</v>
      </c>
      <c r="B41" s="617" t="s">
        <v>13</v>
      </c>
      <c r="C41" s="27">
        <f>+C39+C40</f>
        <v>32057910</v>
      </c>
      <c r="D41" s="27">
        <f>+D39+D40</f>
        <v>39387626</v>
      </c>
      <c r="E41" s="27">
        <f>+E39+E40</f>
        <v>7329716</v>
      </c>
      <c r="F41" s="28">
        <f>IF(C41=0,0,+E41/C41)</f>
        <v>0.2286398583064211</v>
      </c>
      <c r="G41" s="610"/>
      <c r="H41" s="611"/>
      <c r="I41" s="612"/>
      <c r="J41" s="308"/>
      <c r="K41" s="308"/>
      <c r="L41" s="308"/>
      <c r="M41" s="308"/>
    </row>
    <row r="42" spans="1:13" ht="15.75" customHeight="1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>
      <c r="A43" s="25">
        <v>4</v>
      </c>
      <c r="B43" s="613" t="s">
        <v>14</v>
      </c>
      <c r="C43" s="51">
        <f aca="true" t="shared" si="0" ref="C43:D45">+C22+C33</f>
        <v>14502634</v>
      </c>
      <c r="D43" s="51">
        <f t="shared" si="0"/>
        <v>19411101</v>
      </c>
      <c r="E43" s="51">
        <f>+D43-C43</f>
        <v>4908467</v>
      </c>
      <c r="F43" s="70">
        <f>IF(C43=0,0,+E43/C43)</f>
        <v>0.3384534836913074</v>
      </c>
      <c r="G43" s="610"/>
      <c r="H43" s="611"/>
      <c r="I43" s="612"/>
      <c r="J43" s="308"/>
      <c r="K43" s="308"/>
      <c r="L43" s="308"/>
      <c r="M43" s="308"/>
    </row>
    <row r="44" spans="1:13" ht="30">
      <c r="A44" s="25">
        <v>5</v>
      </c>
      <c r="B44" s="613" t="s">
        <v>15</v>
      </c>
      <c r="C44" s="49">
        <f t="shared" si="0"/>
        <v>9214346</v>
      </c>
      <c r="D44" s="49">
        <f t="shared" si="0"/>
        <v>10787238</v>
      </c>
      <c r="E44" s="49">
        <f>+D44-C44</f>
        <v>1572892</v>
      </c>
      <c r="F44" s="70">
        <f>IF(C44=0,0,+E44/C44)</f>
        <v>0.17070034053420613</v>
      </c>
      <c r="G44" s="610"/>
      <c r="H44" s="611"/>
      <c r="I44" s="612"/>
      <c r="J44" s="308"/>
      <c r="K44" s="308"/>
      <c r="L44" s="308"/>
      <c r="M44" s="308"/>
    </row>
    <row r="45" spans="1:13" ht="15" customHeight="1">
      <c r="A45" s="25">
        <v>6</v>
      </c>
      <c r="B45" s="613" t="s">
        <v>16</v>
      </c>
      <c r="C45" s="49">
        <f t="shared" si="0"/>
        <v>8340930</v>
      </c>
      <c r="D45" s="49">
        <f t="shared" si="0"/>
        <v>9189287</v>
      </c>
      <c r="E45" s="49">
        <f>+D45-C45</f>
        <v>848357</v>
      </c>
      <c r="F45" s="70">
        <f>IF(C45=0,0,+E45/C45)</f>
        <v>0.10171012105364749</v>
      </c>
      <c r="G45" s="610"/>
      <c r="H45" s="611"/>
      <c r="I45" s="612"/>
      <c r="J45" s="308"/>
      <c r="K45" s="308"/>
      <c r="L45" s="308"/>
      <c r="M45" s="308"/>
    </row>
    <row r="46" spans="1:13" ht="15.75" customHeight="1">
      <c r="A46" s="25">
        <v>7</v>
      </c>
      <c r="B46" s="614" t="s">
        <v>13</v>
      </c>
      <c r="C46" s="27">
        <f>+C43+C44+C45</f>
        <v>32057910</v>
      </c>
      <c r="D46" s="27">
        <f>+D43+D44+D45</f>
        <v>39387626</v>
      </c>
      <c r="E46" s="27">
        <f>+E43+E44+E45</f>
        <v>7329716</v>
      </c>
      <c r="F46" s="28">
        <f>IF(C46=0,0,+E46/C46)</f>
        <v>0.2286398583064211</v>
      </c>
      <c r="G46" s="610"/>
      <c r="H46" s="611"/>
      <c r="I46" s="612"/>
      <c r="J46" s="308"/>
      <c r="K46" s="308"/>
      <c r="L46" s="308"/>
      <c r="M46" s="308"/>
    </row>
    <row r="47" spans="1:13" ht="15.75" customHeight="1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6" ht="15.75" customHeight="1">
      <c r="A48" s="711" t="s">
        <v>17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70"/>
  <headerFooter alignWithMargins="0">
    <oddHeader>&amp;LOFFICE OF HEALTH CARE ACCESS&amp;CTWELVE MONTHS ACTUAL FILING&amp;RSAINT VINCENT`S MEDICAL CENTER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2"/>
      <c r="B1" s="602"/>
      <c r="C1" s="602"/>
      <c r="D1" s="602"/>
      <c r="E1" s="602"/>
      <c r="F1" s="602"/>
    </row>
    <row r="2" spans="1:6" ht="15.75" customHeight="1">
      <c r="A2" s="714" t="s">
        <v>115</v>
      </c>
      <c r="B2" s="715"/>
      <c r="C2" s="715"/>
      <c r="D2" s="715"/>
      <c r="E2" s="715"/>
      <c r="F2" s="716"/>
    </row>
    <row r="3" spans="1:6" ht="15.75" customHeight="1">
      <c r="A3" s="714" t="s">
        <v>706</v>
      </c>
      <c r="B3" s="715"/>
      <c r="C3" s="715"/>
      <c r="D3" s="715"/>
      <c r="E3" s="715"/>
      <c r="F3" s="716"/>
    </row>
    <row r="4" spans="1:6" ht="15.75" customHeight="1">
      <c r="A4" s="714" t="s">
        <v>707</v>
      </c>
      <c r="B4" s="715"/>
      <c r="C4" s="715"/>
      <c r="D4" s="715"/>
      <c r="E4" s="715"/>
      <c r="F4" s="716"/>
    </row>
    <row r="5" spans="1:6" ht="15.75" customHeight="1">
      <c r="A5" s="714" t="s">
        <v>18</v>
      </c>
      <c r="B5" s="715"/>
      <c r="C5" s="715"/>
      <c r="D5" s="715"/>
      <c r="E5" s="715"/>
      <c r="F5" s="716"/>
    </row>
    <row r="6" spans="1:6" ht="15.75" customHeight="1">
      <c r="A6" s="714" t="s">
        <v>19</v>
      </c>
      <c r="B6" s="715"/>
      <c r="C6" s="715"/>
      <c r="D6" s="715"/>
      <c r="E6" s="715"/>
      <c r="F6" s="716"/>
    </row>
    <row r="7" spans="1:6" ht="15.75" customHeight="1">
      <c r="A7" s="602"/>
      <c r="B7" s="602"/>
      <c r="C7" s="35"/>
      <c r="D7" s="35"/>
      <c r="E7" s="35"/>
      <c r="F7" s="35"/>
    </row>
    <row r="8" spans="1:6" ht="15.75" customHeight="1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3" ht="15.75" customHeight="1">
      <c r="A9" s="602"/>
      <c r="B9" s="26"/>
      <c r="C9" s="35" t="s">
        <v>712</v>
      </c>
      <c r="D9" s="35" t="s">
        <v>713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2"/>
      <c r="B10" s="305"/>
      <c r="C10" s="35" t="s">
        <v>20</v>
      </c>
      <c r="D10" s="35" t="s">
        <v>20</v>
      </c>
      <c r="E10" s="35" t="s">
        <v>121</v>
      </c>
      <c r="F10" s="35" t="s">
        <v>122</v>
      </c>
      <c r="G10" s="604"/>
      <c r="H10" s="289"/>
      <c r="I10" s="308"/>
      <c r="J10" s="308"/>
      <c r="K10" s="308"/>
      <c r="L10" s="308"/>
      <c r="M10" s="308"/>
    </row>
    <row r="11" spans="1:14" ht="15.75" customHeight="1">
      <c r="A11" s="605" t="s">
        <v>123</v>
      </c>
      <c r="B11" s="606" t="s">
        <v>124</v>
      </c>
      <c r="C11" s="605" t="s">
        <v>21</v>
      </c>
      <c r="D11" s="605" t="s">
        <v>21</v>
      </c>
      <c r="E11" s="605" t="s">
        <v>126</v>
      </c>
      <c r="F11" s="605" t="s">
        <v>126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>
      <c r="A13" s="605"/>
      <c r="B13" s="606" t="s">
        <v>22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3" ht="15" customHeight="1">
      <c r="A15" s="25">
        <v>1</v>
      </c>
      <c r="B15" s="609" t="s">
        <v>440</v>
      </c>
      <c r="C15" s="51">
        <v>258381243</v>
      </c>
      <c r="D15" s="51">
        <v>305724906</v>
      </c>
      <c r="E15" s="51">
        <f>+D15-C15</f>
        <v>47343663</v>
      </c>
      <c r="F15" s="70">
        <f>+E15/C15</f>
        <v>0.1832318106775266</v>
      </c>
      <c r="G15" s="604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9" t="s">
        <v>619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9" t="s">
        <v>23</v>
      </c>
      <c r="C17" s="51">
        <v>99044292</v>
      </c>
      <c r="D17" s="51">
        <v>130934442</v>
      </c>
      <c r="E17" s="51">
        <f>+D17-C17</f>
        <v>31890150</v>
      </c>
      <c r="F17" s="70">
        <f>+E17/C17</f>
        <v>0.32197867596448665</v>
      </c>
      <c r="G17" s="604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7" t="s">
        <v>24</v>
      </c>
      <c r="C19" s="27">
        <f>+C15-C17</f>
        <v>159336951</v>
      </c>
      <c r="D19" s="27">
        <f>+D15-D17</f>
        <v>174790464</v>
      </c>
      <c r="E19" s="27">
        <f>+D19-C19</f>
        <v>15453513</v>
      </c>
      <c r="F19" s="28">
        <f>+E19/C19</f>
        <v>0.0969863732361742</v>
      </c>
      <c r="G19" s="604"/>
      <c r="H19" s="623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>
      <c r="A21" s="29"/>
      <c r="B21" s="121" t="s">
        <v>25</v>
      </c>
      <c r="C21" s="628">
        <f>+C17/C15</f>
        <v>0.3833261689200868</v>
      </c>
      <c r="D21" s="628">
        <f>+D17/D15</f>
        <v>0.42827535287556845</v>
      </c>
      <c r="E21" s="628">
        <f>+D21-C21</f>
        <v>0.04494918395548164</v>
      </c>
      <c r="F21" s="28">
        <f>+E21/C21</f>
        <v>0.11726093233371797</v>
      </c>
      <c r="G21" s="610"/>
      <c r="H21" s="611"/>
      <c r="I21" s="612"/>
      <c r="J21" s="308"/>
      <c r="K21" s="308"/>
      <c r="L21" s="308"/>
      <c r="M21" s="308"/>
    </row>
    <row r="22" spans="1:13" ht="15.75" customHeight="1">
      <c r="A22" s="29"/>
      <c r="B22" s="619" t="s">
        <v>619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>
      <c r="A23" s="29"/>
      <c r="B23" s="619" t="s">
        <v>619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>
      <c r="A24" s="29"/>
      <c r="B24" s="619" t="s">
        <v>619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9"/>
      <c r="B25" s="619" t="s">
        <v>619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6" ht="15.75" customHeight="1">
      <c r="A26" s="711" t="s">
        <v>26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FILING&amp;R&amp;12SAINT VINCENT`S MEDICAL CENTER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A1" sqref="A1:E1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5" width="18.28125" style="0" customWidth="1"/>
  </cols>
  <sheetData>
    <row r="1" spans="1:6" ht="25.5" customHeight="1">
      <c r="A1" s="718" t="s">
        <v>115</v>
      </c>
      <c r="B1" s="718"/>
      <c r="C1" s="718"/>
      <c r="D1" s="718"/>
      <c r="E1" s="718"/>
      <c r="F1" s="630"/>
    </row>
    <row r="2" spans="1:6" ht="25.5" customHeight="1">
      <c r="A2" s="718" t="s">
        <v>116</v>
      </c>
      <c r="B2" s="718"/>
      <c r="C2" s="718"/>
      <c r="D2" s="718"/>
      <c r="E2" s="718"/>
      <c r="F2" s="630"/>
    </row>
    <row r="3" spans="1:6" ht="25.5" customHeight="1">
      <c r="A3" s="718" t="s">
        <v>117</v>
      </c>
      <c r="B3" s="718"/>
      <c r="C3" s="718"/>
      <c r="D3" s="718"/>
      <c r="E3" s="718"/>
      <c r="F3" s="630"/>
    </row>
    <row r="4" spans="1:6" ht="25.5" customHeight="1">
      <c r="A4" s="718" t="s">
        <v>27</v>
      </c>
      <c r="B4" s="718"/>
      <c r="C4" s="718"/>
      <c r="D4" s="718"/>
      <c r="E4" s="718"/>
      <c r="F4" s="630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2" t="s">
        <v>28</v>
      </c>
      <c r="B6" s="632" t="s">
        <v>29</v>
      </c>
      <c r="C6" s="632" t="s">
        <v>30</v>
      </c>
      <c r="D6" s="632" t="s">
        <v>31</v>
      </c>
      <c r="E6" s="632" t="s">
        <v>32</v>
      </c>
    </row>
    <row r="7" spans="1:5" ht="37.5" customHeight="1">
      <c r="A7" s="633" t="s">
        <v>123</v>
      </c>
      <c r="B7" s="634" t="s">
        <v>33</v>
      </c>
      <c r="C7" s="631" t="s">
        <v>34</v>
      </c>
      <c r="D7" s="631" t="s">
        <v>35</v>
      </c>
      <c r="E7" s="631" t="s">
        <v>36</v>
      </c>
    </row>
    <row r="8" spans="1:5" ht="25.5" customHeight="1">
      <c r="A8" s="635"/>
      <c r="B8" s="634"/>
      <c r="C8" s="636"/>
      <c r="D8" s="636"/>
      <c r="E8" s="636"/>
    </row>
    <row r="9" spans="1:5" ht="25.5" customHeight="1">
      <c r="A9" s="629" t="s">
        <v>129</v>
      </c>
      <c r="B9" s="637" t="s">
        <v>37</v>
      </c>
      <c r="C9" s="638"/>
      <c r="D9" s="638"/>
      <c r="E9" s="638"/>
    </row>
    <row r="10" spans="1:5" ht="25.5" customHeight="1">
      <c r="A10" s="639">
        <v>1</v>
      </c>
      <c r="B10" s="640" t="s">
        <v>38</v>
      </c>
      <c r="C10" s="641">
        <v>450603145</v>
      </c>
      <c r="D10" s="641">
        <v>514424048</v>
      </c>
      <c r="E10" s="641">
        <v>613526265</v>
      </c>
    </row>
    <row r="11" spans="1:5" ht="25.5" customHeight="1">
      <c r="A11" s="639">
        <v>2</v>
      </c>
      <c r="B11" s="640" t="s">
        <v>39</v>
      </c>
      <c r="C11" s="641">
        <v>172939540</v>
      </c>
      <c r="D11" s="641">
        <v>203492498</v>
      </c>
      <c r="E11" s="641">
        <v>238972604</v>
      </c>
    </row>
    <row r="12" spans="1:5" ht="25.5" customHeight="1">
      <c r="A12" s="639">
        <v>3</v>
      </c>
      <c r="B12" s="640" t="s">
        <v>186</v>
      </c>
      <c r="C12" s="641">
        <f>+C11+C10</f>
        <v>623542685</v>
      </c>
      <c r="D12" s="641">
        <f>+D11+D10</f>
        <v>717916546</v>
      </c>
      <c r="E12" s="641">
        <f>+E11+E10</f>
        <v>852498869</v>
      </c>
    </row>
    <row r="13" spans="1:5" ht="25.5" customHeight="1">
      <c r="A13" s="639">
        <v>4</v>
      </c>
      <c r="B13" s="640" t="s">
        <v>599</v>
      </c>
      <c r="C13" s="641">
        <v>288808279</v>
      </c>
      <c r="D13" s="641">
        <v>309364455</v>
      </c>
      <c r="E13" s="641">
        <v>341788581</v>
      </c>
    </row>
    <row r="14" spans="1:5" ht="25.5" customHeight="1">
      <c r="A14" s="639"/>
      <c r="B14" s="640"/>
      <c r="C14" s="641"/>
      <c r="D14" s="641"/>
      <c r="E14" s="641"/>
    </row>
    <row r="15" spans="1:5" ht="25.5" customHeight="1">
      <c r="A15" s="629" t="s">
        <v>141</v>
      </c>
      <c r="B15" s="642" t="s">
        <v>439</v>
      </c>
      <c r="C15" s="641"/>
      <c r="D15" s="641"/>
      <c r="E15" s="641"/>
    </row>
    <row r="16" spans="1:5" ht="25.5" customHeight="1">
      <c r="A16" s="639">
        <v>1</v>
      </c>
      <c r="B16" s="640" t="s">
        <v>40</v>
      </c>
      <c r="C16" s="641">
        <v>287076522</v>
      </c>
      <c r="D16" s="641">
        <v>302743320</v>
      </c>
      <c r="E16" s="641">
        <v>341987000</v>
      </c>
    </row>
    <row r="17" spans="1:5" ht="25.5" customHeight="1">
      <c r="A17" s="639"/>
      <c r="B17" s="640"/>
      <c r="C17" s="641"/>
      <c r="D17" s="641"/>
      <c r="E17" s="641"/>
    </row>
    <row r="18" spans="1:5" ht="25.5" customHeight="1">
      <c r="A18" s="629" t="s">
        <v>151</v>
      </c>
      <c r="B18" s="642" t="s">
        <v>41</v>
      </c>
      <c r="C18" s="643"/>
      <c r="D18" s="643"/>
      <c r="E18" s="641"/>
    </row>
    <row r="19" spans="1:5" ht="25.5" customHeight="1">
      <c r="A19" s="639">
        <v>1</v>
      </c>
      <c r="B19" s="640" t="s">
        <v>487</v>
      </c>
      <c r="C19" s="644">
        <v>100497</v>
      </c>
      <c r="D19" s="644">
        <v>104524</v>
      </c>
      <c r="E19" s="644">
        <v>125447</v>
      </c>
    </row>
    <row r="20" spans="1:5" ht="25.5" customHeight="1">
      <c r="A20" s="639">
        <v>2</v>
      </c>
      <c r="B20" s="640" t="s">
        <v>488</v>
      </c>
      <c r="C20" s="645">
        <v>19434</v>
      </c>
      <c r="D20" s="645">
        <v>20159</v>
      </c>
      <c r="E20" s="645">
        <v>21743</v>
      </c>
    </row>
    <row r="21" spans="1:5" ht="25.5" customHeight="1">
      <c r="A21" s="639">
        <v>3</v>
      </c>
      <c r="B21" s="640" t="s">
        <v>42</v>
      </c>
      <c r="C21" s="646">
        <f>IF(C20=0,0,+C19/C20)</f>
        <v>5.171194813213955</v>
      </c>
      <c r="D21" s="646">
        <f>IF(D20=0,0,+D19/D20)</f>
        <v>5.184979413661392</v>
      </c>
      <c r="E21" s="646">
        <f>IF(E20=0,0,+E19/E20)</f>
        <v>5.769535022765948</v>
      </c>
    </row>
    <row r="22" spans="1:5" ht="25.5" customHeight="1">
      <c r="A22" s="639">
        <v>4</v>
      </c>
      <c r="B22" s="640" t="s">
        <v>43</v>
      </c>
      <c r="C22" s="645">
        <f>IF(C10=0,0,C19*(C12/C10))</f>
        <v>139067.3143536204</v>
      </c>
      <c r="D22" s="645">
        <f>IF(D10=0,0,D19*(D12/D10))</f>
        <v>145870.91980992304</v>
      </c>
      <c r="E22" s="645">
        <f>IF(E10=0,0,E19*(E12/E10))</f>
        <v>174309.44968499924</v>
      </c>
    </row>
    <row r="23" spans="1:5" ht="25.5" customHeight="1">
      <c r="A23" s="639">
        <v>0</v>
      </c>
      <c r="B23" s="640" t="s">
        <v>44</v>
      </c>
      <c r="C23" s="645">
        <f>IF(C10=0,0,C20*(C12/C10))</f>
        <v>26892.68522590982</v>
      </c>
      <c r="D23" s="645">
        <f>IF(D10=0,0,D20*(D12/D10))</f>
        <v>28133.365279249152</v>
      </c>
      <c r="E23" s="645">
        <f>IF(E10=0,0,E20*(E12/E10))</f>
        <v>30212.044644359277</v>
      </c>
    </row>
    <row r="24" spans="1:5" ht="25.5" customHeight="1">
      <c r="A24" s="639"/>
      <c r="B24" s="640"/>
      <c r="C24" s="645"/>
      <c r="D24" s="645"/>
      <c r="E24" s="645"/>
    </row>
    <row r="25" spans="1:5" ht="25.5" customHeight="1">
      <c r="A25" s="629" t="s">
        <v>436</v>
      </c>
      <c r="B25" s="642" t="s">
        <v>45</v>
      </c>
      <c r="C25" s="645"/>
      <c r="D25" s="645"/>
      <c r="E25" s="645"/>
    </row>
    <row r="26" spans="1:5" ht="25.5" customHeight="1">
      <c r="A26" s="639">
        <v>1</v>
      </c>
      <c r="B26" s="640" t="s">
        <v>537</v>
      </c>
      <c r="C26" s="647">
        <v>1.3653914994339815</v>
      </c>
      <c r="D26" s="647">
        <v>1.3621723944640112</v>
      </c>
      <c r="E26" s="647">
        <v>1.3032522191049993</v>
      </c>
    </row>
    <row r="27" spans="1:5" ht="25.5" customHeight="1">
      <c r="A27" s="639">
        <v>2</v>
      </c>
      <c r="B27" s="640" t="s">
        <v>46</v>
      </c>
      <c r="C27" s="645">
        <f>C19*C26</f>
        <v>137217.74951861685</v>
      </c>
      <c r="D27" s="645">
        <f>D19*D26</f>
        <v>142379.7073589563</v>
      </c>
      <c r="E27" s="645">
        <f>E19*E26</f>
        <v>163489.08113006485</v>
      </c>
    </row>
    <row r="28" spans="1:5" ht="25.5" customHeight="1">
      <c r="A28" s="639">
        <v>3</v>
      </c>
      <c r="B28" s="640" t="s">
        <v>47</v>
      </c>
      <c r="C28" s="645">
        <f>C20*C26</f>
        <v>26535.018399999997</v>
      </c>
      <c r="D28" s="645">
        <f>D20*D26</f>
        <v>27460.033300000003</v>
      </c>
      <c r="E28" s="645">
        <f>E20*E26</f>
        <v>28336.613</v>
      </c>
    </row>
    <row r="29" spans="1:5" ht="25.5" customHeight="1">
      <c r="A29" s="639">
        <v>4</v>
      </c>
      <c r="B29" s="640" t="s">
        <v>48</v>
      </c>
      <c r="C29" s="645">
        <f>C22*C26</f>
        <v>189881.32886754663</v>
      </c>
      <c r="D29" s="645">
        <f>D22*D26</f>
        <v>198701.34012015062</v>
      </c>
      <c r="E29" s="645">
        <f>E22*E26</f>
        <v>227169.1771129465</v>
      </c>
    </row>
    <row r="30" spans="1:5" ht="25.5" customHeight="1">
      <c r="A30" s="639">
        <v>5</v>
      </c>
      <c r="B30" s="640" t="s">
        <v>49</v>
      </c>
      <c r="C30" s="645">
        <f>C23*C26</f>
        <v>36719.04380441109</v>
      </c>
      <c r="D30" s="645">
        <f>D23*D26</f>
        <v>38322.493546765494</v>
      </c>
      <c r="E30" s="645">
        <f>E23*E26</f>
        <v>39373.91422646054</v>
      </c>
    </row>
    <row r="31" spans="1:5" ht="25.5" customHeight="1">
      <c r="A31" s="639"/>
      <c r="B31" s="640"/>
      <c r="C31" s="645"/>
      <c r="D31" s="645"/>
      <c r="E31" s="645"/>
    </row>
    <row r="32" spans="1:5" ht="39" customHeight="1">
      <c r="A32" s="629" t="s">
        <v>457</v>
      </c>
      <c r="B32" s="634" t="s">
        <v>50</v>
      </c>
      <c r="C32" s="648"/>
      <c r="D32" s="648"/>
      <c r="E32" s="645"/>
    </row>
    <row r="33" spans="1:5" ht="25.5" customHeight="1">
      <c r="A33" s="639">
        <v>1</v>
      </c>
      <c r="B33" s="640" t="s">
        <v>51</v>
      </c>
      <c r="C33" s="641">
        <f>IF(C19=0,0,C12/C19)</f>
        <v>6204.590037513558</v>
      </c>
      <c r="D33" s="641">
        <f>IF(D19=0,0,D12/D19)</f>
        <v>6868.437354100493</v>
      </c>
      <c r="E33" s="641">
        <f>IF(E19=0,0,E12/E19)</f>
        <v>6795.689566111585</v>
      </c>
    </row>
    <row r="34" spans="1:5" ht="25.5" customHeight="1">
      <c r="A34" s="639">
        <v>2</v>
      </c>
      <c r="B34" s="640" t="s">
        <v>52</v>
      </c>
      <c r="C34" s="641">
        <f>IF(C20=0,0,C12/C20)</f>
        <v>32085.143820109086</v>
      </c>
      <c r="D34" s="641">
        <f>IF(D20=0,0,D12/D20)</f>
        <v>35612.70628503398</v>
      </c>
      <c r="E34" s="641">
        <f>IF(E20=0,0,E12/E20)</f>
        <v>39207.96895552592</v>
      </c>
    </row>
    <row r="35" spans="1:5" ht="25.5" customHeight="1">
      <c r="A35" s="639">
        <v>3</v>
      </c>
      <c r="B35" s="640" t="s">
        <v>53</v>
      </c>
      <c r="C35" s="641">
        <f>IF(C22=0,0,C12/C22)</f>
        <v>4483.747226285363</v>
      </c>
      <c r="D35" s="641">
        <f>IF(D22=0,0,D12/D22)</f>
        <v>4921.5878458535835</v>
      </c>
      <c r="E35" s="641">
        <f>IF(E22=0,0,E12/E22)</f>
        <v>4890.720902054253</v>
      </c>
    </row>
    <row r="36" spans="1:5" ht="25.5" customHeight="1">
      <c r="A36" s="639">
        <v>4</v>
      </c>
      <c r="B36" s="640" t="s">
        <v>54</v>
      </c>
      <c r="C36" s="641">
        <f>IF(C23=0,0,C12/C23)</f>
        <v>23186.33040032932</v>
      </c>
      <c r="D36" s="641">
        <f>IF(D23=0,0,D12/D23)</f>
        <v>25518.33166327695</v>
      </c>
      <c r="E36" s="641">
        <f>IF(E23=0,0,E12/E23)</f>
        <v>28217.185530975486</v>
      </c>
    </row>
    <row r="37" spans="1:5" ht="25.5" customHeight="1">
      <c r="A37" s="639">
        <v>5</v>
      </c>
      <c r="B37" s="640" t="s">
        <v>55</v>
      </c>
      <c r="C37" s="641">
        <f>IF(C29=0,0,C12/C29)</f>
        <v>3283.8546513172846</v>
      </c>
      <c r="D37" s="641">
        <f>IF(D29=0,0,D12/D29)</f>
        <v>3613.0433019016914</v>
      </c>
      <c r="E37" s="641">
        <f>IF(E29=0,0,E12/E29)</f>
        <v>3752.704833614576</v>
      </c>
    </row>
    <row r="38" spans="1:5" ht="25.5" customHeight="1">
      <c r="A38" s="639">
        <v>6</v>
      </c>
      <c r="B38" s="640" t="s">
        <v>56</v>
      </c>
      <c r="C38" s="641">
        <f>IF(C30=0,0,C12/C30)</f>
        <v>16981.45214024046</v>
      </c>
      <c r="D38" s="641">
        <f>IF(D30=0,0,D12/D30)</f>
        <v>18733.55514102745</v>
      </c>
      <c r="E38" s="641">
        <f>IF(E30=0,0,E12/E30)</f>
        <v>21651.361967642355</v>
      </c>
    </row>
    <row r="39" spans="1:5" ht="25.5" customHeight="1">
      <c r="A39" s="639">
        <v>7</v>
      </c>
      <c r="B39" s="640" t="s">
        <v>57</v>
      </c>
      <c r="C39" s="641">
        <f>IF(C22=0,0,C10/C22)</f>
        <v>3240.180103386524</v>
      </c>
      <c r="D39" s="641">
        <f>IF(D22=0,0,D10/D22)</f>
        <v>3526.5702627385895</v>
      </c>
      <c r="E39" s="641">
        <f>IF(E22=0,0,E10/E22)</f>
        <v>3519.7533243821545</v>
      </c>
    </row>
    <row r="40" spans="1:5" ht="25.5" customHeight="1">
      <c r="A40" s="639">
        <v>8</v>
      </c>
      <c r="B40" s="640" t="s">
        <v>58</v>
      </c>
      <c r="C40" s="641">
        <f>IF(C23=0,0,C10/C23)</f>
        <v>16755.602544511446</v>
      </c>
      <c r="D40" s="641">
        <f>IF(D23=0,0,D10/D23)</f>
        <v>18285.194213130035</v>
      </c>
      <c r="E40" s="641">
        <f>IF(E23=0,0,E10/E23)</f>
        <v>20307.340076519715</v>
      </c>
    </row>
    <row r="41" spans="1:5" ht="25.5" customHeight="1">
      <c r="A41" s="639"/>
      <c r="B41" s="640"/>
      <c r="C41" s="641"/>
      <c r="D41" s="641"/>
      <c r="E41" s="641"/>
    </row>
    <row r="42" spans="1:5" ht="39.75" customHeight="1">
      <c r="A42" s="629" t="s">
        <v>469</v>
      </c>
      <c r="B42" s="634" t="s">
        <v>59</v>
      </c>
      <c r="C42" s="641"/>
      <c r="D42" s="641"/>
      <c r="E42" s="641"/>
    </row>
    <row r="43" spans="1:5" ht="25.5" customHeight="1">
      <c r="A43" s="639">
        <v>1</v>
      </c>
      <c r="B43" s="640" t="s">
        <v>60</v>
      </c>
      <c r="C43" s="641">
        <f>IF(C19=0,0,C13/C19)</f>
        <v>2873.800003980218</v>
      </c>
      <c r="D43" s="641">
        <f>IF(D19=0,0,D13/D19)</f>
        <v>2959.7456564999425</v>
      </c>
      <c r="E43" s="641">
        <f>IF(E19=0,0,E13/E19)</f>
        <v>2724.56560140936</v>
      </c>
    </row>
    <row r="44" spans="1:5" ht="25.5" customHeight="1">
      <c r="A44" s="639">
        <v>2</v>
      </c>
      <c r="B44" s="640" t="s">
        <v>61</v>
      </c>
      <c r="C44" s="641">
        <f>IF(C20=0,0,C13/C20)</f>
        <v>14860.979674796748</v>
      </c>
      <c r="D44" s="641">
        <f>IF(D20=0,0,D13/D20)</f>
        <v>15346.220298625924</v>
      </c>
      <c r="E44" s="641">
        <f>IF(E20=0,0,E13/E20)</f>
        <v>15719.47665915467</v>
      </c>
    </row>
    <row r="45" spans="1:5" ht="25.5" customHeight="1">
      <c r="A45" s="639">
        <v>3</v>
      </c>
      <c r="B45" s="640" t="s">
        <v>62</v>
      </c>
      <c r="C45" s="641">
        <f>IF(C22=0,0,C13/C22)</f>
        <v>2076.7516820352066</v>
      </c>
      <c r="D45" s="641">
        <f>IF(D22=0,0,D13/D22)</f>
        <v>2120.8096542005565</v>
      </c>
      <c r="E45" s="641">
        <f>IF(E22=0,0,E13/E22)</f>
        <v>1960.8149851752628</v>
      </c>
    </row>
    <row r="46" spans="1:5" ht="25.5" customHeight="1">
      <c r="A46" s="639">
        <v>4</v>
      </c>
      <c r="B46" s="640" t="s">
        <v>63</v>
      </c>
      <c r="C46" s="641">
        <f>IF(C23=0,0,C13/C23)</f>
        <v>10739.287526473816</v>
      </c>
      <c r="D46" s="641">
        <f>IF(D23=0,0,D13/D23)</f>
        <v>10996.354397324221</v>
      </c>
      <c r="E46" s="641">
        <f>IF(E23=0,0,E13/E23)</f>
        <v>11312.990730132971</v>
      </c>
    </row>
    <row r="47" spans="1:5" ht="25.5" customHeight="1">
      <c r="A47" s="639">
        <v>5</v>
      </c>
      <c r="B47" s="640" t="s">
        <v>64</v>
      </c>
      <c r="C47" s="641">
        <f>IF(C29=0,0,C13/C29)</f>
        <v>1520.9935633084847</v>
      </c>
      <c r="D47" s="641">
        <f>IF(D29=0,0,D13/D29)</f>
        <v>1556.9318999707484</v>
      </c>
      <c r="E47" s="641">
        <f>IF(E29=0,0,E13/E29)</f>
        <v>1504.5552629266504</v>
      </c>
    </row>
    <row r="48" spans="1:5" ht="25.5" customHeight="1">
      <c r="A48" s="639">
        <v>6</v>
      </c>
      <c r="B48" s="640" t="s">
        <v>65</v>
      </c>
      <c r="C48" s="641">
        <f>IF(C30=0,0,C13/C30)</f>
        <v>7865.354025512647</v>
      </c>
      <c r="D48" s="641">
        <f>IF(D30=0,0,D13/D30)</f>
        <v>8072.659849821048</v>
      </c>
      <c r="E48" s="641">
        <f>IF(E30=0,0,E13/E30)</f>
        <v>8680.584283142138</v>
      </c>
    </row>
    <row r="49" spans="1:5" ht="25.5" customHeight="1">
      <c r="A49" s="639"/>
      <c r="B49" s="640"/>
      <c r="C49" s="641"/>
      <c r="D49" s="641"/>
      <c r="E49" s="641"/>
    </row>
    <row r="50" spans="1:5" ht="37.5" customHeight="1">
      <c r="A50" s="629" t="s">
        <v>481</v>
      </c>
      <c r="B50" s="634" t="s">
        <v>66</v>
      </c>
      <c r="C50" s="648"/>
      <c r="D50" s="648"/>
      <c r="E50" s="641"/>
    </row>
    <row r="51" spans="1:5" ht="25.5" customHeight="1">
      <c r="A51" s="639">
        <v>1</v>
      </c>
      <c r="B51" s="640" t="s">
        <v>67</v>
      </c>
      <c r="C51" s="641">
        <f>IF(C19=0,0,C16/C19)</f>
        <v>2856.568076659005</v>
      </c>
      <c r="D51" s="641">
        <f>IF(D19=0,0,D16/D19)</f>
        <v>2896.400061229957</v>
      </c>
      <c r="E51" s="641">
        <f>IF(E19=0,0,E16/E19)</f>
        <v>2726.1472972649804</v>
      </c>
    </row>
    <row r="52" spans="1:5" ht="25.5" customHeight="1">
      <c r="A52" s="639">
        <v>2</v>
      </c>
      <c r="B52" s="640" t="s">
        <v>68</v>
      </c>
      <c r="C52" s="641">
        <f>IF(C20=0,0,C16/C20)</f>
        <v>14771.870021611609</v>
      </c>
      <c r="D52" s="641">
        <f>IF(D20=0,0,D16/D20)</f>
        <v>15017.77469120492</v>
      </c>
      <c r="E52" s="641">
        <f>IF(E20=0,0,E16/E20)</f>
        <v>15728.602308789035</v>
      </c>
    </row>
    <row r="53" spans="1:5" ht="25.5" customHeight="1">
      <c r="A53" s="639">
        <v>3</v>
      </c>
      <c r="B53" s="640" t="s">
        <v>69</v>
      </c>
      <c r="C53" s="641">
        <f>IF(C22=0,0,C16/C22)</f>
        <v>2064.2990291019914</v>
      </c>
      <c r="D53" s="641">
        <f>IF(D22=0,0,D16/D22)</f>
        <v>2075.419284354204</v>
      </c>
      <c r="E53" s="641">
        <f>IF(E22=0,0,E16/E22)</f>
        <v>1961.9532998240588</v>
      </c>
    </row>
    <row r="54" spans="1:5" ht="25.5" customHeight="1">
      <c r="A54" s="639">
        <v>4</v>
      </c>
      <c r="B54" s="640" t="s">
        <v>70</v>
      </c>
      <c r="C54" s="641">
        <f>IF(C23=0,0,C16/C23)</f>
        <v>10674.89243221482</v>
      </c>
      <c r="D54" s="641">
        <f>IF(D23=0,0,D16/D23)</f>
        <v>10761.006264092408</v>
      </c>
      <c r="E54" s="641">
        <f>IF(E23=0,0,E16/E23)</f>
        <v>11319.558276366128</v>
      </c>
    </row>
    <row r="55" spans="1:5" ht="25.5" customHeight="1">
      <c r="A55" s="639">
        <v>5</v>
      </c>
      <c r="B55" s="640" t="s">
        <v>71</v>
      </c>
      <c r="C55" s="641">
        <f>IF(C29=0,0,C16/C29)</f>
        <v>1511.8733564386034</v>
      </c>
      <c r="D55" s="641">
        <f>IF(D29=0,0,D16/D29)</f>
        <v>1523.6098549558717</v>
      </c>
      <c r="E55" s="641">
        <f>IF(E29=0,0,E16/E29)</f>
        <v>1505.4287044847072</v>
      </c>
    </row>
    <row r="56" spans="1:5" ht="25.5" customHeight="1">
      <c r="A56" s="639">
        <v>6</v>
      </c>
      <c r="B56" s="640" t="s">
        <v>72</v>
      </c>
      <c r="C56" s="641">
        <f>IF(C30=0,0,C16/C30)</f>
        <v>7818.1916590516785</v>
      </c>
      <c r="D56" s="641">
        <f>IF(D30=0,0,D16/D30)</f>
        <v>7899.885732397814</v>
      </c>
      <c r="E56" s="641">
        <f>IF(E30=0,0,E16/E30)</f>
        <v>8685.623634801686</v>
      </c>
    </row>
    <row r="57" spans="1:5" ht="25.5" customHeight="1">
      <c r="A57" s="639"/>
      <c r="B57" s="640"/>
      <c r="C57" s="641"/>
      <c r="D57" s="641"/>
      <c r="E57" s="641"/>
    </row>
    <row r="58" spans="1:5" ht="25.5" customHeight="1">
      <c r="A58" s="629" t="s">
        <v>485</v>
      </c>
      <c r="B58" s="642" t="s">
        <v>73</v>
      </c>
      <c r="C58" s="641"/>
      <c r="D58" s="641"/>
      <c r="E58" s="641"/>
    </row>
    <row r="59" spans="1:5" ht="25.5" customHeight="1">
      <c r="A59" s="639">
        <v>1</v>
      </c>
      <c r="B59" s="640" t="s">
        <v>74</v>
      </c>
      <c r="C59" s="649">
        <v>48527344</v>
      </c>
      <c r="D59" s="649">
        <v>52779766</v>
      </c>
      <c r="E59" s="649">
        <v>59660307</v>
      </c>
    </row>
    <row r="60" spans="1:5" ht="25.5" customHeight="1">
      <c r="A60" s="639">
        <v>2</v>
      </c>
      <c r="B60" s="640" t="s">
        <v>75</v>
      </c>
      <c r="C60" s="649">
        <v>12376776</v>
      </c>
      <c r="D60" s="649">
        <v>12410666</v>
      </c>
      <c r="E60" s="649">
        <v>13620400</v>
      </c>
    </row>
    <row r="61" spans="1:5" ht="25.5" customHeight="1">
      <c r="A61" s="650">
        <v>3</v>
      </c>
      <c r="B61" s="651" t="s">
        <v>76</v>
      </c>
      <c r="C61" s="652">
        <f>C59+C60</f>
        <v>60904120</v>
      </c>
      <c r="D61" s="652">
        <f>D59+D60</f>
        <v>65190432</v>
      </c>
      <c r="E61" s="652">
        <f>E59+E60</f>
        <v>73280707</v>
      </c>
    </row>
    <row r="62" spans="1:5" ht="25.5" customHeight="1">
      <c r="A62" s="639"/>
      <c r="B62" s="640"/>
      <c r="C62" s="649"/>
      <c r="D62" s="649"/>
      <c r="E62" s="649"/>
    </row>
    <row r="63" spans="1:6" ht="25.5" customHeight="1">
      <c r="A63" s="629" t="s">
        <v>127</v>
      </c>
      <c r="B63" s="642" t="s">
        <v>77</v>
      </c>
      <c r="C63" s="640"/>
      <c r="D63" s="640"/>
      <c r="E63" s="649"/>
      <c r="F63" s="653"/>
    </row>
    <row r="64" spans="1:6" ht="25.5" customHeight="1">
      <c r="A64" s="639">
        <v>1</v>
      </c>
      <c r="B64" s="640" t="s">
        <v>78</v>
      </c>
      <c r="C64" s="641">
        <v>18735006</v>
      </c>
      <c r="D64" s="641">
        <v>21495275</v>
      </c>
      <c r="E64" s="649">
        <v>23691353</v>
      </c>
      <c r="F64" s="653"/>
    </row>
    <row r="65" spans="1:6" ht="25.5" customHeight="1">
      <c r="A65" s="639">
        <v>2</v>
      </c>
      <c r="B65" s="640" t="s">
        <v>79</v>
      </c>
      <c r="C65" s="649">
        <v>4778316</v>
      </c>
      <c r="D65" s="649">
        <v>5054412</v>
      </c>
      <c r="E65" s="649">
        <v>5408717</v>
      </c>
      <c r="F65" s="653"/>
    </row>
    <row r="66" spans="1:6" ht="25.5" customHeight="1">
      <c r="A66" s="650">
        <v>3</v>
      </c>
      <c r="B66" s="651" t="s">
        <v>80</v>
      </c>
      <c r="C66" s="654">
        <f>C64+C65</f>
        <v>23513322</v>
      </c>
      <c r="D66" s="654">
        <f>D64+D65</f>
        <v>26549687</v>
      </c>
      <c r="E66" s="654">
        <f>E64+E65</f>
        <v>29100070</v>
      </c>
      <c r="F66" s="655"/>
    </row>
    <row r="67" spans="1:5" ht="25.5" customHeight="1">
      <c r="A67" s="639"/>
      <c r="B67" s="640"/>
      <c r="C67" s="649"/>
      <c r="D67" s="649"/>
      <c r="E67" s="649"/>
    </row>
    <row r="68" spans="1:5" ht="25.5" customHeight="1">
      <c r="A68" s="629" t="s">
        <v>511</v>
      </c>
      <c r="B68" s="642" t="s">
        <v>81</v>
      </c>
      <c r="C68" s="649"/>
      <c r="D68" s="649"/>
      <c r="E68" s="649"/>
    </row>
    <row r="69" spans="1:5" ht="25.5" customHeight="1">
      <c r="A69" s="639">
        <v>1</v>
      </c>
      <c r="B69" s="640" t="s">
        <v>82</v>
      </c>
      <c r="C69" s="649">
        <v>50210539</v>
      </c>
      <c r="D69" s="649">
        <v>54452460</v>
      </c>
      <c r="E69" s="649">
        <v>63525340</v>
      </c>
    </row>
    <row r="70" spans="1:5" ht="25.5" customHeight="1">
      <c r="A70" s="639">
        <v>2</v>
      </c>
      <c r="B70" s="640" t="s">
        <v>83</v>
      </c>
      <c r="C70" s="649">
        <v>12806071</v>
      </c>
      <c r="D70" s="649">
        <v>12803985</v>
      </c>
      <c r="E70" s="649">
        <v>14502883</v>
      </c>
    </row>
    <row r="71" spans="1:5" ht="25.5" customHeight="1">
      <c r="A71" s="650">
        <v>3</v>
      </c>
      <c r="B71" s="651" t="s">
        <v>84</v>
      </c>
      <c r="C71" s="652">
        <f>C69+C70</f>
        <v>63016610</v>
      </c>
      <c r="D71" s="652">
        <f>D69+D70</f>
        <v>67256445</v>
      </c>
      <c r="E71" s="652">
        <f>E69+E70</f>
        <v>78028223</v>
      </c>
    </row>
    <row r="72" spans="1:5" ht="25.5" customHeight="1">
      <c r="A72" s="639"/>
      <c r="B72" s="640"/>
      <c r="C72" s="649"/>
      <c r="D72" s="649"/>
      <c r="E72" s="649"/>
    </row>
    <row r="73" spans="1:5" ht="25.5" customHeight="1">
      <c r="A73" s="639"/>
      <c r="B73" s="640"/>
      <c r="C73" s="649"/>
      <c r="D73" s="649"/>
      <c r="E73" s="649"/>
    </row>
    <row r="74" spans="1:5" ht="25.5" customHeight="1">
      <c r="A74" s="629" t="s">
        <v>527</v>
      </c>
      <c r="B74" s="642" t="s">
        <v>85</v>
      </c>
      <c r="C74" s="641"/>
      <c r="D74" s="641"/>
      <c r="E74" s="641"/>
    </row>
    <row r="75" spans="1:5" ht="25.5" customHeight="1">
      <c r="A75" s="639">
        <v>1</v>
      </c>
      <c r="B75" s="640" t="s">
        <v>86</v>
      </c>
      <c r="C75" s="641">
        <f aca="true" t="shared" si="0" ref="C75:E76">+C59+C64+C69</f>
        <v>117472889</v>
      </c>
      <c r="D75" s="641">
        <f t="shared" si="0"/>
        <v>128727501</v>
      </c>
      <c r="E75" s="641">
        <f t="shared" si="0"/>
        <v>146877000</v>
      </c>
    </row>
    <row r="76" spans="1:5" ht="25.5" customHeight="1">
      <c r="A76" s="639">
        <v>2</v>
      </c>
      <c r="B76" s="640" t="s">
        <v>87</v>
      </c>
      <c r="C76" s="641">
        <f t="shared" si="0"/>
        <v>29961163</v>
      </c>
      <c r="D76" s="641">
        <f t="shared" si="0"/>
        <v>30269063</v>
      </c>
      <c r="E76" s="641">
        <f t="shared" si="0"/>
        <v>33532000</v>
      </c>
    </row>
    <row r="77" spans="1:5" ht="25.5" customHeight="1">
      <c r="A77" s="650">
        <v>3</v>
      </c>
      <c r="B77" s="651" t="s">
        <v>85</v>
      </c>
      <c r="C77" s="654">
        <f>C75+C76</f>
        <v>147434052</v>
      </c>
      <c r="D77" s="654">
        <f>D75+D76</f>
        <v>158996564</v>
      </c>
      <c r="E77" s="654">
        <f>E75+E76</f>
        <v>180409000</v>
      </c>
    </row>
    <row r="78" spans="1:5" ht="25.5" customHeight="1">
      <c r="A78" s="650"/>
      <c r="B78" s="651"/>
      <c r="C78" s="654"/>
      <c r="D78" s="654"/>
      <c r="E78" s="654"/>
    </row>
    <row r="79" spans="1:5" ht="25.5" customHeight="1">
      <c r="A79" s="629" t="s">
        <v>536</v>
      </c>
      <c r="B79" s="642" t="s">
        <v>88</v>
      </c>
      <c r="C79" s="649"/>
      <c r="D79" s="649"/>
      <c r="E79" s="649"/>
    </row>
    <row r="80" spans="1:5" ht="25.5" customHeight="1">
      <c r="A80" s="639">
        <v>1</v>
      </c>
      <c r="B80" s="640" t="s">
        <v>693</v>
      </c>
      <c r="C80" s="646">
        <v>636</v>
      </c>
      <c r="D80" s="646">
        <v>670.8</v>
      </c>
      <c r="E80" s="646">
        <v>766.9</v>
      </c>
    </row>
    <row r="81" spans="1:5" ht="25.5" customHeight="1">
      <c r="A81" s="639">
        <v>2</v>
      </c>
      <c r="B81" s="640" t="s">
        <v>694</v>
      </c>
      <c r="C81" s="646">
        <v>128.8</v>
      </c>
      <c r="D81" s="646">
        <v>136.5</v>
      </c>
      <c r="E81" s="646">
        <v>143.8</v>
      </c>
    </row>
    <row r="82" spans="1:5" ht="25.5" customHeight="1">
      <c r="A82" s="639">
        <v>3</v>
      </c>
      <c r="B82" s="640" t="s">
        <v>89</v>
      </c>
      <c r="C82" s="646">
        <v>970.1</v>
      </c>
      <c r="D82" s="646">
        <v>1022.1</v>
      </c>
      <c r="E82" s="646">
        <v>1138.9</v>
      </c>
    </row>
    <row r="83" spans="1:5" ht="25.5" customHeight="1">
      <c r="A83" s="650">
        <v>4</v>
      </c>
      <c r="B83" s="651" t="s">
        <v>88</v>
      </c>
      <c r="C83" s="656">
        <f>C80+C81+C82</f>
        <v>1734.9</v>
      </c>
      <c r="D83" s="656">
        <f>D80+D81+D82</f>
        <v>1829.4</v>
      </c>
      <c r="E83" s="656">
        <f>E80+E81+E82</f>
        <v>2049.6000000000004</v>
      </c>
    </row>
    <row r="84" spans="1:5" ht="25.5" customHeight="1">
      <c r="A84" s="639"/>
      <c r="B84" s="640"/>
      <c r="C84" s="657"/>
      <c r="D84" s="657"/>
      <c r="E84" s="657"/>
    </row>
    <row r="85" spans="1:5" ht="25.5" customHeight="1">
      <c r="A85" s="629" t="s">
        <v>539</v>
      </c>
      <c r="B85" s="642" t="s">
        <v>90</v>
      </c>
      <c r="C85" s="657"/>
      <c r="D85" s="657"/>
      <c r="E85" s="657"/>
    </row>
    <row r="86" spans="1:5" ht="25.5" customHeight="1">
      <c r="A86" s="639">
        <v>1</v>
      </c>
      <c r="B86" s="640" t="s">
        <v>91</v>
      </c>
      <c r="C86" s="649">
        <f>IF(C80=0,0,C59/C80)</f>
        <v>76300.85534591194</v>
      </c>
      <c r="D86" s="649">
        <f>IF(D80=0,0,D59/D80)</f>
        <v>78681.82170542637</v>
      </c>
      <c r="E86" s="649">
        <f>IF(E80=0,0,E59/E80)</f>
        <v>77794.11526926588</v>
      </c>
    </row>
    <row r="87" spans="1:5" ht="25.5" customHeight="1">
      <c r="A87" s="639">
        <v>2</v>
      </c>
      <c r="B87" s="640" t="s">
        <v>92</v>
      </c>
      <c r="C87" s="649">
        <f>IF(C80=0,0,C60/C80)</f>
        <v>19460.33962264151</v>
      </c>
      <c r="D87" s="649">
        <f>IF(D80=0,0,D60/D80)</f>
        <v>18501.290995825882</v>
      </c>
      <c r="E87" s="649">
        <f>IF(E80=0,0,E60/E80)</f>
        <v>17760.33381144869</v>
      </c>
    </row>
    <row r="88" spans="1:5" ht="25.5" customHeight="1">
      <c r="A88" s="650">
        <v>3</v>
      </c>
      <c r="B88" s="651" t="s">
        <v>93</v>
      </c>
      <c r="C88" s="652">
        <f>+C86+C87</f>
        <v>95761.19496855345</v>
      </c>
      <c r="D88" s="652">
        <f>+D86+D87</f>
        <v>97183.11270125225</v>
      </c>
      <c r="E88" s="652">
        <f>+E86+E87</f>
        <v>95554.44908071458</v>
      </c>
    </row>
    <row r="89" spans="1:5" ht="25.5" customHeight="1">
      <c r="A89" s="639"/>
      <c r="B89" s="640"/>
      <c r="C89" s="649"/>
      <c r="D89" s="649"/>
      <c r="E89" s="649"/>
    </row>
    <row r="90" spans="1:2" ht="25.5" customHeight="1">
      <c r="A90" s="629" t="s">
        <v>691</v>
      </c>
      <c r="B90" s="642" t="s">
        <v>94</v>
      </c>
    </row>
    <row r="91" spans="1:5" ht="25.5" customHeight="1">
      <c r="A91" s="639">
        <v>1</v>
      </c>
      <c r="B91" s="640" t="s">
        <v>95</v>
      </c>
      <c r="C91" s="641">
        <f>IF(C81=0,0,C64/C81)</f>
        <v>145458.1211180124</v>
      </c>
      <c r="D91" s="641">
        <f>IF(D81=0,0,D64/D81)</f>
        <v>157474.54212454212</v>
      </c>
      <c r="E91" s="641">
        <f>IF(E81=0,0,E64/E81)</f>
        <v>164752.10709318495</v>
      </c>
    </row>
    <row r="92" spans="1:5" ht="25.5" customHeight="1">
      <c r="A92" s="639">
        <v>2</v>
      </c>
      <c r="B92" s="640" t="s">
        <v>96</v>
      </c>
      <c r="C92" s="641">
        <f>IF(C81=0,0,C65/C81)</f>
        <v>37098.72670807453</v>
      </c>
      <c r="D92" s="641">
        <f>IF(D81=0,0,D65/D81)</f>
        <v>37028.65934065934</v>
      </c>
      <c r="E92" s="641">
        <f>IF(E81=0,0,E65/E81)</f>
        <v>37612.774687065365</v>
      </c>
    </row>
    <row r="93" spans="1:5" ht="25.5" customHeight="1">
      <c r="A93" s="650">
        <v>3</v>
      </c>
      <c r="B93" s="651" t="s">
        <v>97</v>
      </c>
      <c r="C93" s="654">
        <f>+C91+C92</f>
        <v>182556.84782608695</v>
      </c>
      <c r="D93" s="654">
        <f>+D91+D92</f>
        <v>194503.20146520145</v>
      </c>
      <c r="E93" s="654">
        <f>+E91+E92</f>
        <v>202364.88178025032</v>
      </c>
    </row>
    <row r="94" spans="1:5" ht="25.5" customHeight="1">
      <c r="A94" s="639"/>
      <c r="B94" s="640"/>
      <c r="C94" s="649"/>
      <c r="D94" s="649"/>
      <c r="E94" s="649"/>
    </row>
    <row r="95" spans="1:5" ht="25.5" customHeight="1">
      <c r="A95" s="629" t="s">
        <v>98</v>
      </c>
      <c r="B95" s="642" t="s">
        <v>99</v>
      </c>
      <c r="C95" s="649"/>
      <c r="D95" s="649"/>
      <c r="E95" s="649"/>
    </row>
    <row r="96" spans="1:5" ht="25.5" customHeight="1">
      <c r="A96" s="639">
        <v>1</v>
      </c>
      <c r="B96" s="640" t="s">
        <v>100</v>
      </c>
      <c r="C96" s="649">
        <f>IF(C82=0,0,C69/C82)</f>
        <v>51758.10638078549</v>
      </c>
      <c r="D96" s="649">
        <f>IF(D82=0,0,D69/D82)</f>
        <v>53275.08071617258</v>
      </c>
      <c r="E96" s="649">
        <f>IF(E82=0,0,E69/E82)</f>
        <v>55777.803143383964</v>
      </c>
    </row>
    <row r="97" spans="1:5" ht="25.5" customHeight="1">
      <c r="A97" s="639">
        <v>2</v>
      </c>
      <c r="B97" s="640" t="s">
        <v>101</v>
      </c>
      <c r="C97" s="649">
        <f>IF(C82=0,0,C70/C82)</f>
        <v>13200.774146995154</v>
      </c>
      <c r="D97" s="649">
        <f>IF(D82=0,0,D70/D82)</f>
        <v>12527.135309656589</v>
      </c>
      <c r="E97" s="649">
        <f>IF(E82=0,0,E70/E82)</f>
        <v>12734.114496443935</v>
      </c>
    </row>
    <row r="98" spans="1:5" ht="25.5" customHeight="1">
      <c r="A98" s="650">
        <v>3</v>
      </c>
      <c r="B98" s="651" t="s">
        <v>102</v>
      </c>
      <c r="C98" s="654">
        <f>+C96+C97</f>
        <v>64958.88052778064</v>
      </c>
      <c r="D98" s="654">
        <f>+D96+D97</f>
        <v>65802.21602582917</v>
      </c>
      <c r="E98" s="654">
        <f>+E96+E97</f>
        <v>68511.9176398279</v>
      </c>
    </row>
    <row r="99" spans="1:5" ht="25.5" customHeight="1">
      <c r="A99" s="639"/>
      <c r="B99" s="640"/>
      <c r="C99" s="649"/>
      <c r="D99" s="649"/>
      <c r="E99" s="649"/>
    </row>
    <row r="100" spans="1:2" ht="25.5" customHeight="1">
      <c r="A100" s="629" t="s">
        <v>103</v>
      </c>
      <c r="B100" s="642" t="s">
        <v>104</v>
      </c>
    </row>
    <row r="101" spans="1:5" ht="25.5" customHeight="1">
      <c r="A101" s="639">
        <v>1</v>
      </c>
      <c r="B101" s="640" t="s">
        <v>105</v>
      </c>
      <c r="C101" s="641">
        <f>IF(C83=0,0,C75/C83)</f>
        <v>67711.61968989567</v>
      </c>
      <c r="D101" s="641">
        <f>IF(D83=0,0,D75/D83)</f>
        <v>70365.96753033782</v>
      </c>
      <c r="E101" s="641">
        <f>IF(E83=0,0,E75/E83)</f>
        <v>71661.29976580795</v>
      </c>
    </row>
    <row r="102" spans="1:5" ht="25.5" customHeight="1">
      <c r="A102" s="639">
        <v>2</v>
      </c>
      <c r="B102" s="640" t="s">
        <v>106</v>
      </c>
      <c r="C102" s="658">
        <f>IF(C83=0,0,C76/C83)</f>
        <v>17269.67721482506</v>
      </c>
      <c r="D102" s="658">
        <f>IF(D83=0,0,D76/D83)</f>
        <v>16545.89646878758</v>
      </c>
      <c r="E102" s="658">
        <f>IF(E83=0,0,E76/E83)</f>
        <v>16360.265417642464</v>
      </c>
    </row>
    <row r="103" spans="1:5" ht="25.5" customHeight="1">
      <c r="A103" s="650">
        <v>3</v>
      </c>
      <c r="B103" s="651" t="s">
        <v>104</v>
      </c>
      <c r="C103" s="654">
        <f>+C101+C102</f>
        <v>84981.29690472073</v>
      </c>
      <c r="D103" s="654">
        <f>+D101+D102</f>
        <v>86911.8639991254</v>
      </c>
      <c r="E103" s="654">
        <f>+E101+E102</f>
        <v>88021.56518345042</v>
      </c>
    </row>
    <row r="104" spans="1:5" ht="25.5" customHeight="1">
      <c r="A104" s="650"/>
      <c r="B104" s="651"/>
      <c r="C104" s="654"/>
      <c r="D104" s="654"/>
      <c r="E104" s="654"/>
    </row>
    <row r="105" spans="1:5" ht="25.5" customHeight="1">
      <c r="A105" s="650"/>
      <c r="B105" s="651"/>
      <c r="C105" s="654"/>
      <c r="D105" s="654"/>
      <c r="E105" s="654"/>
    </row>
    <row r="106" spans="1:5" ht="25.5" customHeight="1">
      <c r="A106" s="650"/>
      <c r="B106" s="651"/>
      <c r="C106" s="654"/>
      <c r="D106" s="654"/>
      <c r="E106" s="654"/>
    </row>
    <row r="107" spans="1:5" ht="30" customHeight="1">
      <c r="A107" s="629" t="s">
        <v>107</v>
      </c>
      <c r="B107" s="634" t="s">
        <v>108</v>
      </c>
      <c r="C107" s="659"/>
      <c r="D107" s="659"/>
      <c r="E107" s="641"/>
    </row>
    <row r="108" spans="1:5" ht="25.5" customHeight="1">
      <c r="A108" s="639">
        <v>1</v>
      </c>
      <c r="B108" s="640" t="s">
        <v>109</v>
      </c>
      <c r="C108" s="641">
        <f>IF(C19=0,0,C77/C19)</f>
        <v>1467.049285053285</v>
      </c>
      <c r="D108" s="641">
        <f>IF(D19=0,0,D77/D19)</f>
        <v>1521.1488653323638</v>
      </c>
      <c r="E108" s="641">
        <f>IF(E19=0,0,E77/E19)</f>
        <v>1438.1292498027055</v>
      </c>
    </row>
    <row r="109" spans="1:5" ht="25.5" customHeight="1">
      <c r="A109" s="639">
        <v>2</v>
      </c>
      <c r="B109" s="640" t="s">
        <v>110</v>
      </c>
      <c r="C109" s="641">
        <f>IF(C20=0,0,C77/C20)</f>
        <v>7586.3976535967895</v>
      </c>
      <c r="D109" s="641">
        <f>IF(D20=0,0,D77/D20)</f>
        <v>7887.125551862691</v>
      </c>
      <c r="E109" s="641">
        <f>IF(E20=0,0,E77/E20)</f>
        <v>8297.337074000829</v>
      </c>
    </row>
    <row r="110" spans="1:5" ht="25.5" customHeight="1">
      <c r="A110" s="639">
        <v>3</v>
      </c>
      <c r="B110" s="640" t="s">
        <v>111</v>
      </c>
      <c r="C110" s="641">
        <f>IF(C22=0,0,C77/C22)</f>
        <v>1060.1632215684028</v>
      </c>
      <c r="D110" s="641">
        <f>IF(D22=0,0,D77/D22)</f>
        <v>1089.9812259165865</v>
      </c>
      <c r="E110" s="641">
        <f>IF(E22=0,0,E77/E22)</f>
        <v>1034.992654305452</v>
      </c>
    </row>
    <row r="111" spans="1:5" ht="25.5" customHeight="1">
      <c r="A111" s="639">
        <v>4</v>
      </c>
      <c r="B111" s="640" t="s">
        <v>112</v>
      </c>
      <c r="C111" s="641">
        <f>IF(C23=0,0,C77/C23)</f>
        <v>5482.310552534721</v>
      </c>
      <c r="D111" s="641">
        <f>IF(D23=0,0,D77/D23)</f>
        <v>5651.5302176549085</v>
      </c>
      <c r="E111" s="641">
        <f>IF(E23=0,0,E77/E23)</f>
        <v>5971.426367320795</v>
      </c>
    </row>
    <row r="112" spans="1:5" ht="25.5" customHeight="1">
      <c r="A112" s="639">
        <v>5</v>
      </c>
      <c r="B112" s="640" t="s">
        <v>113</v>
      </c>
      <c r="C112" s="641">
        <f>IF(C29=0,0,C77/C29)</f>
        <v>776.4536559718513</v>
      </c>
      <c r="D112" s="641">
        <f>IF(D29=0,0,D77/D29)</f>
        <v>800.1786193483046</v>
      </c>
      <c r="E112" s="641">
        <f>IF(E29=0,0,E77/E29)</f>
        <v>794.1614363919725</v>
      </c>
    </row>
    <row r="113" spans="1:5" ht="25.5" customHeight="1">
      <c r="A113" s="639">
        <v>6</v>
      </c>
      <c r="B113" s="640" t="s">
        <v>114</v>
      </c>
      <c r="C113" s="641">
        <f>IF(C30=0,0,C77/C30)</f>
        <v>4015.193118462649</v>
      </c>
      <c r="D113" s="641">
        <f>IF(D30=0,0,D77/D30)</f>
        <v>4148.909668572954</v>
      </c>
      <c r="E113" s="641">
        <f>IF(E30=0,0,E77/E30)</f>
        <v>4581.942220993597</v>
      </c>
    </row>
    <row r="116" spans="1:7" ht="12.75">
      <c r="A116" s="630"/>
      <c r="B116" s="630"/>
      <c r="C116" s="630"/>
      <c r="D116" s="630"/>
      <c r="E116" s="630"/>
      <c r="F116" s="630"/>
      <c r="G116" s="630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/>
  <headerFooter alignWithMargins="0">
    <oddHeader>&amp;L&amp;12OFFICE OF HEALTH CARE ACCESS&amp;C&amp;12TWELVE MONTHS ACTUAL FILING&amp;R&amp;12SAINT VINCENT`S MEDICAL CENTER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115</v>
      </c>
      <c r="C1" s="57"/>
      <c r="D1" s="57"/>
      <c r="E1" s="57"/>
      <c r="F1" s="58"/>
    </row>
    <row r="2" spans="1:6" ht="22.5" customHeight="1">
      <c r="A2" s="57"/>
      <c r="B2" s="57" t="s">
        <v>116</v>
      </c>
      <c r="C2" s="57"/>
      <c r="D2" s="57"/>
      <c r="E2" s="57"/>
      <c r="F2" s="58"/>
    </row>
    <row r="3" spans="1:6" ht="22.5" customHeight="1">
      <c r="A3" s="57"/>
      <c r="B3" s="57" t="s">
        <v>117</v>
      </c>
      <c r="C3" s="57"/>
      <c r="D3" s="57"/>
      <c r="E3" s="57"/>
      <c r="F3" s="58"/>
    </row>
    <row r="4" spans="1:6" ht="22.5" customHeight="1">
      <c r="A4" s="57"/>
      <c r="B4" s="57" t="s">
        <v>184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119</v>
      </c>
      <c r="D6" s="10" t="s">
        <v>120</v>
      </c>
      <c r="E6" s="59" t="s">
        <v>121</v>
      </c>
      <c r="F6" s="59" t="s">
        <v>122</v>
      </c>
    </row>
    <row r="7" spans="1:8" ht="15.75" customHeight="1">
      <c r="A7" s="61" t="s">
        <v>123</v>
      </c>
      <c r="B7" s="62" t="s">
        <v>124</v>
      </c>
      <c r="C7" s="14" t="s">
        <v>125</v>
      </c>
      <c r="D7" s="14" t="s">
        <v>125</v>
      </c>
      <c r="E7" s="63" t="s">
        <v>126</v>
      </c>
      <c r="F7" s="63" t="s">
        <v>126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129</v>
      </c>
      <c r="B11" s="30" t="s">
        <v>185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186</v>
      </c>
      <c r="C12" s="51">
        <v>717916546</v>
      </c>
      <c r="D12" s="51">
        <v>852498000</v>
      </c>
      <c r="E12" s="51">
        <f aca="true" t="shared" si="0" ref="E12:E19">D12-C12</f>
        <v>134581454</v>
      </c>
      <c r="F12" s="70">
        <f aca="true" t="shared" si="1" ref="F12:F19">IF(C12=0,0,E12/C12)</f>
        <v>0.18746113980774584</v>
      </c>
    </row>
    <row r="13" spans="1:6" ht="22.5" customHeight="1">
      <c r="A13" s="25">
        <v>2</v>
      </c>
      <c r="B13" s="48" t="s">
        <v>187</v>
      </c>
      <c r="C13" s="51">
        <v>402767258</v>
      </c>
      <c r="D13" s="51">
        <v>501876419</v>
      </c>
      <c r="E13" s="51">
        <f t="shared" si="0"/>
        <v>99109161</v>
      </c>
      <c r="F13" s="70">
        <f t="shared" si="1"/>
        <v>0.24607055074968384</v>
      </c>
    </row>
    <row r="14" spans="1:6" ht="22.5" customHeight="1">
      <c r="A14" s="25">
        <v>3</v>
      </c>
      <c r="B14" s="48" t="s">
        <v>188</v>
      </c>
      <c r="C14" s="51">
        <v>5784833</v>
      </c>
      <c r="D14" s="51">
        <v>8833000</v>
      </c>
      <c r="E14" s="51">
        <f t="shared" si="0"/>
        <v>3048167</v>
      </c>
      <c r="F14" s="70">
        <f t="shared" si="1"/>
        <v>0.5269239405873947</v>
      </c>
    </row>
    <row r="15" spans="1:7" ht="22.5" customHeight="1">
      <c r="A15" s="25">
        <v>4</v>
      </c>
      <c r="B15" s="48" t="s">
        <v>189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190</v>
      </c>
      <c r="C16" s="27">
        <f>C12-C13-C14-C15</f>
        <v>309364455</v>
      </c>
      <c r="D16" s="27">
        <f>D12-D13-D14-D15</f>
        <v>341788581</v>
      </c>
      <c r="E16" s="27">
        <f t="shared" si="0"/>
        <v>32424126</v>
      </c>
      <c r="F16" s="28">
        <f t="shared" si="1"/>
        <v>0.10480882815060315</v>
      </c>
    </row>
    <row r="17" spans="1:7" ht="22.5" customHeight="1">
      <c r="A17" s="25">
        <v>5</v>
      </c>
      <c r="B17" s="48" t="s">
        <v>191</v>
      </c>
      <c r="C17" s="51">
        <v>13083321</v>
      </c>
      <c r="D17" s="51">
        <v>10624419</v>
      </c>
      <c r="E17" s="51">
        <f t="shared" si="0"/>
        <v>-2458902</v>
      </c>
      <c r="F17" s="70">
        <f t="shared" si="1"/>
        <v>-0.18794173130812888</v>
      </c>
      <c r="G17" s="64"/>
    </row>
    <row r="18" spans="1:7" ht="22.5" customHeight="1">
      <c r="A18" s="25">
        <v>6</v>
      </c>
      <c r="B18" s="45" t="s">
        <v>192</v>
      </c>
      <c r="C18" s="51">
        <v>402134</v>
      </c>
      <c r="D18" s="51">
        <v>396000</v>
      </c>
      <c r="E18" s="51">
        <f t="shared" si="0"/>
        <v>-6134</v>
      </c>
      <c r="F18" s="70">
        <f t="shared" si="1"/>
        <v>-0.015253621927019352</v>
      </c>
      <c r="G18" s="64"/>
    </row>
    <row r="19" spans="1:6" ht="22.5" customHeight="1">
      <c r="A19" s="29"/>
      <c r="B19" s="71" t="s">
        <v>193</v>
      </c>
      <c r="C19" s="27">
        <f>SUM(C16:C18)</f>
        <v>322849910</v>
      </c>
      <c r="D19" s="27">
        <f>SUM(D16:D18)</f>
        <v>352809000</v>
      </c>
      <c r="E19" s="27">
        <f t="shared" si="0"/>
        <v>29959090</v>
      </c>
      <c r="F19" s="28">
        <f t="shared" si="1"/>
        <v>0.09279572046341905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141</v>
      </c>
      <c r="B21" s="30" t="s">
        <v>194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195</v>
      </c>
      <c r="C22" s="51">
        <v>128727501</v>
      </c>
      <c r="D22" s="51">
        <v>146877000</v>
      </c>
      <c r="E22" s="51">
        <f aca="true" t="shared" si="2" ref="E22:E31">D22-C22</f>
        <v>18149499</v>
      </c>
      <c r="F22" s="70">
        <f aca="true" t="shared" si="3" ref="F22:F31">IF(C22=0,0,E22/C22)</f>
        <v>0.14099162074155389</v>
      </c>
    </row>
    <row r="23" spans="1:6" ht="22.5" customHeight="1">
      <c r="A23" s="25">
        <v>2</v>
      </c>
      <c r="B23" s="48" t="s">
        <v>196</v>
      </c>
      <c r="C23" s="51">
        <v>30269063</v>
      </c>
      <c r="D23" s="51">
        <v>33532000</v>
      </c>
      <c r="E23" s="51">
        <f t="shared" si="2"/>
        <v>3262937</v>
      </c>
      <c r="F23" s="70">
        <f t="shared" si="3"/>
        <v>0.10779775376594908</v>
      </c>
    </row>
    <row r="24" spans="1:7" ht="22.5" customHeight="1">
      <c r="A24" s="25">
        <v>3</v>
      </c>
      <c r="B24" s="48" t="s">
        <v>197</v>
      </c>
      <c r="C24" s="51">
        <v>1582302</v>
      </c>
      <c r="D24" s="51">
        <v>2257000</v>
      </c>
      <c r="E24" s="51">
        <f t="shared" si="2"/>
        <v>674698</v>
      </c>
      <c r="F24" s="70">
        <f t="shared" si="3"/>
        <v>0.4264027979488113</v>
      </c>
      <c r="G24" s="64"/>
    </row>
    <row r="25" spans="1:6" ht="22.5" customHeight="1">
      <c r="A25" s="25">
        <v>4</v>
      </c>
      <c r="B25" s="48" t="s">
        <v>198</v>
      </c>
      <c r="C25" s="51">
        <v>50496291</v>
      </c>
      <c r="D25" s="51">
        <v>51456000</v>
      </c>
      <c r="E25" s="51">
        <f t="shared" si="2"/>
        <v>959709</v>
      </c>
      <c r="F25" s="70">
        <f t="shared" si="3"/>
        <v>0.019005534485691235</v>
      </c>
    </row>
    <row r="26" spans="1:6" ht="22.5" customHeight="1">
      <c r="A26" s="25">
        <v>5</v>
      </c>
      <c r="B26" s="48" t="s">
        <v>199</v>
      </c>
      <c r="C26" s="51">
        <v>16786166</v>
      </c>
      <c r="D26" s="51">
        <v>18628000</v>
      </c>
      <c r="E26" s="51">
        <f t="shared" si="2"/>
        <v>1841834</v>
      </c>
      <c r="F26" s="70">
        <f t="shared" si="3"/>
        <v>0.10972332812626778</v>
      </c>
    </row>
    <row r="27" spans="1:6" ht="22.5" customHeight="1">
      <c r="A27" s="25">
        <v>6</v>
      </c>
      <c r="B27" s="48" t="s">
        <v>200</v>
      </c>
      <c r="C27" s="51">
        <v>20133762</v>
      </c>
      <c r="D27" s="51">
        <v>21818000</v>
      </c>
      <c r="E27" s="51">
        <f t="shared" si="2"/>
        <v>1684238</v>
      </c>
      <c r="F27" s="70">
        <f t="shared" si="3"/>
        <v>0.08365242422156376</v>
      </c>
    </row>
    <row r="28" spans="1:6" ht="22.5" customHeight="1">
      <c r="A28" s="25">
        <v>7</v>
      </c>
      <c r="B28" s="48" t="s">
        <v>201</v>
      </c>
      <c r="C28" s="51">
        <v>1011878</v>
      </c>
      <c r="D28" s="51">
        <v>678000</v>
      </c>
      <c r="E28" s="51">
        <f t="shared" si="2"/>
        <v>-333878</v>
      </c>
      <c r="F28" s="70">
        <f t="shared" si="3"/>
        <v>-0.3299587499678815</v>
      </c>
    </row>
    <row r="29" spans="1:6" ht="22.5" customHeight="1">
      <c r="A29" s="25">
        <v>8</v>
      </c>
      <c r="B29" s="48" t="s">
        <v>202</v>
      </c>
      <c r="C29" s="51">
        <v>1922385</v>
      </c>
      <c r="D29" s="51">
        <v>4752000</v>
      </c>
      <c r="E29" s="51">
        <f t="shared" si="2"/>
        <v>2829615</v>
      </c>
      <c r="F29" s="70">
        <f t="shared" si="3"/>
        <v>1.4719294001981913</v>
      </c>
    </row>
    <row r="30" spans="1:6" ht="22.5" customHeight="1">
      <c r="A30" s="25">
        <v>9</v>
      </c>
      <c r="B30" s="48" t="s">
        <v>203</v>
      </c>
      <c r="C30" s="51">
        <v>51813972</v>
      </c>
      <c r="D30" s="51">
        <v>61989000</v>
      </c>
      <c r="E30" s="51">
        <f t="shared" si="2"/>
        <v>10175028</v>
      </c>
      <c r="F30" s="70">
        <f t="shared" si="3"/>
        <v>0.1963761434850044</v>
      </c>
    </row>
    <row r="31" spans="1:6" ht="22.5" customHeight="1">
      <c r="A31" s="29"/>
      <c r="B31" s="71" t="s">
        <v>204</v>
      </c>
      <c r="C31" s="27">
        <f>SUM(C22:C30)</f>
        <v>302743320</v>
      </c>
      <c r="D31" s="27">
        <f>SUM(D22:D30)</f>
        <v>341987000</v>
      </c>
      <c r="E31" s="27">
        <f t="shared" si="2"/>
        <v>39243680</v>
      </c>
      <c r="F31" s="28">
        <f t="shared" si="3"/>
        <v>0.12962690638392946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205</v>
      </c>
      <c r="C33" s="27">
        <f>+C19-C31</f>
        <v>20106590</v>
      </c>
      <c r="D33" s="27">
        <f>+D19-D31</f>
        <v>10822000</v>
      </c>
      <c r="E33" s="27">
        <f>D33-C33</f>
        <v>-9284590</v>
      </c>
      <c r="F33" s="28">
        <f>IF(C33=0,0,E33/C33)</f>
        <v>-0.461768504753914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151</v>
      </c>
      <c r="B35" s="30" t="s">
        <v>206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207</v>
      </c>
      <c r="C36" s="51">
        <v>-33505874</v>
      </c>
      <c r="D36" s="51">
        <v>-3219000</v>
      </c>
      <c r="E36" s="51">
        <f>D36-C36</f>
        <v>30286874</v>
      </c>
      <c r="F36" s="70">
        <f>IF(C36=0,0,E36/C36)</f>
        <v>-0.9039272934650205</v>
      </c>
    </row>
    <row r="37" spans="1:6" ht="22.5" customHeight="1">
      <c r="A37" s="44">
        <v>2</v>
      </c>
      <c r="B37" s="48" t="s">
        <v>208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209</v>
      </c>
      <c r="C38" s="51">
        <v>-1078859</v>
      </c>
      <c r="D38" s="51">
        <v>-596000</v>
      </c>
      <c r="E38" s="51">
        <f>D38-C38</f>
        <v>482859</v>
      </c>
      <c r="F38" s="70">
        <f>IF(C38=0,0,E38/C38)</f>
        <v>-0.44756451028354954</v>
      </c>
    </row>
    <row r="39" spans="1:6" ht="22.5" customHeight="1">
      <c r="A39" s="20"/>
      <c r="B39" s="71" t="s">
        <v>210</v>
      </c>
      <c r="C39" s="27">
        <f>SUM(C36:C38)</f>
        <v>-34584733</v>
      </c>
      <c r="D39" s="27">
        <f>SUM(D36:D38)</f>
        <v>-3815000</v>
      </c>
      <c r="E39" s="27">
        <f>D39-C39</f>
        <v>30769733</v>
      </c>
      <c r="F39" s="28">
        <f>IF(C39=0,0,E39/C39)</f>
        <v>-0.889691211437139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211</v>
      </c>
      <c r="C41" s="27">
        <f>C33+C39</f>
        <v>-14478143</v>
      </c>
      <c r="D41" s="27">
        <f>D33+D39</f>
        <v>7007000</v>
      </c>
      <c r="E41" s="27">
        <f>D41-C41</f>
        <v>21485143</v>
      </c>
      <c r="F41" s="28">
        <f>IF(C41=0,0,E41/C41)</f>
        <v>-1.4839709070424294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212</v>
      </c>
      <c r="C43" s="27"/>
      <c r="D43" s="27"/>
      <c r="E43" s="27"/>
      <c r="F43" s="28"/>
    </row>
    <row r="44" spans="1:6" ht="22.5" customHeight="1">
      <c r="A44" s="44"/>
      <c r="B44" s="48" t="s">
        <v>213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214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215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216</v>
      </c>
      <c r="C48" s="27">
        <f>C41+C46</f>
        <v>-14478143</v>
      </c>
      <c r="D48" s="27">
        <f>D41+D46</f>
        <v>7007000</v>
      </c>
      <c r="E48" s="27">
        <f>D48-C48</f>
        <v>21485143</v>
      </c>
      <c r="F48" s="28">
        <f>IF(C48=0,0,E48/C48)</f>
        <v>-1.4839709070424294</v>
      </c>
    </row>
    <row r="49" spans="1:6" ht="22.5" customHeight="1">
      <c r="A49" s="44"/>
      <c r="B49" s="48" t="s">
        <v>217</v>
      </c>
      <c r="C49" s="51">
        <v>0</v>
      </c>
      <c r="D49" s="51">
        <v>912458</v>
      </c>
      <c r="E49" s="51">
        <f>D49-C49</f>
        <v>912458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/>
  <headerFooter alignWithMargins="0">
    <oddHeader>&amp;LOFFICE OF HEALTH CARE ACCESS&amp;CTWELVE MONTHS ACTUAL FILING&amp;RSAINT VINCENT`S MEDICAL CENTER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19.57421875" style="75" customWidth="1"/>
    <col min="5" max="5" width="20.00390625" style="75" bestFit="1" customWidth="1"/>
    <col min="6" max="6" width="18.421875" style="75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5" t="s">
        <v>115</v>
      </c>
      <c r="B2" s="675"/>
      <c r="C2" s="675"/>
      <c r="D2" s="675"/>
      <c r="E2" s="675"/>
      <c r="F2" s="675"/>
    </row>
    <row r="3" spans="1:6" ht="18" customHeight="1">
      <c r="A3" s="675" t="s">
        <v>116</v>
      </c>
      <c r="B3" s="675"/>
      <c r="C3" s="675"/>
      <c r="D3" s="675"/>
      <c r="E3" s="675"/>
      <c r="F3" s="675"/>
    </row>
    <row r="4" spans="1:6" ht="18" customHeight="1">
      <c r="A4" s="675" t="s">
        <v>117</v>
      </c>
      <c r="B4" s="675"/>
      <c r="C4" s="675"/>
      <c r="D4" s="675"/>
      <c r="E4" s="675"/>
      <c r="F4" s="675"/>
    </row>
    <row r="5" spans="1:6" ht="18" customHeight="1">
      <c r="A5" s="675" t="s">
        <v>218</v>
      </c>
      <c r="B5" s="675"/>
      <c r="C5" s="675"/>
      <c r="D5" s="675"/>
      <c r="E5" s="675"/>
      <c r="F5" s="675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123</v>
      </c>
      <c r="B8" s="87" t="s">
        <v>219</v>
      </c>
      <c r="C8" s="88" t="s">
        <v>220</v>
      </c>
      <c r="D8" s="89" t="s">
        <v>221</v>
      </c>
      <c r="E8" s="90" t="s">
        <v>222</v>
      </c>
      <c r="F8" s="91" t="s">
        <v>223</v>
      </c>
    </row>
    <row r="9" spans="1:6" ht="18" customHeight="1">
      <c r="A9" s="92"/>
      <c r="B9" s="93"/>
      <c r="C9" s="662"/>
      <c r="D9" s="663"/>
      <c r="E9" s="663"/>
      <c r="F9" s="664"/>
    </row>
    <row r="10" spans="1:6" ht="18" customHeight="1">
      <c r="A10" s="665" t="s">
        <v>127</v>
      </c>
      <c r="B10" s="667" t="s">
        <v>224</v>
      </c>
      <c r="C10" s="669"/>
      <c r="D10" s="670"/>
      <c r="E10" s="670"/>
      <c r="F10" s="671"/>
    </row>
    <row r="11" spans="1:6" ht="18" customHeight="1">
      <c r="A11" s="666"/>
      <c r="B11" s="668"/>
      <c r="C11" s="672"/>
      <c r="D11" s="673"/>
      <c r="E11" s="673"/>
      <c r="F11" s="674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225</v>
      </c>
      <c r="B13" s="95" t="s">
        <v>226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227</v>
      </c>
      <c r="C14" s="97">
        <v>214790829</v>
      </c>
      <c r="D14" s="97">
        <v>236378588</v>
      </c>
      <c r="E14" s="97">
        <f aca="true" t="shared" si="0" ref="E14:E25">D14-C14</f>
        <v>21587759</v>
      </c>
      <c r="F14" s="98">
        <f aca="true" t="shared" si="1" ref="F14:F25">IF(C14=0,0,E14/C14)</f>
        <v>0.10050596247756928</v>
      </c>
    </row>
    <row r="15" spans="1:6" ht="18" customHeight="1">
      <c r="A15" s="99">
        <v>2</v>
      </c>
      <c r="B15" s="100" t="s">
        <v>228</v>
      </c>
      <c r="C15" s="97">
        <v>77336166</v>
      </c>
      <c r="D15" s="97">
        <v>97381396</v>
      </c>
      <c r="E15" s="97">
        <f t="shared" si="0"/>
        <v>20045230</v>
      </c>
      <c r="F15" s="98">
        <f t="shared" si="1"/>
        <v>0.2591960661716796</v>
      </c>
    </row>
    <row r="16" spans="1:6" ht="18" customHeight="1">
      <c r="A16" s="99">
        <v>3</v>
      </c>
      <c r="B16" s="100" t="s">
        <v>229</v>
      </c>
      <c r="C16" s="97">
        <v>37260030</v>
      </c>
      <c r="D16" s="97">
        <v>42312836</v>
      </c>
      <c r="E16" s="97">
        <f t="shared" si="0"/>
        <v>5052806</v>
      </c>
      <c r="F16" s="98">
        <f t="shared" si="1"/>
        <v>0.13560928426520322</v>
      </c>
    </row>
    <row r="17" spans="1:6" ht="18" customHeight="1">
      <c r="A17" s="99">
        <v>4</v>
      </c>
      <c r="B17" s="100" t="s">
        <v>230</v>
      </c>
      <c r="C17" s="97">
        <v>12065436</v>
      </c>
      <c r="D17" s="97">
        <v>27827830</v>
      </c>
      <c r="E17" s="97">
        <f t="shared" si="0"/>
        <v>15762394</v>
      </c>
      <c r="F17" s="98">
        <f t="shared" si="1"/>
        <v>1.3064089851373792</v>
      </c>
    </row>
    <row r="18" spans="1:6" ht="18" customHeight="1">
      <c r="A18" s="99">
        <v>5</v>
      </c>
      <c r="B18" s="100" t="s">
        <v>231</v>
      </c>
      <c r="C18" s="97">
        <v>171538</v>
      </c>
      <c r="D18" s="97">
        <v>360974</v>
      </c>
      <c r="E18" s="97">
        <f t="shared" si="0"/>
        <v>189436</v>
      </c>
      <c r="F18" s="98">
        <f t="shared" si="1"/>
        <v>1.104338397323042</v>
      </c>
    </row>
    <row r="19" spans="1:6" ht="18" customHeight="1">
      <c r="A19" s="99">
        <v>6</v>
      </c>
      <c r="B19" s="100" t="s">
        <v>232</v>
      </c>
      <c r="C19" s="97">
        <v>43981158</v>
      </c>
      <c r="D19" s="97">
        <v>53452562</v>
      </c>
      <c r="E19" s="97">
        <f t="shared" si="0"/>
        <v>9471404</v>
      </c>
      <c r="F19" s="98">
        <f t="shared" si="1"/>
        <v>0.21535140116137916</v>
      </c>
    </row>
    <row r="20" spans="1:6" ht="18" customHeight="1">
      <c r="A20" s="99">
        <v>7</v>
      </c>
      <c r="B20" s="100" t="s">
        <v>233</v>
      </c>
      <c r="C20" s="97">
        <v>96808216</v>
      </c>
      <c r="D20" s="97">
        <v>113101098</v>
      </c>
      <c r="E20" s="97">
        <f t="shared" si="0"/>
        <v>16292882</v>
      </c>
      <c r="F20" s="98">
        <f t="shared" si="1"/>
        <v>0.1683006120059066</v>
      </c>
    </row>
    <row r="21" spans="1:6" ht="18" customHeight="1">
      <c r="A21" s="99">
        <v>8</v>
      </c>
      <c r="B21" s="100" t="s">
        <v>234</v>
      </c>
      <c r="C21" s="97">
        <v>4979431</v>
      </c>
      <c r="D21" s="97">
        <v>5725389</v>
      </c>
      <c r="E21" s="97">
        <f t="shared" si="0"/>
        <v>745958</v>
      </c>
      <c r="F21" s="98">
        <f t="shared" si="1"/>
        <v>0.14980787965532608</v>
      </c>
    </row>
    <row r="22" spans="1:6" ht="18" customHeight="1">
      <c r="A22" s="99">
        <v>9</v>
      </c>
      <c r="B22" s="100" t="s">
        <v>235</v>
      </c>
      <c r="C22" s="97">
        <v>16126417</v>
      </c>
      <c r="D22" s="97">
        <v>20406154</v>
      </c>
      <c r="E22" s="97">
        <f t="shared" si="0"/>
        <v>4279737</v>
      </c>
      <c r="F22" s="98">
        <f t="shared" si="1"/>
        <v>0.2653867253959761</v>
      </c>
    </row>
    <row r="23" spans="1:6" ht="18" customHeight="1">
      <c r="A23" s="99">
        <v>10</v>
      </c>
      <c r="B23" s="100" t="s">
        <v>236</v>
      </c>
      <c r="C23" s="97">
        <v>10545738</v>
      </c>
      <c r="D23" s="97">
        <v>16127727</v>
      </c>
      <c r="E23" s="97">
        <f t="shared" si="0"/>
        <v>5581989</v>
      </c>
      <c r="F23" s="98">
        <f t="shared" si="1"/>
        <v>0.5293123155534492</v>
      </c>
    </row>
    <row r="24" spans="1:6" ht="18" customHeight="1">
      <c r="A24" s="99">
        <v>11</v>
      </c>
      <c r="B24" s="100" t="s">
        <v>237</v>
      </c>
      <c r="C24" s="97">
        <v>359088</v>
      </c>
      <c r="D24" s="97">
        <v>451711</v>
      </c>
      <c r="E24" s="97">
        <f t="shared" si="0"/>
        <v>92623</v>
      </c>
      <c r="F24" s="98">
        <f t="shared" si="1"/>
        <v>0.2579395579913559</v>
      </c>
    </row>
    <row r="25" spans="1:6" ht="18" customHeight="1">
      <c r="A25" s="101"/>
      <c r="B25" s="102" t="s">
        <v>238</v>
      </c>
      <c r="C25" s="103">
        <f>SUM(C14:C24)</f>
        <v>514424047</v>
      </c>
      <c r="D25" s="103">
        <f>SUM(D14:D24)</f>
        <v>613526265</v>
      </c>
      <c r="E25" s="103">
        <f t="shared" si="0"/>
        <v>99102218</v>
      </c>
      <c r="F25" s="104">
        <f t="shared" si="1"/>
        <v>0.1926469389950583</v>
      </c>
    </row>
    <row r="26" spans="1:6" ht="18" customHeight="1">
      <c r="A26" s="94" t="s">
        <v>239</v>
      </c>
      <c r="B26" s="95" t="s">
        <v>240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227</v>
      </c>
      <c r="C27" s="97">
        <v>49794186</v>
      </c>
      <c r="D27" s="97">
        <v>55766975</v>
      </c>
      <c r="E27" s="97">
        <f aca="true" t="shared" si="2" ref="E27:E38">D27-C27</f>
        <v>5972789</v>
      </c>
      <c r="F27" s="98">
        <f aca="true" t="shared" si="3" ref="F27:F38">IF(C27=0,0,E27/C27)</f>
        <v>0.11994952583420081</v>
      </c>
    </row>
    <row r="28" spans="1:6" ht="18" customHeight="1">
      <c r="A28" s="99">
        <v>2</v>
      </c>
      <c r="B28" s="100" t="s">
        <v>228</v>
      </c>
      <c r="C28" s="97">
        <v>17360454</v>
      </c>
      <c r="D28" s="97">
        <v>24956462</v>
      </c>
      <c r="E28" s="97">
        <f t="shared" si="2"/>
        <v>7596008</v>
      </c>
      <c r="F28" s="98">
        <f t="shared" si="3"/>
        <v>0.4375466217646151</v>
      </c>
    </row>
    <row r="29" spans="1:6" ht="18" customHeight="1">
      <c r="A29" s="99">
        <v>3</v>
      </c>
      <c r="B29" s="100" t="s">
        <v>229</v>
      </c>
      <c r="C29" s="97">
        <v>10286310</v>
      </c>
      <c r="D29" s="97">
        <v>12356951</v>
      </c>
      <c r="E29" s="97">
        <f t="shared" si="2"/>
        <v>2070641</v>
      </c>
      <c r="F29" s="98">
        <f t="shared" si="3"/>
        <v>0.2013006607811742</v>
      </c>
    </row>
    <row r="30" spans="1:6" ht="18" customHeight="1">
      <c r="A30" s="99">
        <v>4</v>
      </c>
      <c r="B30" s="100" t="s">
        <v>230</v>
      </c>
      <c r="C30" s="97">
        <v>12819765</v>
      </c>
      <c r="D30" s="97">
        <v>13866694</v>
      </c>
      <c r="E30" s="97">
        <f t="shared" si="2"/>
        <v>1046929</v>
      </c>
      <c r="F30" s="98">
        <f t="shared" si="3"/>
        <v>0.08166522553260532</v>
      </c>
    </row>
    <row r="31" spans="1:6" ht="18" customHeight="1">
      <c r="A31" s="99">
        <v>5</v>
      </c>
      <c r="B31" s="100" t="s">
        <v>231</v>
      </c>
      <c r="C31" s="97">
        <v>209325</v>
      </c>
      <c r="D31" s="97">
        <v>283642</v>
      </c>
      <c r="E31" s="97">
        <f t="shared" si="2"/>
        <v>74317</v>
      </c>
      <c r="F31" s="98">
        <f t="shared" si="3"/>
        <v>0.3550316493490983</v>
      </c>
    </row>
    <row r="32" spans="1:6" ht="18" customHeight="1">
      <c r="A32" s="99">
        <v>6</v>
      </c>
      <c r="B32" s="100" t="s">
        <v>232</v>
      </c>
      <c r="C32" s="97">
        <v>27969474</v>
      </c>
      <c r="D32" s="97">
        <v>33046865</v>
      </c>
      <c r="E32" s="97">
        <f t="shared" si="2"/>
        <v>5077391</v>
      </c>
      <c r="F32" s="98">
        <f t="shared" si="3"/>
        <v>0.181533303057469</v>
      </c>
    </row>
    <row r="33" spans="1:6" ht="18" customHeight="1">
      <c r="A33" s="99">
        <v>7</v>
      </c>
      <c r="B33" s="100" t="s">
        <v>233</v>
      </c>
      <c r="C33" s="97">
        <v>56206674</v>
      </c>
      <c r="D33" s="97">
        <v>65349481</v>
      </c>
      <c r="E33" s="97">
        <f t="shared" si="2"/>
        <v>9142807</v>
      </c>
      <c r="F33" s="98">
        <f t="shared" si="3"/>
        <v>0.16266408149324046</v>
      </c>
    </row>
    <row r="34" spans="1:6" ht="18" customHeight="1">
      <c r="A34" s="99">
        <v>8</v>
      </c>
      <c r="B34" s="100" t="s">
        <v>234</v>
      </c>
      <c r="C34" s="97">
        <v>4450039</v>
      </c>
      <c r="D34" s="97">
        <v>4390225</v>
      </c>
      <c r="E34" s="97">
        <f t="shared" si="2"/>
        <v>-59814</v>
      </c>
      <c r="F34" s="98">
        <f t="shared" si="3"/>
        <v>-0.013441230515058408</v>
      </c>
    </row>
    <row r="35" spans="1:6" ht="18" customHeight="1">
      <c r="A35" s="99">
        <v>9</v>
      </c>
      <c r="B35" s="100" t="s">
        <v>235</v>
      </c>
      <c r="C35" s="97">
        <v>18178406</v>
      </c>
      <c r="D35" s="97">
        <v>20686277</v>
      </c>
      <c r="E35" s="97">
        <f t="shared" si="2"/>
        <v>2507871</v>
      </c>
      <c r="F35" s="98">
        <f t="shared" si="3"/>
        <v>0.13795879572719413</v>
      </c>
    </row>
    <row r="36" spans="1:6" ht="18" customHeight="1">
      <c r="A36" s="99">
        <v>10</v>
      </c>
      <c r="B36" s="100" t="s">
        <v>236</v>
      </c>
      <c r="C36" s="97">
        <v>6073117</v>
      </c>
      <c r="D36" s="97">
        <v>7978668</v>
      </c>
      <c r="E36" s="97">
        <f t="shared" si="2"/>
        <v>1905551</v>
      </c>
      <c r="F36" s="98">
        <f t="shared" si="3"/>
        <v>0.31376820173232295</v>
      </c>
    </row>
    <row r="37" spans="1:6" ht="18" customHeight="1">
      <c r="A37" s="99">
        <v>11</v>
      </c>
      <c r="B37" s="100" t="s">
        <v>237</v>
      </c>
      <c r="C37" s="97">
        <v>144748</v>
      </c>
      <c r="D37" s="97">
        <v>290363</v>
      </c>
      <c r="E37" s="97">
        <f t="shared" si="2"/>
        <v>145615</v>
      </c>
      <c r="F37" s="98">
        <f t="shared" si="3"/>
        <v>1.0059897200652168</v>
      </c>
    </row>
    <row r="38" spans="1:6" ht="18" customHeight="1">
      <c r="A38" s="101"/>
      <c r="B38" s="102" t="s">
        <v>241</v>
      </c>
      <c r="C38" s="103">
        <f>SUM(C27:C37)</f>
        <v>203492498</v>
      </c>
      <c r="D38" s="103">
        <f>SUM(D27:D37)</f>
        <v>238972603</v>
      </c>
      <c r="E38" s="103">
        <f t="shared" si="2"/>
        <v>35480105</v>
      </c>
      <c r="F38" s="104">
        <f t="shared" si="3"/>
        <v>0.1743558379238138</v>
      </c>
    </row>
    <row r="39" spans="1:6" ht="18" customHeight="1">
      <c r="A39" s="665" t="s">
        <v>242</v>
      </c>
      <c r="B39" s="667" t="s">
        <v>243</v>
      </c>
      <c r="C39" s="669"/>
      <c r="D39" s="670"/>
      <c r="E39" s="670"/>
      <c r="F39" s="671"/>
    </row>
    <row r="40" spans="1:6" ht="18" customHeight="1">
      <c r="A40" s="666"/>
      <c r="B40" s="668"/>
      <c r="C40" s="672"/>
      <c r="D40" s="673"/>
      <c r="E40" s="673"/>
      <c r="F40" s="674"/>
    </row>
    <row r="41" spans="1:6" ht="18" customHeight="1">
      <c r="A41" s="105">
        <v>1</v>
      </c>
      <c r="B41" s="106" t="s">
        <v>227</v>
      </c>
      <c r="C41" s="103">
        <f aca="true" t="shared" si="4" ref="C41:D51">+C27+C14</f>
        <v>264585015</v>
      </c>
      <c r="D41" s="103">
        <f t="shared" si="4"/>
        <v>292145563</v>
      </c>
      <c r="E41" s="107">
        <f aca="true" t="shared" si="5" ref="E41:E52">D41-C41</f>
        <v>27560548</v>
      </c>
      <c r="F41" s="108">
        <f aca="true" t="shared" si="6" ref="F41:F52">IF(C41=0,0,E41/C41)</f>
        <v>0.10416518864456477</v>
      </c>
    </row>
    <row r="42" spans="1:6" ht="18" customHeight="1">
      <c r="A42" s="105">
        <v>2</v>
      </c>
      <c r="B42" s="106" t="s">
        <v>228</v>
      </c>
      <c r="C42" s="103">
        <f t="shared" si="4"/>
        <v>94696620</v>
      </c>
      <c r="D42" s="103">
        <f t="shared" si="4"/>
        <v>122337858</v>
      </c>
      <c r="E42" s="107">
        <f t="shared" si="5"/>
        <v>27641238</v>
      </c>
      <c r="F42" s="108">
        <f t="shared" si="6"/>
        <v>0.291892551180813</v>
      </c>
    </row>
    <row r="43" spans="1:6" ht="18" customHeight="1">
      <c r="A43" s="105">
        <v>3</v>
      </c>
      <c r="B43" s="106" t="s">
        <v>229</v>
      </c>
      <c r="C43" s="103">
        <f t="shared" si="4"/>
        <v>47546340</v>
      </c>
      <c r="D43" s="103">
        <f t="shared" si="4"/>
        <v>54669787</v>
      </c>
      <c r="E43" s="107">
        <f t="shared" si="5"/>
        <v>7123447</v>
      </c>
      <c r="F43" s="108">
        <f t="shared" si="6"/>
        <v>0.14982114291026397</v>
      </c>
    </row>
    <row r="44" spans="1:6" ht="18" customHeight="1">
      <c r="A44" s="105">
        <v>4</v>
      </c>
      <c r="B44" s="106" t="s">
        <v>230</v>
      </c>
      <c r="C44" s="103">
        <f t="shared" si="4"/>
        <v>24885201</v>
      </c>
      <c r="D44" s="103">
        <f t="shared" si="4"/>
        <v>41694524</v>
      </c>
      <c r="E44" s="107">
        <f t="shared" si="5"/>
        <v>16809323</v>
      </c>
      <c r="F44" s="108">
        <f t="shared" si="6"/>
        <v>0.6754746726779502</v>
      </c>
    </row>
    <row r="45" spans="1:6" ht="18" customHeight="1">
      <c r="A45" s="105">
        <v>5</v>
      </c>
      <c r="B45" s="106" t="s">
        <v>231</v>
      </c>
      <c r="C45" s="103">
        <f t="shared" si="4"/>
        <v>380863</v>
      </c>
      <c r="D45" s="103">
        <f t="shared" si="4"/>
        <v>644616</v>
      </c>
      <c r="E45" s="107">
        <f t="shared" si="5"/>
        <v>263753</v>
      </c>
      <c r="F45" s="108">
        <f t="shared" si="6"/>
        <v>0.6925141061221489</v>
      </c>
    </row>
    <row r="46" spans="1:6" ht="18" customHeight="1">
      <c r="A46" s="105">
        <v>6</v>
      </c>
      <c r="B46" s="106" t="s">
        <v>232</v>
      </c>
      <c r="C46" s="103">
        <f t="shared" si="4"/>
        <v>71950632</v>
      </c>
      <c r="D46" s="103">
        <f t="shared" si="4"/>
        <v>86499427</v>
      </c>
      <c r="E46" s="107">
        <f t="shared" si="5"/>
        <v>14548795</v>
      </c>
      <c r="F46" s="108">
        <f t="shared" si="6"/>
        <v>0.2022052426169099</v>
      </c>
    </row>
    <row r="47" spans="1:6" ht="18" customHeight="1">
      <c r="A47" s="105">
        <v>7</v>
      </c>
      <c r="B47" s="106" t="s">
        <v>233</v>
      </c>
      <c r="C47" s="103">
        <f t="shared" si="4"/>
        <v>153014890</v>
      </c>
      <c r="D47" s="103">
        <f t="shared" si="4"/>
        <v>178450579</v>
      </c>
      <c r="E47" s="107">
        <f t="shared" si="5"/>
        <v>25435689</v>
      </c>
      <c r="F47" s="108">
        <f t="shared" si="6"/>
        <v>0.16623015577111483</v>
      </c>
    </row>
    <row r="48" spans="1:6" ht="18" customHeight="1">
      <c r="A48" s="105">
        <v>8</v>
      </c>
      <c r="B48" s="106" t="s">
        <v>234</v>
      </c>
      <c r="C48" s="103">
        <f t="shared" si="4"/>
        <v>9429470</v>
      </c>
      <c r="D48" s="103">
        <f t="shared" si="4"/>
        <v>10115614</v>
      </c>
      <c r="E48" s="107">
        <f t="shared" si="5"/>
        <v>686144</v>
      </c>
      <c r="F48" s="108">
        <f t="shared" si="6"/>
        <v>0.0727659136727727</v>
      </c>
    </row>
    <row r="49" spans="1:6" ht="18" customHeight="1">
      <c r="A49" s="105">
        <v>9</v>
      </c>
      <c r="B49" s="106" t="s">
        <v>235</v>
      </c>
      <c r="C49" s="103">
        <f t="shared" si="4"/>
        <v>34304823</v>
      </c>
      <c r="D49" s="103">
        <f t="shared" si="4"/>
        <v>41092431</v>
      </c>
      <c r="E49" s="107">
        <f t="shared" si="5"/>
        <v>6787608</v>
      </c>
      <c r="F49" s="108">
        <f t="shared" si="6"/>
        <v>0.19786162429696838</v>
      </c>
    </row>
    <row r="50" spans="1:6" ht="18" customHeight="1">
      <c r="A50" s="105">
        <v>10</v>
      </c>
      <c r="B50" s="106" t="s">
        <v>236</v>
      </c>
      <c r="C50" s="103">
        <f t="shared" si="4"/>
        <v>16618855</v>
      </c>
      <c r="D50" s="103">
        <f t="shared" si="4"/>
        <v>24106395</v>
      </c>
      <c r="E50" s="107">
        <f t="shared" si="5"/>
        <v>7487540</v>
      </c>
      <c r="F50" s="108">
        <f t="shared" si="6"/>
        <v>0.4505448780917819</v>
      </c>
    </row>
    <row r="51" spans="1:6" ht="18" customHeight="1" thickBot="1">
      <c r="A51" s="105">
        <v>11</v>
      </c>
      <c r="B51" s="106" t="s">
        <v>237</v>
      </c>
      <c r="C51" s="103">
        <f t="shared" si="4"/>
        <v>503836</v>
      </c>
      <c r="D51" s="103">
        <f t="shared" si="4"/>
        <v>742074</v>
      </c>
      <c r="E51" s="107">
        <f t="shared" si="5"/>
        <v>238238</v>
      </c>
      <c r="F51" s="108">
        <f t="shared" si="6"/>
        <v>0.4728483077826912</v>
      </c>
    </row>
    <row r="52" spans="1:6" ht="18.75" customHeight="1" thickBot="1">
      <c r="A52" s="109"/>
      <c r="B52" s="110" t="s">
        <v>243</v>
      </c>
      <c r="C52" s="111">
        <f>SUM(C41:C51)</f>
        <v>717916545</v>
      </c>
      <c r="D52" s="112">
        <f>SUM(D41:D51)</f>
        <v>852498868</v>
      </c>
      <c r="E52" s="111">
        <f t="shared" si="5"/>
        <v>134582323</v>
      </c>
      <c r="F52" s="113">
        <f t="shared" si="6"/>
        <v>0.18746235051596422</v>
      </c>
    </row>
    <row r="53" spans="1:6" ht="18" customHeight="1">
      <c r="A53" s="665" t="s">
        <v>159</v>
      </c>
      <c r="B53" s="667" t="s">
        <v>244</v>
      </c>
      <c r="C53" s="669"/>
      <c r="D53" s="670"/>
      <c r="E53" s="670"/>
      <c r="F53" s="671"/>
    </row>
    <row r="54" spans="1:6" ht="18" customHeight="1">
      <c r="A54" s="666"/>
      <c r="B54" s="668"/>
      <c r="C54" s="672"/>
      <c r="D54" s="673"/>
      <c r="E54" s="673"/>
      <c r="F54" s="674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225</v>
      </c>
      <c r="B56" s="95" t="s">
        <v>245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227</v>
      </c>
      <c r="C57" s="97">
        <v>88754231</v>
      </c>
      <c r="D57" s="97">
        <v>87164920</v>
      </c>
      <c r="E57" s="97">
        <f aca="true" t="shared" si="7" ref="E57:E68">D57-C57</f>
        <v>-1589311</v>
      </c>
      <c r="F57" s="98">
        <f aca="true" t="shared" si="8" ref="F57:F68">IF(C57=0,0,E57/C57)</f>
        <v>-0.01790687589868251</v>
      </c>
    </row>
    <row r="58" spans="1:6" ht="18" customHeight="1">
      <c r="A58" s="99">
        <v>2</v>
      </c>
      <c r="B58" s="100" t="s">
        <v>228</v>
      </c>
      <c r="C58" s="97">
        <v>30312565</v>
      </c>
      <c r="D58" s="97">
        <v>33638866</v>
      </c>
      <c r="E58" s="97">
        <f t="shared" si="7"/>
        <v>3326301</v>
      </c>
      <c r="F58" s="98">
        <f t="shared" si="8"/>
        <v>0.10973340593249037</v>
      </c>
    </row>
    <row r="59" spans="1:6" ht="18" customHeight="1">
      <c r="A59" s="99">
        <v>3</v>
      </c>
      <c r="B59" s="100" t="s">
        <v>229</v>
      </c>
      <c r="C59" s="97">
        <v>9351645</v>
      </c>
      <c r="D59" s="97">
        <v>13298979</v>
      </c>
      <c r="E59" s="97">
        <f t="shared" si="7"/>
        <v>3947334</v>
      </c>
      <c r="F59" s="98">
        <f t="shared" si="8"/>
        <v>0.4221004967575223</v>
      </c>
    </row>
    <row r="60" spans="1:6" ht="18" customHeight="1">
      <c r="A60" s="99">
        <v>4</v>
      </c>
      <c r="B60" s="100" t="s">
        <v>230</v>
      </c>
      <c r="C60" s="97">
        <v>3171591</v>
      </c>
      <c r="D60" s="97">
        <v>6684131</v>
      </c>
      <c r="E60" s="97">
        <f t="shared" si="7"/>
        <v>3512540</v>
      </c>
      <c r="F60" s="98">
        <f t="shared" si="8"/>
        <v>1.1075009356502776</v>
      </c>
    </row>
    <row r="61" spans="1:6" ht="18" customHeight="1">
      <c r="A61" s="99">
        <v>5</v>
      </c>
      <c r="B61" s="100" t="s">
        <v>231</v>
      </c>
      <c r="C61" s="97">
        <v>9078</v>
      </c>
      <c r="D61" s="97">
        <v>121850</v>
      </c>
      <c r="E61" s="97">
        <f t="shared" si="7"/>
        <v>112772</v>
      </c>
      <c r="F61" s="98">
        <f t="shared" si="8"/>
        <v>12.422560035250054</v>
      </c>
    </row>
    <row r="62" spans="1:6" ht="18" customHeight="1">
      <c r="A62" s="99">
        <v>6</v>
      </c>
      <c r="B62" s="100" t="s">
        <v>232</v>
      </c>
      <c r="C62" s="97">
        <v>21532355</v>
      </c>
      <c r="D62" s="97">
        <v>25694944</v>
      </c>
      <c r="E62" s="97">
        <f t="shared" si="7"/>
        <v>4162589</v>
      </c>
      <c r="F62" s="98">
        <f t="shared" si="8"/>
        <v>0.19331786978247387</v>
      </c>
    </row>
    <row r="63" spans="1:6" ht="18" customHeight="1">
      <c r="A63" s="99">
        <v>7</v>
      </c>
      <c r="B63" s="100" t="s">
        <v>233</v>
      </c>
      <c r="C63" s="97">
        <v>53250121</v>
      </c>
      <c r="D63" s="97">
        <v>59933337</v>
      </c>
      <c r="E63" s="97">
        <f t="shared" si="7"/>
        <v>6683216</v>
      </c>
      <c r="F63" s="98">
        <f t="shared" si="8"/>
        <v>0.1255061185682564</v>
      </c>
    </row>
    <row r="64" spans="1:6" ht="18" customHeight="1">
      <c r="A64" s="99">
        <v>8</v>
      </c>
      <c r="B64" s="100" t="s">
        <v>234</v>
      </c>
      <c r="C64" s="97">
        <v>4629423</v>
      </c>
      <c r="D64" s="97">
        <v>4150747</v>
      </c>
      <c r="E64" s="97">
        <f t="shared" si="7"/>
        <v>-478676</v>
      </c>
      <c r="F64" s="98">
        <f t="shared" si="8"/>
        <v>-0.10339863088769378</v>
      </c>
    </row>
    <row r="65" spans="1:6" ht="18" customHeight="1">
      <c r="A65" s="99">
        <v>9</v>
      </c>
      <c r="B65" s="100" t="s">
        <v>235</v>
      </c>
      <c r="C65" s="97">
        <v>2092200</v>
      </c>
      <c r="D65" s="97">
        <v>1590034</v>
      </c>
      <c r="E65" s="97">
        <f t="shared" si="7"/>
        <v>-502166</v>
      </c>
      <c r="F65" s="98">
        <f t="shared" si="8"/>
        <v>-0.2400181626995507</v>
      </c>
    </row>
    <row r="66" spans="1:6" ht="18" customHeight="1">
      <c r="A66" s="99">
        <v>10</v>
      </c>
      <c r="B66" s="100" t="s">
        <v>236</v>
      </c>
      <c r="C66" s="97">
        <v>1123735</v>
      </c>
      <c r="D66" s="97">
        <v>1936674</v>
      </c>
      <c r="E66" s="97">
        <f t="shared" si="7"/>
        <v>812939</v>
      </c>
      <c r="F66" s="98">
        <f t="shared" si="8"/>
        <v>0.7234258966749278</v>
      </c>
    </row>
    <row r="67" spans="1:6" ht="18" customHeight="1">
      <c r="A67" s="99">
        <v>11</v>
      </c>
      <c r="B67" s="100" t="s">
        <v>237</v>
      </c>
      <c r="C67" s="97">
        <v>-113677</v>
      </c>
      <c r="D67" s="97">
        <v>48475</v>
      </c>
      <c r="E67" s="97">
        <f t="shared" si="7"/>
        <v>162152</v>
      </c>
      <c r="F67" s="98">
        <f t="shared" si="8"/>
        <v>-1.4264275095225947</v>
      </c>
    </row>
    <row r="68" spans="1:6" ht="18" customHeight="1">
      <c r="A68" s="101"/>
      <c r="B68" s="102" t="s">
        <v>246</v>
      </c>
      <c r="C68" s="103">
        <f>SUM(C57:C67)</f>
        <v>214113267</v>
      </c>
      <c r="D68" s="103">
        <f>SUM(D57:D67)</f>
        <v>234262957</v>
      </c>
      <c r="E68" s="103">
        <f t="shared" si="7"/>
        <v>20149690</v>
      </c>
      <c r="F68" s="104">
        <f t="shared" si="8"/>
        <v>0.0941076201504132</v>
      </c>
    </row>
    <row r="69" spans="1:6" ht="18" customHeight="1">
      <c r="A69" s="94" t="s">
        <v>239</v>
      </c>
      <c r="B69" s="95" t="s">
        <v>247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227</v>
      </c>
      <c r="C70" s="97">
        <v>14313959</v>
      </c>
      <c r="D70" s="97">
        <v>17902956</v>
      </c>
      <c r="E70" s="97">
        <f aca="true" t="shared" si="9" ref="E70:E81">D70-C70</f>
        <v>3588997</v>
      </c>
      <c r="F70" s="98">
        <f aca="true" t="shared" si="10" ref="F70:F81">IF(C70=0,0,E70/C70)</f>
        <v>0.2507340561755137</v>
      </c>
    </row>
    <row r="71" spans="1:6" ht="18" customHeight="1">
      <c r="A71" s="99">
        <v>2</v>
      </c>
      <c r="B71" s="100" t="s">
        <v>228</v>
      </c>
      <c r="C71" s="97">
        <v>5195369</v>
      </c>
      <c r="D71" s="97">
        <v>6965399</v>
      </c>
      <c r="E71" s="97">
        <f t="shared" si="9"/>
        <v>1770030</v>
      </c>
      <c r="F71" s="98">
        <f t="shared" si="10"/>
        <v>0.340693798650298</v>
      </c>
    </row>
    <row r="72" spans="1:6" ht="18" customHeight="1">
      <c r="A72" s="99">
        <v>3</v>
      </c>
      <c r="B72" s="100" t="s">
        <v>229</v>
      </c>
      <c r="C72" s="97">
        <v>2727363</v>
      </c>
      <c r="D72" s="97">
        <v>3704922</v>
      </c>
      <c r="E72" s="97">
        <f t="shared" si="9"/>
        <v>977559</v>
      </c>
      <c r="F72" s="98">
        <f t="shared" si="10"/>
        <v>0.3584264360849656</v>
      </c>
    </row>
    <row r="73" spans="1:6" ht="18" customHeight="1">
      <c r="A73" s="99">
        <v>4</v>
      </c>
      <c r="B73" s="100" t="s">
        <v>230</v>
      </c>
      <c r="C73" s="97">
        <v>4144555</v>
      </c>
      <c r="D73" s="97">
        <v>4751409</v>
      </c>
      <c r="E73" s="97">
        <f t="shared" si="9"/>
        <v>606854</v>
      </c>
      <c r="F73" s="98">
        <f t="shared" si="10"/>
        <v>0.14642199222835744</v>
      </c>
    </row>
    <row r="74" spans="1:6" ht="18" customHeight="1">
      <c r="A74" s="99">
        <v>5</v>
      </c>
      <c r="B74" s="100" t="s">
        <v>231</v>
      </c>
      <c r="C74" s="97">
        <v>64863</v>
      </c>
      <c r="D74" s="97">
        <v>101544</v>
      </c>
      <c r="E74" s="97">
        <f t="shared" si="9"/>
        <v>36681</v>
      </c>
      <c r="F74" s="98">
        <f t="shared" si="10"/>
        <v>0.565515008556496</v>
      </c>
    </row>
    <row r="75" spans="1:6" ht="18" customHeight="1">
      <c r="A75" s="99">
        <v>6</v>
      </c>
      <c r="B75" s="100" t="s">
        <v>232</v>
      </c>
      <c r="C75" s="97">
        <v>12440515</v>
      </c>
      <c r="D75" s="97">
        <v>13285767</v>
      </c>
      <c r="E75" s="97">
        <f t="shared" si="9"/>
        <v>845252</v>
      </c>
      <c r="F75" s="98">
        <f t="shared" si="10"/>
        <v>0.0679434894777266</v>
      </c>
    </row>
    <row r="76" spans="1:6" ht="18" customHeight="1">
      <c r="A76" s="99">
        <v>7</v>
      </c>
      <c r="B76" s="100" t="s">
        <v>233</v>
      </c>
      <c r="C76" s="97">
        <v>29386899</v>
      </c>
      <c r="D76" s="97">
        <v>32866012</v>
      </c>
      <c r="E76" s="97">
        <f t="shared" si="9"/>
        <v>3479113</v>
      </c>
      <c r="F76" s="98">
        <f t="shared" si="10"/>
        <v>0.11838993287450983</v>
      </c>
    </row>
    <row r="77" spans="1:6" ht="18" customHeight="1">
      <c r="A77" s="99">
        <v>8</v>
      </c>
      <c r="B77" s="100" t="s">
        <v>234</v>
      </c>
      <c r="C77" s="97">
        <v>3879754</v>
      </c>
      <c r="D77" s="97">
        <v>3241169</v>
      </c>
      <c r="E77" s="97">
        <f t="shared" si="9"/>
        <v>-638585</v>
      </c>
      <c r="F77" s="98">
        <f t="shared" si="10"/>
        <v>-0.1645941984981522</v>
      </c>
    </row>
    <row r="78" spans="1:6" ht="18" customHeight="1">
      <c r="A78" s="99">
        <v>9</v>
      </c>
      <c r="B78" s="100" t="s">
        <v>235</v>
      </c>
      <c r="C78" s="97">
        <v>1732472</v>
      </c>
      <c r="D78" s="97">
        <v>1462161</v>
      </c>
      <c r="E78" s="97">
        <f t="shared" si="9"/>
        <v>-270311</v>
      </c>
      <c r="F78" s="98">
        <f t="shared" si="10"/>
        <v>-0.1560261868590084</v>
      </c>
    </row>
    <row r="79" spans="1:6" ht="18" customHeight="1">
      <c r="A79" s="99">
        <v>10</v>
      </c>
      <c r="B79" s="100" t="s">
        <v>236</v>
      </c>
      <c r="C79" s="97">
        <v>1200663</v>
      </c>
      <c r="D79" s="97">
        <v>1381834</v>
      </c>
      <c r="E79" s="97">
        <f t="shared" si="9"/>
        <v>181171</v>
      </c>
      <c r="F79" s="98">
        <f t="shared" si="10"/>
        <v>0.15089246524628477</v>
      </c>
    </row>
    <row r="80" spans="1:6" ht="18" customHeight="1">
      <c r="A80" s="99">
        <v>11</v>
      </c>
      <c r="B80" s="100" t="s">
        <v>237</v>
      </c>
      <c r="C80" s="97">
        <v>31012</v>
      </c>
      <c r="D80" s="97">
        <v>44512</v>
      </c>
      <c r="E80" s="97">
        <f t="shared" si="9"/>
        <v>13500</v>
      </c>
      <c r="F80" s="98">
        <f t="shared" si="10"/>
        <v>0.435315361795434</v>
      </c>
    </row>
    <row r="81" spans="1:6" ht="18" customHeight="1">
      <c r="A81" s="101"/>
      <c r="B81" s="102" t="s">
        <v>248</v>
      </c>
      <c r="C81" s="103">
        <f>SUM(C70:C80)</f>
        <v>75117424</v>
      </c>
      <c r="D81" s="103">
        <f>SUM(D70:D80)</f>
        <v>85707685</v>
      </c>
      <c r="E81" s="103">
        <f t="shared" si="9"/>
        <v>10590261</v>
      </c>
      <c r="F81" s="104">
        <f t="shared" si="10"/>
        <v>0.14098274988769582</v>
      </c>
    </row>
    <row r="82" spans="1:6" ht="18" customHeight="1">
      <c r="A82" s="665" t="s">
        <v>242</v>
      </c>
      <c r="B82" s="667" t="s">
        <v>249</v>
      </c>
      <c r="C82" s="669"/>
      <c r="D82" s="670"/>
      <c r="E82" s="670"/>
      <c r="F82" s="671"/>
    </row>
    <row r="83" spans="1:6" ht="18" customHeight="1">
      <c r="A83" s="666"/>
      <c r="B83" s="668"/>
      <c r="C83" s="672"/>
      <c r="D83" s="673"/>
      <c r="E83" s="673"/>
      <c r="F83" s="674"/>
    </row>
    <row r="84" spans="1:6" ht="18" customHeight="1">
      <c r="A84" s="114">
        <v>1</v>
      </c>
      <c r="B84" s="106" t="s">
        <v>227</v>
      </c>
      <c r="C84" s="103">
        <f aca="true" t="shared" si="11" ref="C84:D94">+C70+C57</f>
        <v>103068190</v>
      </c>
      <c r="D84" s="103">
        <f t="shared" si="11"/>
        <v>105067876</v>
      </c>
      <c r="E84" s="103">
        <f aca="true" t="shared" si="12" ref="E84:E95">D84-C84</f>
        <v>1999686</v>
      </c>
      <c r="F84" s="104">
        <f aca="true" t="shared" si="13" ref="F84:F95">IF(C84=0,0,E84/C84)</f>
        <v>0.019401582583336335</v>
      </c>
    </row>
    <row r="85" spans="1:6" ht="18" customHeight="1">
      <c r="A85" s="114">
        <v>2</v>
      </c>
      <c r="B85" s="106" t="s">
        <v>228</v>
      </c>
      <c r="C85" s="103">
        <f t="shared" si="11"/>
        <v>35507934</v>
      </c>
      <c r="D85" s="103">
        <f t="shared" si="11"/>
        <v>40604265</v>
      </c>
      <c r="E85" s="103">
        <f t="shared" si="12"/>
        <v>5096331</v>
      </c>
      <c r="F85" s="104">
        <f t="shared" si="13"/>
        <v>0.14352654254680094</v>
      </c>
    </row>
    <row r="86" spans="1:6" ht="18" customHeight="1">
      <c r="A86" s="114">
        <v>3</v>
      </c>
      <c r="B86" s="106" t="s">
        <v>229</v>
      </c>
      <c r="C86" s="103">
        <f t="shared" si="11"/>
        <v>12079008</v>
      </c>
      <c r="D86" s="103">
        <f t="shared" si="11"/>
        <v>17003901</v>
      </c>
      <c r="E86" s="103">
        <f t="shared" si="12"/>
        <v>4924893</v>
      </c>
      <c r="F86" s="104">
        <f t="shared" si="13"/>
        <v>0.4077232997941553</v>
      </c>
    </row>
    <row r="87" spans="1:6" ht="18" customHeight="1">
      <c r="A87" s="114">
        <v>4</v>
      </c>
      <c r="B87" s="106" t="s">
        <v>230</v>
      </c>
      <c r="C87" s="103">
        <f t="shared" si="11"/>
        <v>7316146</v>
      </c>
      <c r="D87" s="103">
        <f t="shared" si="11"/>
        <v>11435540</v>
      </c>
      <c r="E87" s="103">
        <f t="shared" si="12"/>
        <v>4119394</v>
      </c>
      <c r="F87" s="104">
        <f t="shared" si="13"/>
        <v>0.5630551932670562</v>
      </c>
    </row>
    <row r="88" spans="1:6" ht="18" customHeight="1">
      <c r="A88" s="114">
        <v>5</v>
      </c>
      <c r="B88" s="106" t="s">
        <v>231</v>
      </c>
      <c r="C88" s="103">
        <f t="shared" si="11"/>
        <v>73941</v>
      </c>
      <c r="D88" s="103">
        <f t="shared" si="11"/>
        <v>223394</v>
      </c>
      <c r="E88" s="103">
        <f t="shared" si="12"/>
        <v>149453</v>
      </c>
      <c r="F88" s="104">
        <f t="shared" si="13"/>
        <v>2.0212466696420117</v>
      </c>
    </row>
    <row r="89" spans="1:6" ht="18" customHeight="1">
      <c r="A89" s="114">
        <v>6</v>
      </c>
      <c r="B89" s="106" t="s">
        <v>232</v>
      </c>
      <c r="C89" s="103">
        <f t="shared" si="11"/>
        <v>33972870</v>
      </c>
      <c r="D89" s="103">
        <f t="shared" si="11"/>
        <v>38980711</v>
      </c>
      <c r="E89" s="103">
        <f t="shared" si="12"/>
        <v>5007841</v>
      </c>
      <c r="F89" s="104">
        <f t="shared" si="13"/>
        <v>0.14740706334201378</v>
      </c>
    </row>
    <row r="90" spans="1:6" ht="18" customHeight="1">
      <c r="A90" s="114">
        <v>7</v>
      </c>
      <c r="B90" s="106" t="s">
        <v>233</v>
      </c>
      <c r="C90" s="103">
        <f t="shared" si="11"/>
        <v>82637020</v>
      </c>
      <c r="D90" s="103">
        <f t="shared" si="11"/>
        <v>92799349</v>
      </c>
      <c r="E90" s="103">
        <f t="shared" si="12"/>
        <v>10162329</v>
      </c>
      <c r="F90" s="104">
        <f t="shared" si="13"/>
        <v>0.12297550177874275</v>
      </c>
    </row>
    <row r="91" spans="1:6" ht="18" customHeight="1">
      <c r="A91" s="114">
        <v>8</v>
      </c>
      <c r="B91" s="106" t="s">
        <v>234</v>
      </c>
      <c r="C91" s="103">
        <f t="shared" si="11"/>
        <v>8509177</v>
      </c>
      <c r="D91" s="103">
        <f t="shared" si="11"/>
        <v>7391916</v>
      </c>
      <c r="E91" s="103">
        <f t="shared" si="12"/>
        <v>-1117261</v>
      </c>
      <c r="F91" s="104">
        <f t="shared" si="13"/>
        <v>-0.13130071216052974</v>
      </c>
    </row>
    <row r="92" spans="1:6" ht="18" customHeight="1">
      <c r="A92" s="114">
        <v>9</v>
      </c>
      <c r="B92" s="106" t="s">
        <v>235</v>
      </c>
      <c r="C92" s="103">
        <f t="shared" si="11"/>
        <v>3824672</v>
      </c>
      <c r="D92" s="103">
        <f t="shared" si="11"/>
        <v>3052195</v>
      </c>
      <c r="E92" s="103">
        <f t="shared" si="12"/>
        <v>-772477</v>
      </c>
      <c r="F92" s="104">
        <f t="shared" si="13"/>
        <v>-0.2019720906786255</v>
      </c>
    </row>
    <row r="93" spans="1:6" ht="18" customHeight="1">
      <c r="A93" s="114">
        <v>10</v>
      </c>
      <c r="B93" s="106" t="s">
        <v>236</v>
      </c>
      <c r="C93" s="103">
        <f t="shared" si="11"/>
        <v>2324398</v>
      </c>
      <c r="D93" s="103">
        <f t="shared" si="11"/>
        <v>3318508</v>
      </c>
      <c r="E93" s="103">
        <f t="shared" si="12"/>
        <v>994110</v>
      </c>
      <c r="F93" s="104">
        <f t="shared" si="13"/>
        <v>0.42768493175437255</v>
      </c>
    </row>
    <row r="94" spans="1:6" ht="18" customHeight="1" thickBot="1">
      <c r="A94" s="114">
        <v>11</v>
      </c>
      <c r="B94" s="106" t="s">
        <v>237</v>
      </c>
      <c r="C94" s="103">
        <f t="shared" si="11"/>
        <v>-82665</v>
      </c>
      <c r="D94" s="103">
        <f t="shared" si="11"/>
        <v>92987</v>
      </c>
      <c r="E94" s="103">
        <f t="shared" si="12"/>
        <v>175652</v>
      </c>
      <c r="F94" s="104">
        <f t="shared" si="13"/>
        <v>-2.124865420673804</v>
      </c>
    </row>
    <row r="95" spans="1:6" ht="18.75" customHeight="1" thickBot="1">
      <c r="A95" s="115"/>
      <c r="B95" s="116" t="s">
        <v>249</v>
      </c>
      <c r="C95" s="112">
        <f>SUM(C84:C94)</f>
        <v>289230691</v>
      </c>
      <c r="D95" s="112">
        <f>SUM(D84:D94)</f>
        <v>319970642</v>
      </c>
      <c r="E95" s="112">
        <f t="shared" si="12"/>
        <v>30739951</v>
      </c>
      <c r="F95" s="113">
        <f t="shared" si="13"/>
        <v>0.10628177422568202</v>
      </c>
    </row>
    <row r="96" spans="1:6" ht="18" customHeight="1">
      <c r="A96" s="665" t="s">
        <v>250</v>
      </c>
      <c r="B96" s="667" t="s">
        <v>251</v>
      </c>
      <c r="C96" s="669"/>
      <c r="D96" s="670"/>
      <c r="E96" s="670"/>
      <c r="F96" s="671"/>
    </row>
    <row r="97" spans="1:6" ht="18" customHeight="1">
      <c r="A97" s="666"/>
      <c r="B97" s="668"/>
      <c r="C97" s="672"/>
      <c r="D97" s="673"/>
      <c r="E97" s="673"/>
      <c r="F97" s="674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225</v>
      </c>
      <c r="B99" s="95" t="s">
        <v>252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227</v>
      </c>
      <c r="C100" s="117">
        <v>6958</v>
      </c>
      <c r="D100" s="117">
        <v>6876</v>
      </c>
      <c r="E100" s="117">
        <f aca="true" t="shared" si="14" ref="E100:E111">D100-C100</f>
        <v>-82</v>
      </c>
      <c r="F100" s="98">
        <f aca="true" t="shared" si="15" ref="F100:F111">IF(C100=0,0,E100/C100)</f>
        <v>-0.011784995688416212</v>
      </c>
    </row>
    <row r="101" spans="1:6" ht="18" customHeight="1">
      <c r="A101" s="99">
        <v>2</v>
      </c>
      <c r="B101" s="100" t="s">
        <v>228</v>
      </c>
      <c r="C101" s="117">
        <v>2564</v>
      </c>
      <c r="D101" s="117">
        <v>2870</v>
      </c>
      <c r="E101" s="117">
        <f t="shared" si="14"/>
        <v>306</v>
      </c>
      <c r="F101" s="98">
        <f t="shared" si="15"/>
        <v>0.11934477379095164</v>
      </c>
    </row>
    <row r="102" spans="1:6" ht="18" customHeight="1">
      <c r="A102" s="99">
        <v>3</v>
      </c>
      <c r="B102" s="100" t="s">
        <v>229</v>
      </c>
      <c r="C102" s="117">
        <v>1561</v>
      </c>
      <c r="D102" s="117">
        <v>1616</v>
      </c>
      <c r="E102" s="117">
        <f t="shared" si="14"/>
        <v>55</v>
      </c>
      <c r="F102" s="98">
        <f t="shared" si="15"/>
        <v>0.035233824471492634</v>
      </c>
    </row>
    <row r="103" spans="1:6" ht="18" customHeight="1">
      <c r="A103" s="99">
        <v>4</v>
      </c>
      <c r="B103" s="100" t="s">
        <v>230</v>
      </c>
      <c r="C103" s="117">
        <v>1095</v>
      </c>
      <c r="D103" s="117">
        <v>1504</v>
      </c>
      <c r="E103" s="117">
        <f t="shared" si="14"/>
        <v>409</v>
      </c>
      <c r="F103" s="98">
        <f t="shared" si="15"/>
        <v>0.3735159817351598</v>
      </c>
    </row>
    <row r="104" spans="1:6" ht="18" customHeight="1">
      <c r="A104" s="99">
        <v>5</v>
      </c>
      <c r="B104" s="100" t="s">
        <v>231</v>
      </c>
      <c r="C104" s="117">
        <v>12</v>
      </c>
      <c r="D104" s="117">
        <v>18</v>
      </c>
      <c r="E104" s="117">
        <f t="shared" si="14"/>
        <v>6</v>
      </c>
      <c r="F104" s="98">
        <f t="shared" si="15"/>
        <v>0.5</v>
      </c>
    </row>
    <row r="105" spans="1:6" ht="18" customHeight="1">
      <c r="A105" s="99">
        <v>6</v>
      </c>
      <c r="B105" s="100" t="s">
        <v>232</v>
      </c>
      <c r="C105" s="117">
        <v>1967</v>
      </c>
      <c r="D105" s="117">
        <v>2605</v>
      </c>
      <c r="E105" s="117">
        <f t="shared" si="14"/>
        <v>638</v>
      </c>
      <c r="F105" s="98">
        <f t="shared" si="15"/>
        <v>0.32435180477885106</v>
      </c>
    </row>
    <row r="106" spans="1:6" ht="18" customHeight="1">
      <c r="A106" s="99">
        <v>7</v>
      </c>
      <c r="B106" s="100" t="s">
        <v>233</v>
      </c>
      <c r="C106" s="117">
        <v>4468</v>
      </c>
      <c r="D106" s="117">
        <v>4482</v>
      </c>
      <c r="E106" s="117">
        <f t="shared" si="14"/>
        <v>14</v>
      </c>
      <c r="F106" s="98">
        <f t="shared" si="15"/>
        <v>0.003133393017009848</v>
      </c>
    </row>
    <row r="107" spans="1:6" ht="18" customHeight="1">
      <c r="A107" s="99">
        <v>8</v>
      </c>
      <c r="B107" s="100" t="s">
        <v>234</v>
      </c>
      <c r="C107" s="117">
        <v>153</v>
      </c>
      <c r="D107" s="117">
        <v>158</v>
      </c>
      <c r="E107" s="117">
        <f t="shared" si="14"/>
        <v>5</v>
      </c>
      <c r="F107" s="98">
        <f t="shared" si="15"/>
        <v>0.032679738562091505</v>
      </c>
    </row>
    <row r="108" spans="1:6" ht="18" customHeight="1">
      <c r="A108" s="99">
        <v>9</v>
      </c>
      <c r="B108" s="100" t="s">
        <v>235</v>
      </c>
      <c r="C108" s="117">
        <v>950</v>
      </c>
      <c r="D108" s="117">
        <v>955</v>
      </c>
      <c r="E108" s="117">
        <f t="shared" si="14"/>
        <v>5</v>
      </c>
      <c r="F108" s="98">
        <f t="shared" si="15"/>
        <v>0.005263157894736842</v>
      </c>
    </row>
    <row r="109" spans="1:6" ht="18" customHeight="1">
      <c r="A109" s="99">
        <v>10</v>
      </c>
      <c r="B109" s="100" t="s">
        <v>236</v>
      </c>
      <c r="C109" s="117">
        <v>409</v>
      </c>
      <c r="D109" s="117">
        <v>615</v>
      </c>
      <c r="E109" s="117">
        <f t="shared" si="14"/>
        <v>206</v>
      </c>
      <c r="F109" s="98">
        <f t="shared" si="15"/>
        <v>0.5036674816625917</v>
      </c>
    </row>
    <row r="110" spans="1:6" ht="18" customHeight="1">
      <c r="A110" s="99">
        <v>11</v>
      </c>
      <c r="B110" s="100" t="s">
        <v>237</v>
      </c>
      <c r="C110" s="117">
        <v>22</v>
      </c>
      <c r="D110" s="117">
        <v>27</v>
      </c>
      <c r="E110" s="117">
        <f t="shared" si="14"/>
        <v>5</v>
      </c>
      <c r="F110" s="98">
        <f t="shared" si="15"/>
        <v>0.22727272727272727</v>
      </c>
    </row>
    <row r="111" spans="1:6" ht="18" customHeight="1">
      <c r="A111" s="101"/>
      <c r="B111" s="102" t="s">
        <v>253</v>
      </c>
      <c r="C111" s="118">
        <f>SUM(C100:C110)</f>
        <v>20159</v>
      </c>
      <c r="D111" s="118">
        <f>SUM(D100:D110)</f>
        <v>21726</v>
      </c>
      <c r="E111" s="118">
        <f t="shared" si="14"/>
        <v>1567</v>
      </c>
      <c r="F111" s="104">
        <f t="shared" si="15"/>
        <v>0.07773203035864874</v>
      </c>
    </row>
    <row r="112" spans="1:6" ht="18" customHeight="1">
      <c r="A112" s="94" t="s">
        <v>239</v>
      </c>
      <c r="B112" s="95" t="s">
        <v>254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227</v>
      </c>
      <c r="C113" s="117">
        <v>44721</v>
      </c>
      <c r="D113" s="117">
        <v>46479</v>
      </c>
      <c r="E113" s="117">
        <f aca="true" t="shared" si="16" ref="E113:E124">D113-C113</f>
        <v>1758</v>
      </c>
      <c r="F113" s="98">
        <f aca="true" t="shared" si="17" ref="F113:F124">IF(C113=0,0,E113/C113)</f>
        <v>0.039310391091433555</v>
      </c>
    </row>
    <row r="114" spans="1:6" ht="18" customHeight="1">
      <c r="A114" s="99">
        <v>2</v>
      </c>
      <c r="B114" s="100" t="s">
        <v>228</v>
      </c>
      <c r="C114" s="117">
        <v>15496</v>
      </c>
      <c r="D114" s="117">
        <v>17559</v>
      </c>
      <c r="E114" s="117">
        <f t="shared" si="16"/>
        <v>2063</v>
      </c>
      <c r="F114" s="98">
        <f t="shared" si="17"/>
        <v>0.13313113061435208</v>
      </c>
    </row>
    <row r="115" spans="1:6" ht="18" customHeight="1">
      <c r="A115" s="99">
        <v>3</v>
      </c>
      <c r="B115" s="100" t="s">
        <v>229</v>
      </c>
      <c r="C115" s="117">
        <v>9713</v>
      </c>
      <c r="D115" s="117">
        <v>11261</v>
      </c>
      <c r="E115" s="117">
        <f t="shared" si="16"/>
        <v>1548</v>
      </c>
      <c r="F115" s="98">
        <f t="shared" si="17"/>
        <v>0.15937403479872336</v>
      </c>
    </row>
    <row r="116" spans="1:6" ht="18" customHeight="1">
      <c r="A116" s="99">
        <v>4</v>
      </c>
      <c r="B116" s="100" t="s">
        <v>230</v>
      </c>
      <c r="C116" s="117">
        <v>3530</v>
      </c>
      <c r="D116" s="117">
        <v>9659</v>
      </c>
      <c r="E116" s="117">
        <f t="shared" si="16"/>
        <v>6129</v>
      </c>
      <c r="F116" s="98">
        <f t="shared" si="17"/>
        <v>1.7362606232294617</v>
      </c>
    </row>
    <row r="117" spans="1:6" ht="18" customHeight="1">
      <c r="A117" s="99">
        <v>5</v>
      </c>
      <c r="B117" s="100" t="s">
        <v>231</v>
      </c>
      <c r="C117" s="117">
        <v>29</v>
      </c>
      <c r="D117" s="117">
        <v>79</v>
      </c>
      <c r="E117" s="117">
        <f t="shared" si="16"/>
        <v>50</v>
      </c>
      <c r="F117" s="98">
        <f t="shared" si="17"/>
        <v>1.7241379310344827</v>
      </c>
    </row>
    <row r="118" spans="1:6" ht="18" customHeight="1">
      <c r="A118" s="99">
        <v>6</v>
      </c>
      <c r="B118" s="100" t="s">
        <v>232</v>
      </c>
      <c r="C118" s="117">
        <v>7456</v>
      </c>
      <c r="D118" s="117">
        <v>11337</v>
      </c>
      <c r="E118" s="117">
        <f t="shared" si="16"/>
        <v>3881</v>
      </c>
      <c r="F118" s="98">
        <f t="shared" si="17"/>
        <v>0.5205203862660944</v>
      </c>
    </row>
    <row r="119" spans="1:6" ht="18" customHeight="1">
      <c r="A119" s="99">
        <v>7</v>
      </c>
      <c r="B119" s="100" t="s">
        <v>233</v>
      </c>
      <c r="C119" s="117">
        <v>17022</v>
      </c>
      <c r="D119" s="117">
        <v>20193</v>
      </c>
      <c r="E119" s="117">
        <f t="shared" si="16"/>
        <v>3171</v>
      </c>
      <c r="F119" s="98">
        <f t="shared" si="17"/>
        <v>0.1862883327458583</v>
      </c>
    </row>
    <row r="120" spans="1:6" ht="18" customHeight="1">
      <c r="A120" s="99">
        <v>8</v>
      </c>
      <c r="B120" s="100" t="s">
        <v>234</v>
      </c>
      <c r="C120" s="117">
        <v>573</v>
      </c>
      <c r="D120" s="117">
        <v>527</v>
      </c>
      <c r="E120" s="117">
        <f t="shared" si="16"/>
        <v>-46</v>
      </c>
      <c r="F120" s="98">
        <f t="shared" si="17"/>
        <v>-0.08027923211169284</v>
      </c>
    </row>
    <row r="121" spans="1:6" ht="18" customHeight="1">
      <c r="A121" s="99">
        <v>9</v>
      </c>
      <c r="B121" s="100" t="s">
        <v>235</v>
      </c>
      <c r="C121" s="117">
        <v>3652</v>
      </c>
      <c r="D121" s="117">
        <v>4657</v>
      </c>
      <c r="E121" s="117">
        <f t="shared" si="16"/>
        <v>1005</v>
      </c>
      <c r="F121" s="98">
        <f t="shared" si="17"/>
        <v>0.27519167579408543</v>
      </c>
    </row>
    <row r="122" spans="1:6" ht="18" customHeight="1">
      <c r="A122" s="99">
        <v>10</v>
      </c>
      <c r="B122" s="100" t="s">
        <v>236</v>
      </c>
      <c r="C122" s="117">
        <v>2233</v>
      </c>
      <c r="D122" s="117">
        <v>3578</v>
      </c>
      <c r="E122" s="117">
        <f t="shared" si="16"/>
        <v>1345</v>
      </c>
      <c r="F122" s="98">
        <f t="shared" si="17"/>
        <v>0.6023287057769816</v>
      </c>
    </row>
    <row r="123" spans="1:6" ht="18" customHeight="1">
      <c r="A123" s="99">
        <v>11</v>
      </c>
      <c r="B123" s="100" t="s">
        <v>237</v>
      </c>
      <c r="C123" s="117">
        <v>99</v>
      </c>
      <c r="D123" s="117">
        <v>118</v>
      </c>
      <c r="E123" s="117">
        <f t="shared" si="16"/>
        <v>19</v>
      </c>
      <c r="F123" s="98">
        <f t="shared" si="17"/>
        <v>0.1919191919191919</v>
      </c>
    </row>
    <row r="124" spans="1:6" ht="18" customHeight="1">
      <c r="A124" s="101"/>
      <c r="B124" s="102" t="s">
        <v>255</v>
      </c>
      <c r="C124" s="118">
        <f>SUM(C113:C123)</f>
        <v>104524</v>
      </c>
      <c r="D124" s="118">
        <f>SUM(D113:D123)</f>
        <v>125447</v>
      </c>
      <c r="E124" s="118">
        <f t="shared" si="16"/>
        <v>20923</v>
      </c>
      <c r="F124" s="104">
        <f t="shared" si="17"/>
        <v>0.20017412268952586</v>
      </c>
    </row>
    <row r="125" spans="1:6" ht="18" customHeight="1">
      <c r="A125" s="94" t="s">
        <v>256</v>
      </c>
      <c r="B125" s="95" t="s">
        <v>257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227</v>
      </c>
      <c r="C126" s="117">
        <v>33050</v>
      </c>
      <c r="D126" s="117">
        <v>32924</v>
      </c>
      <c r="E126" s="117">
        <f aca="true" t="shared" si="18" ref="E126:E137">D126-C126</f>
        <v>-126</v>
      </c>
      <c r="F126" s="98">
        <f aca="true" t="shared" si="19" ref="F126:F137">IF(C126=0,0,E126/C126)</f>
        <v>-0.003812405446293495</v>
      </c>
    </row>
    <row r="127" spans="1:6" ht="18" customHeight="1">
      <c r="A127" s="99">
        <v>2</v>
      </c>
      <c r="B127" s="100" t="s">
        <v>228</v>
      </c>
      <c r="C127" s="117">
        <v>9600</v>
      </c>
      <c r="D127" s="117">
        <v>12216</v>
      </c>
      <c r="E127" s="117">
        <f t="shared" si="18"/>
        <v>2616</v>
      </c>
      <c r="F127" s="98">
        <f t="shared" si="19"/>
        <v>0.2725</v>
      </c>
    </row>
    <row r="128" spans="1:6" ht="18" customHeight="1">
      <c r="A128" s="99">
        <v>3</v>
      </c>
      <c r="B128" s="100" t="s">
        <v>229</v>
      </c>
      <c r="C128" s="117">
        <v>12073</v>
      </c>
      <c r="D128" s="117">
        <v>11529</v>
      </c>
      <c r="E128" s="117">
        <f t="shared" si="18"/>
        <v>-544</v>
      </c>
      <c r="F128" s="98">
        <f t="shared" si="19"/>
        <v>-0.04505922305972004</v>
      </c>
    </row>
    <row r="129" spans="1:6" ht="18" customHeight="1">
      <c r="A129" s="99">
        <v>4</v>
      </c>
      <c r="B129" s="100" t="s">
        <v>230</v>
      </c>
      <c r="C129" s="117">
        <v>21418</v>
      </c>
      <c r="D129" s="117">
        <v>20279</v>
      </c>
      <c r="E129" s="117">
        <f t="shared" si="18"/>
        <v>-1139</v>
      </c>
      <c r="F129" s="98">
        <f t="shared" si="19"/>
        <v>-0.05317956858716967</v>
      </c>
    </row>
    <row r="130" spans="1:6" ht="18" customHeight="1">
      <c r="A130" s="99">
        <v>5</v>
      </c>
      <c r="B130" s="100" t="s">
        <v>231</v>
      </c>
      <c r="C130" s="117">
        <v>257</v>
      </c>
      <c r="D130" s="117">
        <v>15</v>
      </c>
      <c r="E130" s="117">
        <f t="shared" si="18"/>
        <v>-242</v>
      </c>
      <c r="F130" s="98">
        <f t="shared" si="19"/>
        <v>-0.9416342412451362</v>
      </c>
    </row>
    <row r="131" spans="1:6" ht="18" customHeight="1">
      <c r="A131" s="99">
        <v>6</v>
      </c>
      <c r="B131" s="100" t="s">
        <v>232</v>
      </c>
      <c r="C131" s="117">
        <v>30155</v>
      </c>
      <c r="D131" s="117">
        <v>34631</v>
      </c>
      <c r="E131" s="117">
        <f t="shared" si="18"/>
        <v>4476</v>
      </c>
      <c r="F131" s="98">
        <f t="shared" si="19"/>
        <v>0.1484330956723595</v>
      </c>
    </row>
    <row r="132" spans="1:6" ht="18" customHeight="1">
      <c r="A132" s="99">
        <v>7</v>
      </c>
      <c r="B132" s="100" t="s">
        <v>233</v>
      </c>
      <c r="C132" s="117">
        <v>45478</v>
      </c>
      <c r="D132" s="117">
        <v>45900</v>
      </c>
      <c r="E132" s="117">
        <f t="shared" si="18"/>
        <v>422</v>
      </c>
      <c r="F132" s="98">
        <f t="shared" si="19"/>
        <v>0.009279211926645851</v>
      </c>
    </row>
    <row r="133" spans="1:6" ht="18" customHeight="1">
      <c r="A133" s="99">
        <v>8</v>
      </c>
      <c r="B133" s="100" t="s">
        <v>234</v>
      </c>
      <c r="C133" s="117">
        <v>8111</v>
      </c>
      <c r="D133" s="117">
        <v>7378</v>
      </c>
      <c r="E133" s="117">
        <f t="shared" si="18"/>
        <v>-733</v>
      </c>
      <c r="F133" s="98">
        <f t="shared" si="19"/>
        <v>-0.09037110097398594</v>
      </c>
    </row>
    <row r="134" spans="1:6" ht="18" customHeight="1">
      <c r="A134" s="99">
        <v>9</v>
      </c>
      <c r="B134" s="100" t="s">
        <v>235</v>
      </c>
      <c r="C134" s="117">
        <v>29578</v>
      </c>
      <c r="D134" s="117">
        <v>29348</v>
      </c>
      <c r="E134" s="117">
        <f t="shared" si="18"/>
        <v>-230</v>
      </c>
      <c r="F134" s="98">
        <f t="shared" si="19"/>
        <v>-0.007776049766718507</v>
      </c>
    </row>
    <row r="135" spans="1:6" ht="18" customHeight="1">
      <c r="A135" s="99">
        <v>10</v>
      </c>
      <c r="B135" s="100" t="s">
        <v>236</v>
      </c>
      <c r="C135" s="117">
        <v>6697</v>
      </c>
      <c r="D135" s="117">
        <v>8037</v>
      </c>
      <c r="E135" s="117">
        <f t="shared" si="18"/>
        <v>1340</v>
      </c>
      <c r="F135" s="98">
        <f t="shared" si="19"/>
        <v>0.2000895923547857</v>
      </c>
    </row>
    <row r="136" spans="1:6" ht="18" customHeight="1">
      <c r="A136" s="99">
        <v>11</v>
      </c>
      <c r="B136" s="100" t="s">
        <v>237</v>
      </c>
      <c r="C136" s="117">
        <v>186</v>
      </c>
      <c r="D136" s="117">
        <v>266</v>
      </c>
      <c r="E136" s="117">
        <f t="shared" si="18"/>
        <v>80</v>
      </c>
      <c r="F136" s="98">
        <f t="shared" si="19"/>
        <v>0.43010752688172044</v>
      </c>
    </row>
    <row r="137" spans="1:6" ht="18" customHeight="1">
      <c r="A137" s="101"/>
      <c r="B137" s="102" t="s">
        <v>258</v>
      </c>
      <c r="C137" s="118">
        <f>SUM(C126:C136)</f>
        <v>196603</v>
      </c>
      <c r="D137" s="118">
        <f>SUM(D126:D136)</f>
        <v>202523</v>
      </c>
      <c r="E137" s="118">
        <f t="shared" si="18"/>
        <v>5920</v>
      </c>
      <c r="F137" s="104">
        <f t="shared" si="19"/>
        <v>0.03011144285692487</v>
      </c>
    </row>
    <row r="138" spans="1:6" ht="18" customHeight="1">
      <c r="A138" s="665" t="s">
        <v>259</v>
      </c>
      <c r="B138" s="667" t="s">
        <v>260</v>
      </c>
      <c r="C138" s="669"/>
      <c r="D138" s="670"/>
      <c r="E138" s="670"/>
      <c r="F138" s="671"/>
    </row>
    <row r="139" spans="1:6" ht="18" customHeight="1">
      <c r="A139" s="666"/>
      <c r="B139" s="668"/>
      <c r="C139" s="672"/>
      <c r="D139" s="673"/>
      <c r="E139" s="673"/>
      <c r="F139" s="674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225</v>
      </c>
      <c r="B141" s="95" t="s">
        <v>261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227</v>
      </c>
      <c r="C142" s="97">
        <v>8287445</v>
      </c>
      <c r="D142" s="97">
        <v>10023294</v>
      </c>
      <c r="E142" s="97">
        <f aca="true" t="shared" si="20" ref="E142:E153">D142-C142</f>
        <v>1735849</v>
      </c>
      <c r="F142" s="98">
        <f aca="true" t="shared" si="21" ref="F142:F153">IF(C142=0,0,E142/C142)</f>
        <v>0.2094552663697919</v>
      </c>
    </row>
    <row r="143" spans="1:6" ht="18" customHeight="1">
      <c r="A143" s="99">
        <v>2</v>
      </c>
      <c r="B143" s="100" t="s">
        <v>228</v>
      </c>
      <c r="C143" s="97">
        <v>2505850</v>
      </c>
      <c r="D143" s="97">
        <v>3606937</v>
      </c>
      <c r="E143" s="97">
        <f t="shared" si="20"/>
        <v>1101087</v>
      </c>
      <c r="F143" s="98">
        <f t="shared" si="21"/>
        <v>0.4394065885827164</v>
      </c>
    </row>
    <row r="144" spans="1:6" ht="18" customHeight="1">
      <c r="A144" s="99">
        <v>3</v>
      </c>
      <c r="B144" s="100" t="s">
        <v>229</v>
      </c>
      <c r="C144" s="97">
        <v>3974365</v>
      </c>
      <c r="D144" s="97">
        <v>4481186</v>
      </c>
      <c r="E144" s="97">
        <f t="shared" si="20"/>
        <v>506821</v>
      </c>
      <c r="F144" s="98">
        <f t="shared" si="21"/>
        <v>0.12752250988522695</v>
      </c>
    </row>
    <row r="145" spans="1:6" ht="18" customHeight="1">
      <c r="A145" s="99">
        <v>4</v>
      </c>
      <c r="B145" s="100" t="s">
        <v>230</v>
      </c>
      <c r="C145" s="97">
        <v>7110500</v>
      </c>
      <c r="D145" s="97">
        <v>7381860</v>
      </c>
      <c r="E145" s="97">
        <f t="shared" si="20"/>
        <v>271360</v>
      </c>
      <c r="F145" s="98">
        <f t="shared" si="21"/>
        <v>0.03816327965684551</v>
      </c>
    </row>
    <row r="146" spans="1:6" ht="18" customHeight="1">
      <c r="A146" s="99">
        <v>5</v>
      </c>
      <c r="B146" s="100" t="s">
        <v>231</v>
      </c>
      <c r="C146" s="97">
        <v>72289</v>
      </c>
      <c r="D146" s="97">
        <v>104577</v>
      </c>
      <c r="E146" s="97">
        <f t="shared" si="20"/>
        <v>32288</v>
      </c>
      <c r="F146" s="98">
        <f t="shared" si="21"/>
        <v>0.44665163441187455</v>
      </c>
    </row>
    <row r="147" spans="1:6" ht="18" customHeight="1">
      <c r="A147" s="99">
        <v>6</v>
      </c>
      <c r="B147" s="100" t="s">
        <v>232</v>
      </c>
      <c r="C147" s="97">
        <v>7332639</v>
      </c>
      <c r="D147" s="97">
        <v>10883047</v>
      </c>
      <c r="E147" s="97">
        <f t="shared" si="20"/>
        <v>3550408</v>
      </c>
      <c r="F147" s="98">
        <f t="shared" si="21"/>
        <v>0.4841923896703492</v>
      </c>
    </row>
    <row r="148" spans="1:6" ht="18" customHeight="1">
      <c r="A148" s="99">
        <v>7</v>
      </c>
      <c r="B148" s="100" t="s">
        <v>233</v>
      </c>
      <c r="C148" s="97">
        <v>11827421</v>
      </c>
      <c r="D148" s="97">
        <v>13780757</v>
      </c>
      <c r="E148" s="97">
        <f t="shared" si="20"/>
        <v>1953336</v>
      </c>
      <c r="F148" s="98">
        <f t="shared" si="21"/>
        <v>0.16515316399069585</v>
      </c>
    </row>
    <row r="149" spans="1:6" ht="18" customHeight="1">
      <c r="A149" s="99">
        <v>8</v>
      </c>
      <c r="B149" s="100" t="s">
        <v>234</v>
      </c>
      <c r="C149" s="97">
        <v>892634</v>
      </c>
      <c r="D149" s="97">
        <v>1038135</v>
      </c>
      <c r="E149" s="97">
        <f t="shared" si="20"/>
        <v>145501</v>
      </c>
      <c r="F149" s="98">
        <f t="shared" si="21"/>
        <v>0.16300185742420745</v>
      </c>
    </row>
    <row r="150" spans="1:6" ht="18" customHeight="1">
      <c r="A150" s="99">
        <v>9</v>
      </c>
      <c r="B150" s="100" t="s">
        <v>235</v>
      </c>
      <c r="C150" s="97">
        <v>10597239</v>
      </c>
      <c r="D150" s="97">
        <v>12167721</v>
      </c>
      <c r="E150" s="97">
        <f t="shared" si="20"/>
        <v>1570482</v>
      </c>
      <c r="F150" s="98">
        <f t="shared" si="21"/>
        <v>0.14819728044257566</v>
      </c>
    </row>
    <row r="151" spans="1:6" ht="18" customHeight="1">
      <c r="A151" s="99">
        <v>10</v>
      </c>
      <c r="B151" s="100" t="s">
        <v>236</v>
      </c>
      <c r="C151" s="97">
        <v>2490012</v>
      </c>
      <c r="D151" s="97">
        <v>3883336</v>
      </c>
      <c r="E151" s="97">
        <f t="shared" si="20"/>
        <v>1393324</v>
      </c>
      <c r="F151" s="98">
        <f t="shared" si="21"/>
        <v>0.5595651747863063</v>
      </c>
    </row>
    <row r="152" spans="1:6" ht="18" customHeight="1">
      <c r="A152" s="99">
        <v>11</v>
      </c>
      <c r="B152" s="100" t="s">
        <v>237</v>
      </c>
      <c r="C152" s="97">
        <v>125003</v>
      </c>
      <c r="D152" s="97">
        <v>252955</v>
      </c>
      <c r="E152" s="97">
        <f t="shared" si="20"/>
        <v>127952</v>
      </c>
      <c r="F152" s="98">
        <f t="shared" si="21"/>
        <v>1.0235914338055887</v>
      </c>
    </row>
    <row r="153" spans="1:6" ht="33.75" customHeight="1">
      <c r="A153" s="101"/>
      <c r="B153" s="102" t="s">
        <v>262</v>
      </c>
      <c r="C153" s="103">
        <f>SUM(C142:C152)</f>
        <v>55215397</v>
      </c>
      <c r="D153" s="103">
        <f>SUM(D142:D152)</f>
        <v>67603805</v>
      </c>
      <c r="E153" s="103">
        <f t="shared" si="20"/>
        <v>12388408</v>
      </c>
      <c r="F153" s="104">
        <f t="shared" si="21"/>
        <v>0.22436509874229466</v>
      </c>
    </row>
    <row r="154" spans="1:6" ht="18" customHeight="1">
      <c r="A154" s="94" t="s">
        <v>239</v>
      </c>
      <c r="B154" s="95" t="s">
        <v>263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227</v>
      </c>
      <c r="C155" s="97">
        <v>2026507</v>
      </c>
      <c r="D155" s="97">
        <v>2724306</v>
      </c>
      <c r="E155" s="97">
        <f aca="true" t="shared" si="22" ref="E155:E166">D155-C155</f>
        <v>697799</v>
      </c>
      <c r="F155" s="98">
        <f aca="true" t="shared" si="23" ref="F155:F166">IF(C155=0,0,E155/C155)</f>
        <v>0.34433584487988445</v>
      </c>
    </row>
    <row r="156" spans="1:6" ht="18" customHeight="1">
      <c r="A156" s="99">
        <v>2</v>
      </c>
      <c r="B156" s="100" t="s">
        <v>228</v>
      </c>
      <c r="C156" s="97">
        <v>958614</v>
      </c>
      <c r="D156" s="97">
        <v>987263</v>
      </c>
      <c r="E156" s="97">
        <f t="shared" si="22"/>
        <v>28649</v>
      </c>
      <c r="F156" s="98">
        <f t="shared" si="23"/>
        <v>0.029885856037988177</v>
      </c>
    </row>
    <row r="157" spans="1:6" ht="18" customHeight="1">
      <c r="A157" s="99">
        <v>3</v>
      </c>
      <c r="B157" s="100" t="s">
        <v>229</v>
      </c>
      <c r="C157" s="97">
        <v>888901</v>
      </c>
      <c r="D157" s="97">
        <v>1204804</v>
      </c>
      <c r="E157" s="97">
        <f t="shared" si="22"/>
        <v>315903</v>
      </c>
      <c r="F157" s="98">
        <f t="shared" si="23"/>
        <v>0.35538603286530224</v>
      </c>
    </row>
    <row r="158" spans="1:6" ht="18" customHeight="1">
      <c r="A158" s="99">
        <v>4</v>
      </c>
      <c r="B158" s="100" t="s">
        <v>230</v>
      </c>
      <c r="C158" s="97">
        <v>1848714</v>
      </c>
      <c r="D158" s="97">
        <v>2293984</v>
      </c>
      <c r="E158" s="97">
        <f t="shared" si="22"/>
        <v>445270</v>
      </c>
      <c r="F158" s="98">
        <f t="shared" si="23"/>
        <v>0.24085391250350244</v>
      </c>
    </row>
    <row r="159" spans="1:6" ht="18" customHeight="1">
      <c r="A159" s="99">
        <v>5</v>
      </c>
      <c r="B159" s="100" t="s">
        <v>231</v>
      </c>
      <c r="C159" s="97">
        <v>20884</v>
      </c>
      <c r="D159" s="97">
        <v>-49242</v>
      </c>
      <c r="E159" s="97">
        <f t="shared" si="22"/>
        <v>-70126</v>
      </c>
      <c r="F159" s="98">
        <f t="shared" si="23"/>
        <v>-3.357881631871289</v>
      </c>
    </row>
    <row r="160" spans="1:6" ht="18" customHeight="1">
      <c r="A160" s="99">
        <v>6</v>
      </c>
      <c r="B160" s="100" t="s">
        <v>232</v>
      </c>
      <c r="C160" s="97">
        <v>4376365</v>
      </c>
      <c r="D160" s="97">
        <v>5941407</v>
      </c>
      <c r="E160" s="97">
        <f t="shared" si="22"/>
        <v>1565042</v>
      </c>
      <c r="F160" s="98">
        <f t="shared" si="23"/>
        <v>0.35761231067335564</v>
      </c>
    </row>
    <row r="161" spans="1:6" ht="18" customHeight="1">
      <c r="A161" s="99">
        <v>7</v>
      </c>
      <c r="B161" s="100" t="s">
        <v>233</v>
      </c>
      <c r="C161" s="97">
        <v>5756803</v>
      </c>
      <c r="D161" s="97">
        <v>7795105</v>
      </c>
      <c r="E161" s="97">
        <f t="shared" si="22"/>
        <v>2038302</v>
      </c>
      <c r="F161" s="98">
        <f t="shared" si="23"/>
        <v>0.35406839525340716</v>
      </c>
    </row>
    <row r="162" spans="1:6" ht="18" customHeight="1">
      <c r="A162" s="99">
        <v>8</v>
      </c>
      <c r="B162" s="100" t="s">
        <v>234</v>
      </c>
      <c r="C162" s="97">
        <v>715963</v>
      </c>
      <c r="D162" s="97">
        <v>868982</v>
      </c>
      <c r="E162" s="97">
        <f t="shared" si="22"/>
        <v>153019</v>
      </c>
      <c r="F162" s="98">
        <f t="shared" si="23"/>
        <v>0.21372473158529143</v>
      </c>
    </row>
    <row r="163" spans="1:6" ht="18" customHeight="1">
      <c r="A163" s="99">
        <v>9</v>
      </c>
      <c r="B163" s="100" t="s">
        <v>235</v>
      </c>
      <c r="C163" s="97">
        <v>-411898</v>
      </c>
      <c r="D163" s="97">
        <v>1788148</v>
      </c>
      <c r="E163" s="97">
        <f t="shared" si="22"/>
        <v>2200046</v>
      </c>
      <c r="F163" s="98">
        <f t="shared" si="23"/>
        <v>-5.341239821509209</v>
      </c>
    </row>
    <row r="164" spans="1:6" ht="18" customHeight="1">
      <c r="A164" s="99">
        <v>10</v>
      </c>
      <c r="B164" s="100" t="s">
        <v>236</v>
      </c>
      <c r="C164" s="97">
        <v>498261</v>
      </c>
      <c r="D164" s="97">
        <v>480235</v>
      </c>
      <c r="E164" s="97">
        <f t="shared" si="22"/>
        <v>-18026</v>
      </c>
      <c r="F164" s="98">
        <f t="shared" si="23"/>
        <v>-0.03617782648049918</v>
      </c>
    </row>
    <row r="165" spans="1:6" ht="18" customHeight="1">
      <c r="A165" s="99">
        <v>11</v>
      </c>
      <c r="B165" s="100" t="s">
        <v>237</v>
      </c>
      <c r="C165" s="97">
        <v>21143</v>
      </c>
      <c r="D165" s="97">
        <v>29322</v>
      </c>
      <c r="E165" s="97">
        <f t="shared" si="22"/>
        <v>8179</v>
      </c>
      <c r="F165" s="98">
        <f t="shared" si="23"/>
        <v>0.38684198079742704</v>
      </c>
    </row>
    <row r="166" spans="1:6" ht="33.75" customHeight="1">
      <c r="A166" s="101"/>
      <c r="B166" s="102" t="s">
        <v>264</v>
      </c>
      <c r="C166" s="103">
        <f>SUM(C155:C165)</f>
        <v>16700257</v>
      </c>
      <c r="D166" s="103">
        <f>SUM(D155:D165)</f>
        <v>24064314</v>
      </c>
      <c r="E166" s="103">
        <f t="shared" si="22"/>
        <v>7364057</v>
      </c>
      <c r="F166" s="104">
        <f t="shared" si="23"/>
        <v>0.440954711056243</v>
      </c>
    </row>
    <row r="167" spans="1:6" ht="18" customHeight="1">
      <c r="A167" s="94" t="s">
        <v>256</v>
      </c>
      <c r="B167" s="95" t="s">
        <v>265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227</v>
      </c>
      <c r="C168" s="117">
        <v>5658</v>
      </c>
      <c r="D168" s="117">
        <v>5774</v>
      </c>
      <c r="E168" s="117">
        <f aca="true" t="shared" si="24" ref="E168:E179">D168-C168</f>
        <v>116</v>
      </c>
      <c r="F168" s="98">
        <f aca="true" t="shared" si="25" ref="F168:F179">IF(C168=0,0,E168/C168)</f>
        <v>0.020501944149876283</v>
      </c>
    </row>
    <row r="169" spans="1:6" ht="18" customHeight="1">
      <c r="A169" s="99">
        <v>2</v>
      </c>
      <c r="B169" s="100" t="s">
        <v>228</v>
      </c>
      <c r="C169" s="117">
        <v>1564</v>
      </c>
      <c r="D169" s="117">
        <v>2010</v>
      </c>
      <c r="E169" s="117">
        <f t="shared" si="24"/>
        <v>446</v>
      </c>
      <c r="F169" s="98">
        <f t="shared" si="25"/>
        <v>0.2851662404092072</v>
      </c>
    </row>
    <row r="170" spans="1:6" ht="18" customHeight="1">
      <c r="A170" s="99">
        <v>3</v>
      </c>
      <c r="B170" s="100" t="s">
        <v>229</v>
      </c>
      <c r="C170" s="117">
        <v>3899</v>
      </c>
      <c r="D170" s="117">
        <v>3516</v>
      </c>
      <c r="E170" s="117">
        <f t="shared" si="24"/>
        <v>-383</v>
      </c>
      <c r="F170" s="98">
        <f t="shared" si="25"/>
        <v>-0.09823031546550398</v>
      </c>
    </row>
    <row r="171" spans="1:6" ht="18" customHeight="1">
      <c r="A171" s="99">
        <v>4</v>
      </c>
      <c r="B171" s="100" t="s">
        <v>230</v>
      </c>
      <c r="C171" s="117">
        <v>8465</v>
      </c>
      <c r="D171" s="117">
        <v>7608</v>
      </c>
      <c r="E171" s="117">
        <f t="shared" si="24"/>
        <v>-857</v>
      </c>
      <c r="F171" s="98">
        <f t="shared" si="25"/>
        <v>-0.10124040165386887</v>
      </c>
    </row>
    <row r="172" spans="1:6" ht="18" customHeight="1">
      <c r="A172" s="99">
        <v>5</v>
      </c>
      <c r="B172" s="100" t="s">
        <v>231</v>
      </c>
      <c r="C172" s="117">
        <v>74</v>
      </c>
      <c r="D172" s="117">
        <v>92</v>
      </c>
      <c r="E172" s="117">
        <f t="shared" si="24"/>
        <v>18</v>
      </c>
      <c r="F172" s="98">
        <f t="shared" si="25"/>
        <v>0.24324324324324326</v>
      </c>
    </row>
    <row r="173" spans="1:6" ht="18" customHeight="1">
      <c r="A173" s="99">
        <v>6</v>
      </c>
      <c r="B173" s="100" t="s">
        <v>232</v>
      </c>
      <c r="C173" s="117">
        <v>5962</v>
      </c>
      <c r="D173" s="117">
        <v>8326</v>
      </c>
      <c r="E173" s="117">
        <f t="shared" si="24"/>
        <v>2364</v>
      </c>
      <c r="F173" s="98">
        <f t="shared" si="25"/>
        <v>0.39651123783965114</v>
      </c>
    </row>
    <row r="174" spans="1:6" ht="18" customHeight="1">
      <c r="A174" s="99">
        <v>7</v>
      </c>
      <c r="B174" s="100" t="s">
        <v>233</v>
      </c>
      <c r="C174" s="117">
        <v>9309</v>
      </c>
      <c r="D174" s="117">
        <v>9220</v>
      </c>
      <c r="E174" s="117">
        <f t="shared" si="24"/>
        <v>-89</v>
      </c>
      <c r="F174" s="98">
        <f t="shared" si="25"/>
        <v>-0.00956064024062735</v>
      </c>
    </row>
    <row r="175" spans="1:6" ht="18" customHeight="1">
      <c r="A175" s="99">
        <v>8</v>
      </c>
      <c r="B175" s="100" t="s">
        <v>234</v>
      </c>
      <c r="C175" s="117">
        <v>1055</v>
      </c>
      <c r="D175" s="117">
        <v>1048</v>
      </c>
      <c r="E175" s="117">
        <f t="shared" si="24"/>
        <v>-7</v>
      </c>
      <c r="F175" s="98">
        <f t="shared" si="25"/>
        <v>-0.006635071090047393</v>
      </c>
    </row>
    <row r="176" spans="1:6" ht="18" customHeight="1">
      <c r="A176" s="99">
        <v>9</v>
      </c>
      <c r="B176" s="100" t="s">
        <v>235</v>
      </c>
      <c r="C176" s="117">
        <v>9365</v>
      </c>
      <c r="D176" s="117">
        <v>9464</v>
      </c>
      <c r="E176" s="117">
        <f t="shared" si="24"/>
        <v>99</v>
      </c>
      <c r="F176" s="98">
        <f t="shared" si="25"/>
        <v>0.010571276027762947</v>
      </c>
    </row>
    <row r="177" spans="1:6" ht="18" customHeight="1">
      <c r="A177" s="99">
        <v>10</v>
      </c>
      <c r="B177" s="100" t="s">
        <v>236</v>
      </c>
      <c r="C177" s="117">
        <v>2414</v>
      </c>
      <c r="D177" s="117">
        <v>3169</v>
      </c>
      <c r="E177" s="117">
        <f t="shared" si="24"/>
        <v>755</v>
      </c>
      <c r="F177" s="98">
        <f t="shared" si="25"/>
        <v>0.3127589063794532</v>
      </c>
    </row>
    <row r="178" spans="1:6" ht="18" customHeight="1">
      <c r="A178" s="99">
        <v>11</v>
      </c>
      <c r="B178" s="100" t="s">
        <v>237</v>
      </c>
      <c r="C178" s="117">
        <v>154</v>
      </c>
      <c r="D178" s="117">
        <v>204</v>
      </c>
      <c r="E178" s="117">
        <f t="shared" si="24"/>
        <v>50</v>
      </c>
      <c r="F178" s="98">
        <f t="shared" si="25"/>
        <v>0.3246753246753247</v>
      </c>
    </row>
    <row r="179" spans="1:6" ht="33.75" customHeight="1">
      <c r="A179" s="101"/>
      <c r="B179" s="102" t="s">
        <v>266</v>
      </c>
      <c r="C179" s="118">
        <f>SUM(C168:C178)</f>
        <v>47919</v>
      </c>
      <c r="D179" s="118">
        <f>SUM(D168:D178)</f>
        <v>50431</v>
      </c>
      <c r="E179" s="118">
        <f t="shared" si="24"/>
        <v>2512</v>
      </c>
      <c r="F179" s="104">
        <f t="shared" si="25"/>
        <v>0.05242179511258582</v>
      </c>
    </row>
  </sheetData>
  <sheetProtection/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fitToHeight="2" horizontalDpi="1200" verticalDpi="1200" orientation="portrait" paperSize="9" scale="65" r:id="rId1"/>
  <headerFooter alignWithMargins="0">
    <oddHeader>&amp;LOFFICE OF HEALTH CARE ACCESS&amp;CTWELVE MONTHS ACTUAL FILING&amp;RSAINT VINCENT`S MEDICAL CENTER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8.8515625" style="119" bestFit="1" customWidth="1"/>
    <col min="2" max="2" width="54.851562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17.4218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115</v>
      </c>
      <c r="E2" s="123"/>
      <c r="F2" s="123"/>
      <c r="G2" s="124"/>
    </row>
    <row r="3" spans="1:7" ht="15.75" customHeight="1">
      <c r="A3" s="121"/>
      <c r="C3" s="123" t="s">
        <v>116</v>
      </c>
      <c r="E3" s="123"/>
      <c r="F3" s="123"/>
      <c r="G3" s="124"/>
    </row>
    <row r="4" spans="1:7" ht="15.75" customHeight="1">
      <c r="A4" s="121"/>
      <c r="C4" s="123" t="s">
        <v>117</v>
      </c>
      <c r="E4" s="123"/>
      <c r="F4" s="123"/>
      <c r="G4" s="124"/>
    </row>
    <row r="5" spans="1:7" ht="15.75" customHeight="1">
      <c r="A5" s="121"/>
      <c r="C5" s="123" t="s">
        <v>267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119</v>
      </c>
      <c r="D9" s="127" t="s">
        <v>120</v>
      </c>
      <c r="E9" s="129" t="s">
        <v>121</v>
      </c>
      <c r="F9" s="130" t="s">
        <v>268</v>
      </c>
      <c r="G9" s="124"/>
    </row>
    <row r="10" spans="1:7" ht="15.75" customHeight="1">
      <c r="A10" s="131" t="s">
        <v>269</v>
      </c>
      <c r="B10" s="132" t="s">
        <v>124</v>
      </c>
      <c r="C10" s="133" t="s">
        <v>125</v>
      </c>
      <c r="D10" s="133" t="s">
        <v>125</v>
      </c>
      <c r="E10" s="134" t="s">
        <v>126</v>
      </c>
      <c r="F10" s="133" t="s">
        <v>126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127</v>
      </c>
      <c r="B12" s="139" t="s">
        <v>270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225</v>
      </c>
      <c r="B14" s="145" t="s">
        <v>271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272</v>
      </c>
      <c r="C15" s="146">
        <v>52779766</v>
      </c>
      <c r="D15" s="146">
        <v>59660307</v>
      </c>
      <c r="E15" s="146">
        <f>+D15-C15</f>
        <v>6880541</v>
      </c>
      <c r="F15" s="150">
        <f>IF(C15=0,0,E15/C15)</f>
        <v>0.1303632342742861</v>
      </c>
    </row>
    <row r="16" spans="1:6" ht="15" customHeight="1">
      <c r="A16" s="141">
        <v>2</v>
      </c>
      <c r="B16" s="149" t="s">
        <v>273</v>
      </c>
      <c r="C16" s="146">
        <v>21495275</v>
      </c>
      <c r="D16" s="146">
        <v>23691353</v>
      </c>
      <c r="E16" s="146">
        <f>+D16-C16</f>
        <v>2196078</v>
      </c>
      <c r="F16" s="150">
        <f>IF(C16=0,0,E16/C16)</f>
        <v>0.10216561546665488</v>
      </c>
    </row>
    <row r="17" spans="1:6" ht="15" customHeight="1">
      <c r="A17" s="141">
        <v>3</v>
      </c>
      <c r="B17" s="149" t="s">
        <v>274</v>
      </c>
      <c r="C17" s="146">
        <v>54452460</v>
      </c>
      <c r="D17" s="146">
        <v>63525340</v>
      </c>
      <c r="E17" s="146">
        <f>+D17-C17</f>
        <v>9072880</v>
      </c>
      <c r="F17" s="150">
        <f>IF(C17=0,0,E17/C17)</f>
        <v>0.1666202041193364</v>
      </c>
    </row>
    <row r="18" spans="1:7" ht="15.75" customHeight="1">
      <c r="A18" s="141"/>
      <c r="B18" s="151" t="s">
        <v>275</v>
      </c>
      <c r="C18" s="147">
        <f>SUM(C15:C17)</f>
        <v>128727501</v>
      </c>
      <c r="D18" s="147">
        <f>SUM(D15:D17)</f>
        <v>146877000</v>
      </c>
      <c r="E18" s="147">
        <f>+D18-C18</f>
        <v>18149499</v>
      </c>
      <c r="F18" s="148">
        <f>IF(C18=0,0,E18/C18)</f>
        <v>0.14099162074155389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239</v>
      </c>
      <c r="B20" s="145" t="s">
        <v>276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277</v>
      </c>
      <c r="C21" s="146">
        <v>12410666</v>
      </c>
      <c r="D21" s="146">
        <v>13620400</v>
      </c>
      <c r="E21" s="146">
        <f>+D21-C21</f>
        <v>1209734</v>
      </c>
      <c r="F21" s="150">
        <f>IF(C21=0,0,E21/C21)</f>
        <v>0.0974753490263939</v>
      </c>
    </row>
    <row r="22" spans="1:6" ht="15" customHeight="1">
      <c r="A22" s="141">
        <v>2</v>
      </c>
      <c r="B22" s="149" t="s">
        <v>278</v>
      </c>
      <c r="C22" s="146">
        <v>5054412</v>
      </c>
      <c r="D22" s="146">
        <v>5408717</v>
      </c>
      <c r="E22" s="146">
        <f>+D22-C22</f>
        <v>354305</v>
      </c>
      <c r="F22" s="150">
        <f>IF(C22=0,0,E22/C22)</f>
        <v>0.07009816374288444</v>
      </c>
    </row>
    <row r="23" spans="1:6" ht="15" customHeight="1">
      <c r="A23" s="141">
        <v>3</v>
      </c>
      <c r="B23" s="149" t="s">
        <v>279</v>
      </c>
      <c r="C23" s="146">
        <v>12803985</v>
      </c>
      <c r="D23" s="146">
        <v>14502883</v>
      </c>
      <c r="E23" s="146">
        <f>+D23-C23</f>
        <v>1698898</v>
      </c>
      <c r="F23" s="150">
        <f>IF(C23=0,0,E23/C23)</f>
        <v>0.13268509764733402</v>
      </c>
    </row>
    <row r="24" spans="1:7" ht="15.75" customHeight="1">
      <c r="A24" s="141"/>
      <c r="B24" s="151" t="s">
        <v>280</v>
      </c>
      <c r="C24" s="147">
        <f>SUM(C21:C23)</f>
        <v>30269063</v>
      </c>
      <c r="D24" s="147">
        <f>SUM(D21:D23)</f>
        <v>33532000</v>
      </c>
      <c r="E24" s="147">
        <f>+D24-C24</f>
        <v>3262937</v>
      </c>
      <c r="F24" s="148">
        <f>IF(C24=0,0,E24/C24)</f>
        <v>0.10779775376594908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256</v>
      </c>
      <c r="B26" s="145" t="s">
        <v>281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282</v>
      </c>
      <c r="C27" s="146">
        <v>2008473</v>
      </c>
      <c r="D27" s="146">
        <v>3112080</v>
      </c>
      <c r="E27" s="146">
        <f>+D27-C27</f>
        <v>1103607</v>
      </c>
      <c r="F27" s="150">
        <f>IF(C27=0,0,E27/C27)</f>
        <v>0.549475646423925</v>
      </c>
    </row>
    <row r="28" spans="1:6" ht="15" customHeight="1">
      <c r="A28" s="141">
        <v>2</v>
      </c>
      <c r="B28" s="149" t="s">
        <v>283</v>
      </c>
      <c r="C28" s="146">
        <v>1582302</v>
      </c>
      <c r="D28" s="146">
        <v>2257000</v>
      </c>
      <c r="E28" s="146">
        <f>+D28-C28</f>
        <v>674698</v>
      </c>
      <c r="F28" s="150">
        <f>IF(C28=0,0,E28/C28)</f>
        <v>0.4264027979488113</v>
      </c>
    </row>
    <row r="29" spans="1:6" ht="15" customHeight="1">
      <c r="A29" s="141">
        <v>3</v>
      </c>
      <c r="B29" s="149" t="s">
        <v>284</v>
      </c>
      <c r="C29" s="146">
        <v>348786</v>
      </c>
      <c r="D29" s="146">
        <v>774258</v>
      </c>
      <c r="E29" s="146">
        <f>+D29-C29</f>
        <v>425472</v>
      </c>
      <c r="F29" s="150">
        <f>IF(C29=0,0,E29/C29)</f>
        <v>1.2198654762519139</v>
      </c>
    </row>
    <row r="30" spans="1:7" ht="15.75" customHeight="1">
      <c r="A30" s="141"/>
      <c r="B30" s="151" t="s">
        <v>285</v>
      </c>
      <c r="C30" s="147">
        <f>SUM(C27:C29)</f>
        <v>3939561</v>
      </c>
      <c r="D30" s="147">
        <f>SUM(D27:D29)</f>
        <v>6143338</v>
      </c>
      <c r="E30" s="147">
        <f>+D30-C30</f>
        <v>2203777</v>
      </c>
      <c r="F30" s="148">
        <f>IF(C30=0,0,E30/C30)</f>
        <v>0.5593965926660356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286</v>
      </c>
      <c r="B32" s="145" t="s">
        <v>287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288</v>
      </c>
      <c r="C33" s="146">
        <v>36210264</v>
      </c>
      <c r="D33" s="146">
        <v>36567269</v>
      </c>
      <c r="E33" s="146">
        <f>+D33-C33</f>
        <v>357005</v>
      </c>
      <c r="F33" s="150">
        <f>IF(C33=0,0,E33/C33)</f>
        <v>0.009859221131334474</v>
      </c>
    </row>
    <row r="34" spans="1:6" ht="15" customHeight="1">
      <c r="A34" s="141">
        <v>2</v>
      </c>
      <c r="B34" s="149" t="s">
        <v>289</v>
      </c>
      <c r="C34" s="146">
        <v>14286027</v>
      </c>
      <c r="D34" s="146">
        <v>14888731</v>
      </c>
      <c r="E34" s="146">
        <f>+D34-C34</f>
        <v>602704</v>
      </c>
      <c r="F34" s="150">
        <f>IF(C34=0,0,E34/C34)</f>
        <v>0.042188356496876286</v>
      </c>
    </row>
    <row r="35" spans="1:7" ht="15.75" customHeight="1">
      <c r="A35" s="141"/>
      <c r="B35" s="151" t="s">
        <v>290</v>
      </c>
      <c r="C35" s="147">
        <f>SUM(C33:C34)</f>
        <v>50496291</v>
      </c>
      <c r="D35" s="147">
        <f>SUM(D33:D34)</f>
        <v>51456000</v>
      </c>
      <c r="E35" s="147">
        <f>+D35-C35</f>
        <v>959709</v>
      </c>
      <c r="F35" s="148">
        <f>IF(C35=0,0,E35/C35)</f>
        <v>0.019005534485691235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291</v>
      </c>
      <c r="B37" s="145" t="s">
        <v>292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293</v>
      </c>
      <c r="C38" s="146">
        <v>7917843</v>
      </c>
      <c r="D38" s="146">
        <v>9092641</v>
      </c>
      <c r="E38" s="146">
        <f>+D38-C38</f>
        <v>1174798</v>
      </c>
      <c r="F38" s="150">
        <f>IF(C38=0,0,E38/C38)</f>
        <v>0.1483734901033021</v>
      </c>
    </row>
    <row r="39" spans="1:6" ht="15" customHeight="1">
      <c r="A39" s="141">
        <v>2</v>
      </c>
      <c r="B39" s="149" t="s">
        <v>294</v>
      </c>
      <c r="C39" s="146">
        <v>8868323</v>
      </c>
      <c r="D39" s="146">
        <v>9535359</v>
      </c>
      <c r="E39" s="146">
        <f>+D39-C39</f>
        <v>667036</v>
      </c>
      <c r="F39" s="150">
        <f>IF(C39=0,0,E39/C39)</f>
        <v>0.07521557345171122</v>
      </c>
    </row>
    <row r="40" spans="1:6" ht="15" customHeight="1">
      <c r="A40" s="141">
        <v>3</v>
      </c>
      <c r="B40" s="149" t="s">
        <v>295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>
      <c r="A41" s="141"/>
      <c r="B41" s="151" t="s">
        <v>296</v>
      </c>
      <c r="C41" s="147">
        <f>SUM(C38:C40)</f>
        <v>16786166</v>
      </c>
      <c r="D41" s="147">
        <f>SUM(D38:D40)</f>
        <v>18628000</v>
      </c>
      <c r="E41" s="147">
        <f>+D41-C41</f>
        <v>1841834</v>
      </c>
      <c r="F41" s="148">
        <f>IF(C41=0,0,E41/C41)</f>
        <v>0.10972332812626778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297</v>
      </c>
      <c r="B43" s="145" t="s">
        <v>298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200</v>
      </c>
      <c r="C44" s="146">
        <v>20133762</v>
      </c>
      <c r="D44" s="146">
        <v>21818000</v>
      </c>
      <c r="E44" s="146">
        <f>+D44-C44</f>
        <v>1684238</v>
      </c>
      <c r="F44" s="150">
        <f>IF(C44=0,0,E44/C44)</f>
        <v>0.08365242422156376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299</v>
      </c>
      <c r="B46" s="145" t="s">
        <v>300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301</v>
      </c>
      <c r="C47" s="146">
        <v>1011878</v>
      </c>
      <c r="D47" s="146">
        <v>678000</v>
      </c>
      <c r="E47" s="146">
        <f>+D47-C47</f>
        <v>-333878</v>
      </c>
      <c r="F47" s="150">
        <f>IF(C47=0,0,E47/C47)</f>
        <v>-0.3299587499678815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302</v>
      </c>
      <c r="B49" s="145" t="s">
        <v>303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304</v>
      </c>
      <c r="C50" s="146">
        <v>1922385</v>
      </c>
      <c r="D50" s="146">
        <v>4752000</v>
      </c>
      <c r="E50" s="146">
        <f>+D50-C50</f>
        <v>2829615</v>
      </c>
      <c r="F50" s="150">
        <f>IF(C50=0,0,E50/C50)</f>
        <v>1.4719294001981913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305</v>
      </c>
      <c r="B52" s="145" t="s">
        <v>306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307</v>
      </c>
      <c r="C53" s="146">
        <v>378709</v>
      </c>
      <c r="D53" s="146">
        <v>324683</v>
      </c>
      <c r="E53" s="146">
        <f aca="true" t="shared" si="0" ref="E53:E59">+D53-C53</f>
        <v>-54026</v>
      </c>
      <c r="F53" s="150">
        <f aca="true" t="shared" si="1" ref="F53:F59">IF(C53=0,0,E53/C53)</f>
        <v>-0.14265834717421555</v>
      </c>
    </row>
    <row r="54" spans="1:6" ht="15" customHeight="1">
      <c r="A54" s="141">
        <v>2</v>
      </c>
      <c r="B54" s="149" t="s">
        <v>308</v>
      </c>
      <c r="C54" s="146">
        <v>757685</v>
      </c>
      <c r="D54" s="146">
        <v>738920</v>
      </c>
      <c r="E54" s="146">
        <f t="shared" si="0"/>
        <v>-18765</v>
      </c>
      <c r="F54" s="150">
        <f t="shared" si="1"/>
        <v>-0.024766228709820044</v>
      </c>
    </row>
    <row r="55" spans="1:6" ht="15" customHeight="1">
      <c r="A55" s="141">
        <v>3</v>
      </c>
      <c r="B55" s="149" t="s">
        <v>309</v>
      </c>
      <c r="C55" s="146">
        <v>755210</v>
      </c>
      <c r="D55" s="146">
        <v>664161</v>
      </c>
      <c r="E55" s="146">
        <f t="shared" si="0"/>
        <v>-91049</v>
      </c>
      <c r="F55" s="150">
        <f t="shared" si="1"/>
        <v>-0.12056116841673177</v>
      </c>
    </row>
    <row r="56" spans="1:6" ht="15" customHeight="1">
      <c r="A56" s="141">
        <v>4</v>
      </c>
      <c r="B56" s="149" t="s">
        <v>310</v>
      </c>
      <c r="C56" s="146">
        <v>3222530</v>
      </c>
      <c r="D56" s="146">
        <v>3574130</v>
      </c>
      <c r="E56" s="146">
        <f t="shared" si="0"/>
        <v>351600</v>
      </c>
      <c r="F56" s="150">
        <f t="shared" si="1"/>
        <v>0.10910681979686768</v>
      </c>
    </row>
    <row r="57" spans="1:6" ht="15" customHeight="1">
      <c r="A57" s="141">
        <v>5</v>
      </c>
      <c r="B57" s="149" t="s">
        <v>311</v>
      </c>
      <c r="C57" s="146">
        <v>801190</v>
      </c>
      <c r="D57" s="146">
        <v>1645332</v>
      </c>
      <c r="E57" s="146">
        <f t="shared" si="0"/>
        <v>844142</v>
      </c>
      <c r="F57" s="150">
        <f t="shared" si="1"/>
        <v>1.0536102547460653</v>
      </c>
    </row>
    <row r="58" spans="1:6" ht="15" customHeight="1">
      <c r="A58" s="141">
        <v>6</v>
      </c>
      <c r="B58" s="149" t="s">
        <v>312</v>
      </c>
      <c r="C58" s="146">
        <v>39943</v>
      </c>
      <c r="D58" s="146">
        <v>45275</v>
      </c>
      <c r="E58" s="146">
        <f t="shared" si="0"/>
        <v>5332</v>
      </c>
      <c r="F58" s="150">
        <f t="shared" si="1"/>
        <v>0.13349022356858523</v>
      </c>
    </row>
    <row r="59" spans="1:7" ht="15.75" customHeight="1">
      <c r="A59" s="141"/>
      <c r="B59" s="151" t="s">
        <v>313</v>
      </c>
      <c r="C59" s="147">
        <f>SUM(C53:C58)</f>
        <v>5955267</v>
      </c>
      <c r="D59" s="147">
        <f>SUM(D53:D58)</f>
        <v>6992501</v>
      </c>
      <c r="E59" s="147">
        <f t="shared" si="0"/>
        <v>1037234</v>
      </c>
      <c r="F59" s="148">
        <f t="shared" si="1"/>
        <v>0.17417086421146188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314</v>
      </c>
      <c r="B61" s="145" t="s">
        <v>315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316</v>
      </c>
      <c r="C62" s="146">
        <v>227200</v>
      </c>
      <c r="D62" s="146">
        <v>370149</v>
      </c>
      <c r="E62" s="146">
        <f aca="true" t="shared" si="2" ref="E62:E78">+D62-C62</f>
        <v>142949</v>
      </c>
      <c r="F62" s="150">
        <f aca="true" t="shared" si="3" ref="F62:F78">IF(C62=0,0,E62/C62)</f>
        <v>0.6291769366197183</v>
      </c>
    </row>
    <row r="63" spans="1:6" ht="15" customHeight="1">
      <c r="A63" s="141">
        <v>2</v>
      </c>
      <c r="B63" s="149" t="s">
        <v>317</v>
      </c>
      <c r="C63" s="146">
        <v>920889</v>
      </c>
      <c r="D63" s="146">
        <v>801028</v>
      </c>
      <c r="E63" s="146">
        <f t="shared" si="2"/>
        <v>-119861</v>
      </c>
      <c r="F63" s="150">
        <f t="shared" si="3"/>
        <v>-0.13015792348480654</v>
      </c>
    </row>
    <row r="64" spans="1:6" ht="15" customHeight="1">
      <c r="A64" s="141">
        <v>3</v>
      </c>
      <c r="B64" s="149" t="s">
        <v>318</v>
      </c>
      <c r="C64" s="146">
        <v>673134</v>
      </c>
      <c r="D64" s="146">
        <v>1379107</v>
      </c>
      <c r="E64" s="146">
        <f t="shared" si="2"/>
        <v>705973</v>
      </c>
      <c r="F64" s="150">
        <f t="shared" si="3"/>
        <v>1.048785234440691</v>
      </c>
    </row>
    <row r="65" spans="1:6" ht="15" customHeight="1">
      <c r="A65" s="141">
        <v>4</v>
      </c>
      <c r="B65" s="149" t="s">
        <v>319</v>
      </c>
      <c r="C65" s="146">
        <v>773388</v>
      </c>
      <c r="D65" s="146">
        <v>772294</v>
      </c>
      <c r="E65" s="146">
        <f t="shared" si="2"/>
        <v>-1094</v>
      </c>
      <c r="F65" s="150">
        <f t="shared" si="3"/>
        <v>-0.0014145551779960381</v>
      </c>
    </row>
    <row r="66" spans="1:6" ht="15" customHeight="1">
      <c r="A66" s="141">
        <v>5</v>
      </c>
      <c r="B66" s="149" t="s">
        <v>320</v>
      </c>
      <c r="C66" s="146">
        <v>1092437</v>
      </c>
      <c r="D66" s="146">
        <v>1223383</v>
      </c>
      <c r="E66" s="146">
        <f t="shared" si="2"/>
        <v>130946</v>
      </c>
      <c r="F66" s="150">
        <f t="shared" si="3"/>
        <v>0.11986595108001652</v>
      </c>
    </row>
    <row r="67" spans="1:6" ht="15" customHeight="1">
      <c r="A67" s="141">
        <v>6</v>
      </c>
      <c r="B67" s="149" t="s">
        <v>321</v>
      </c>
      <c r="C67" s="146">
        <v>1699049</v>
      </c>
      <c r="D67" s="146">
        <v>1872827</v>
      </c>
      <c r="E67" s="146">
        <f t="shared" si="2"/>
        <v>173778</v>
      </c>
      <c r="F67" s="150">
        <f t="shared" si="3"/>
        <v>0.10227956933555182</v>
      </c>
    </row>
    <row r="68" spans="1:6" ht="15" customHeight="1">
      <c r="A68" s="141">
        <v>7</v>
      </c>
      <c r="B68" s="149" t="s">
        <v>322</v>
      </c>
      <c r="C68" s="146">
        <v>1297818</v>
      </c>
      <c r="D68" s="146">
        <v>2328141</v>
      </c>
      <c r="E68" s="146">
        <f t="shared" si="2"/>
        <v>1030323</v>
      </c>
      <c r="F68" s="150">
        <f t="shared" si="3"/>
        <v>0.7938886654369103</v>
      </c>
    </row>
    <row r="69" spans="1:6" ht="15" customHeight="1">
      <c r="A69" s="141">
        <v>8</v>
      </c>
      <c r="B69" s="149" t="s">
        <v>323</v>
      </c>
      <c r="C69" s="146">
        <v>421790</v>
      </c>
      <c r="D69" s="146">
        <v>629984</v>
      </c>
      <c r="E69" s="146">
        <f t="shared" si="2"/>
        <v>208194</v>
      </c>
      <c r="F69" s="150">
        <f t="shared" si="3"/>
        <v>0.49359633941060715</v>
      </c>
    </row>
    <row r="70" spans="1:6" ht="15" customHeight="1">
      <c r="A70" s="141">
        <v>9</v>
      </c>
      <c r="B70" s="149" t="s">
        <v>324</v>
      </c>
      <c r="C70" s="146">
        <v>365704</v>
      </c>
      <c r="D70" s="146">
        <v>262472</v>
      </c>
      <c r="E70" s="146">
        <f t="shared" si="2"/>
        <v>-103232</v>
      </c>
      <c r="F70" s="150">
        <f t="shared" si="3"/>
        <v>-0.28228293920766523</v>
      </c>
    </row>
    <row r="71" spans="1:6" ht="15" customHeight="1">
      <c r="A71" s="141">
        <v>10</v>
      </c>
      <c r="B71" s="149" t="s">
        <v>325</v>
      </c>
      <c r="C71" s="146">
        <v>260340</v>
      </c>
      <c r="D71" s="146">
        <v>259879</v>
      </c>
      <c r="E71" s="146">
        <f t="shared" si="2"/>
        <v>-461</v>
      </c>
      <c r="F71" s="150">
        <f t="shared" si="3"/>
        <v>-0.001770761312130291</v>
      </c>
    </row>
    <row r="72" spans="1:6" ht="15" customHeight="1">
      <c r="A72" s="141">
        <v>11</v>
      </c>
      <c r="B72" s="149" t="s">
        <v>326</v>
      </c>
      <c r="C72" s="146">
        <v>145722</v>
      </c>
      <c r="D72" s="146">
        <v>138179</v>
      </c>
      <c r="E72" s="146">
        <f t="shared" si="2"/>
        <v>-7543</v>
      </c>
      <c r="F72" s="150">
        <f t="shared" si="3"/>
        <v>-0.05176294588325716</v>
      </c>
    </row>
    <row r="73" spans="1:6" ht="15" customHeight="1">
      <c r="A73" s="141">
        <v>12</v>
      </c>
      <c r="B73" s="149" t="s">
        <v>327</v>
      </c>
      <c r="C73" s="146">
        <v>5255771</v>
      </c>
      <c r="D73" s="146">
        <v>8572041</v>
      </c>
      <c r="E73" s="146">
        <f t="shared" si="2"/>
        <v>3316270</v>
      </c>
      <c r="F73" s="150">
        <f t="shared" si="3"/>
        <v>0.6309768823641669</v>
      </c>
    </row>
    <row r="74" spans="1:6" ht="15" customHeight="1">
      <c r="A74" s="141">
        <v>13</v>
      </c>
      <c r="B74" s="149" t="s">
        <v>328</v>
      </c>
      <c r="C74" s="146">
        <v>285859</v>
      </c>
      <c r="D74" s="146">
        <v>304605</v>
      </c>
      <c r="E74" s="146">
        <f t="shared" si="2"/>
        <v>18746</v>
      </c>
      <c r="F74" s="150">
        <f t="shared" si="3"/>
        <v>0.06557778485197248</v>
      </c>
    </row>
    <row r="75" spans="1:6" ht="15" customHeight="1">
      <c r="A75" s="141">
        <v>14</v>
      </c>
      <c r="B75" s="149" t="s">
        <v>329</v>
      </c>
      <c r="C75" s="146">
        <v>575487</v>
      </c>
      <c r="D75" s="146">
        <v>564868</v>
      </c>
      <c r="E75" s="146">
        <f t="shared" si="2"/>
        <v>-10619</v>
      </c>
      <c r="F75" s="150">
        <f t="shared" si="3"/>
        <v>-0.018452197877623647</v>
      </c>
    </row>
    <row r="76" spans="1:6" ht="15" customHeight="1">
      <c r="A76" s="141">
        <v>15</v>
      </c>
      <c r="B76" s="149" t="s">
        <v>330</v>
      </c>
      <c r="C76" s="146">
        <v>1720130</v>
      </c>
      <c r="D76" s="146">
        <v>1797738</v>
      </c>
      <c r="E76" s="146">
        <f t="shared" si="2"/>
        <v>77608</v>
      </c>
      <c r="F76" s="150">
        <f t="shared" si="3"/>
        <v>0.04511752018742769</v>
      </c>
    </row>
    <row r="77" spans="1:6" ht="15" customHeight="1">
      <c r="A77" s="141">
        <v>16</v>
      </c>
      <c r="B77" s="149" t="s">
        <v>331</v>
      </c>
      <c r="C77" s="146">
        <v>27786728</v>
      </c>
      <c r="D77" s="146">
        <v>29833466</v>
      </c>
      <c r="E77" s="146">
        <f t="shared" si="2"/>
        <v>2046738</v>
      </c>
      <c r="F77" s="150">
        <f t="shared" si="3"/>
        <v>0.07365883453424239</v>
      </c>
    </row>
    <row r="78" spans="1:7" ht="15.75" customHeight="1">
      <c r="A78" s="141"/>
      <c r="B78" s="151" t="s">
        <v>332</v>
      </c>
      <c r="C78" s="147">
        <f>SUM(C62:C77)</f>
        <v>43501446</v>
      </c>
      <c r="D78" s="147">
        <f>SUM(D62:D77)</f>
        <v>51110161</v>
      </c>
      <c r="E78" s="147">
        <f t="shared" si="2"/>
        <v>7608715</v>
      </c>
      <c r="F78" s="148">
        <f t="shared" si="3"/>
        <v>0.17490717435002046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333</v>
      </c>
      <c r="B80" s="145" t="s">
        <v>334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335</v>
      </c>
      <c r="C81" s="146">
        <v>0</v>
      </c>
      <c r="D81" s="146">
        <v>0</v>
      </c>
      <c r="E81" s="146">
        <f>+D81-C81</f>
        <v>0</v>
      </c>
      <c r="F81" s="150">
        <f>IF(C81=0,0,E81/C81)</f>
        <v>0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336</v>
      </c>
      <c r="C83" s="147">
        <f>+C81+C78+C59+C50+C47+C44+C41+C35+C30+C24+C18</f>
        <v>302743320</v>
      </c>
      <c r="D83" s="147">
        <f>+D81+D78+D59+D50+D47+D44+D41+D35+D30+D24+D18</f>
        <v>341987000</v>
      </c>
      <c r="E83" s="147">
        <f>+D83-C83</f>
        <v>39243680</v>
      </c>
      <c r="F83" s="148">
        <f>IF(C83=0,0,E83/C83)</f>
        <v>0.12962690638392946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337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159</v>
      </c>
      <c r="B88" s="142" t="s">
        <v>338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225</v>
      </c>
      <c r="B90" s="145" t="s">
        <v>339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340</v>
      </c>
      <c r="C91" s="146">
        <v>53065155</v>
      </c>
      <c r="D91" s="146">
        <v>69015114</v>
      </c>
      <c r="E91" s="146">
        <f aca="true" t="shared" si="4" ref="E91:E109">D91-C91</f>
        <v>15949959</v>
      </c>
      <c r="F91" s="150">
        <f aca="true" t="shared" si="5" ref="F91:F109">IF(C91=0,0,E91/C91)</f>
        <v>0.3005731162002636</v>
      </c>
      <c r="G91" s="155"/>
    </row>
    <row r="92" spans="1:7" ht="15" customHeight="1">
      <c r="A92" s="141">
        <v>2</v>
      </c>
      <c r="B92" s="161" t="s">
        <v>341</v>
      </c>
      <c r="C92" s="146">
        <v>1487701</v>
      </c>
      <c r="D92" s="146">
        <v>2247475</v>
      </c>
      <c r="E92" s="146">
        <f t="shared" si="4"/>
        <v>759774</v>
      </c>
      <c r="F92" s="150">
        <f t="shared" si="5"/>
        <v>0.5107034276376772</v>
      </c>
      <c r="G92" s="155"/>
    </row>
    <row r="93" spans="1:7" ht="15" customHeight="1">
      <c r="A93" s="141">
        <v>3</v>
      </c>
      <c r="B93" s="161" t="s">
        <v>342</v>
      </c>
      <c r="C93" s="146">
        <v>4491971</v>
      </c>
      <c r="D93" s="146">
        <v>4484398</v>
      </c>
      <c r="E93" s="146">
        <f t="shared" si="4"/>
        <v>-7573</v>
      </c>
      <c r="F93" s="150">
        <f t="shared" si="5"/>
        <v>-0.0016858969036086832</v>
      </c>
      <c r="G93" s="155"/>
    </row>
    <row r="94" spans="1:7" ht="15" customHeight="1">
      <c r="A94" s="141">
        <v>4</v>
      </c>
      <c r="B94" s="161" t="s">
        <v>343</v>
      </c>
      <c r="C94" s="146">
        <v>1861806</v>
      </c>
      <c r="D94" s="146">
        <v>1894008</v>
      </c>
      <c r="E94" s="146">
        <f t="shared" si="4"/>
        <v>32202</v>
      </c>
      <c r="F94" s="150">
        <f t="shared" si="5"/>
        <v>0.017296109261652395</v>
      </c>
      <c r="G94" s="155"/>
    </row>
    <row r="95" spans="1:7" ht="15" customHeight="1">
      <c r="A95" s="141">
        <v>5</v>
      </c>
      <c r="B95" s="161" t="s">
        <v>344</v>
      </c>
      <c r="C95" s="146">
        <v>12032171</v>
      </c>
      <c r="D95" s="146">
        <v>11142108</v>
      </c>
      <c r="E95" s="146">
        <f t="shared" si="4"/>
        <v>-890063</v>
      </c>
      <c r="F95" s="150">
        <f t="shared" si="5"/>
        <v>-0.07397359961057734</v>
      </c>
      <c r="G95" s="155"/>
    </row>
    <row r="96" spans="1:7" ht="15" customHeight="1">
      <c r="A96" s="141">
        <v>6</v>
      </c>
      <c r="B96" s="161" t="s">
        <v>345</v>
      </c>
      <c r="C96" s="146">
        <v>1528498</v>
      </c>
      <c r="D96" s="146">
        <v>1849064</v>
      </c>
      <c r="E96" s="146">
        <f t="shared" si="4"/>
        <v>320566</v>
      </c>
      <c r="F96" s="150">
        <f t="shared" si="5"/>
        <v>0.2097261494617592</v>
      </c>
      <c r="G96" s="155"/>
    </row>
    <row r="97" spans="1:7" ht="15" customHeight="1">
      <c r="A97" s="141">
        <v>7</v>
      </c>
      <c r="B97" s="161" t="s">
        <v>346</v>
      </c>
      <c r="C97" s="146">
        <v>32900765</v>
      </c>
      <c r="D97" s="146">
        <v>36005085</v>
      </c>
      <c r="E97" s="146">
        <f t="shared" si="4"/>
        <v>3104320</v>
      </c>
      <c r="F97" s="150">
        <f t="shared" si="5"/>
        <v>0.09435403705658515</v>
      </c>
      <c r="G97" s="155"/>
    </row>
    <row r="98" spans="1:7" ht="15" customHeight="1">
      <c r="A98" s="141">
        <v>8</v>
      </c>
      <c r="B98" s="161" t="s">
        <v>347</v>
      </c>
      <c r="C98" s="146">
        <v>1767667</v>
      </c>
      <c r="D98" s="146">
        <v>2297549</v>
      </c>
      <c r="E98" s="146">
        <f t="shared" si="4"/>
        <v>529882</v>
      </c>
      <c r="F98" s="150">
        <f t="shared" si="5"/>
        <v>0.29976347355016525</v>
      </c>
      <c r="G98" s="155"/>
    </row>
    <row r="99" spans="1:7" ht="15" customHeight="1">
      <c r="A99" s="141">
        <v>9</v>
      </c>
      <c r="B99" s="161" t="s">
        <v>348</v>
      </c>
      <c r="C99" s="146">
        <v>448818</v>
      </c>
      <c r="D99" s="146">
        <v>496496</v>
      </c>
      <c r="E99" s="146">
        <f t="shared" si="4"/>
        <v>47678</v>
      </c>
      <c r="F99" s="150">
        <f t="shared" si="5"/>
        <v>0.10623014228484598</v>
      </c>
      <c r="G99" s="155"/>
    </row>
    <row r="100" spans="1:7" ht="15" customHeight="1">
      <c r="A100" s="141">
        <v>10</v>
      </c>
      <c r="B100" s="161" t="s">
        <v>349</v>
      </c>
      <c r="C100" s="146">
        <v>4959107</v>
      </c>
      <c r="D100" s="146">
        <v>5585231</v>
      </c>
      <c r="E100" s="146">
        <f t="shared" si="4"/>
        <v>626124</v>
      </c>
      <c r="F100" s="150">
        <f t="shared" si="5"/>
        <v>0.1262574088439713</v>
      </c>
      <c r="G100" s="155"/>
    </row>
    <row r="101" spans="1:7" ht="15" customHeight="1">
      <c r="A101" s="141">
        <v>11</v>
      </c>
      <c r="B101" s="161" t="s">
        <v>350</v>
      </c>
      <c r="C101" s="146">
        <v>3356727</v>
      </c>
      <c r="D101" s="146">
        <v>3432080</v>
      </c>
      <c r="E101" s="146">
        <f t="shared" si="4"/>
        <v>75353</v>
      </c>
      <c r="F101" s="150">
        <f t="shared" si="5"/>
        <v>0.022448355198382234</v>
      </c>
      <c r="G101" s="155"/>
    </row>
    <row r="102" spans="1:7" ht="15" customHeight="1">
      <c r="A102" s="141">
        <v>12</v>
      </c>
      <c r="B102" s="161" t="s">
        <v>351</v>
      </c>
      <c r="C102" s="146">
        <v>293279</v>
      </c>
      <c r="D102" s="146">
        <v>1242642</v>
      </c>
      <c r="E102" s="146">
        <f t="shared" si="4"/>
        <v>949363</v>
      </c>
      <c r="F102" s="150">
        <f t="shared" si="5"/>
        <v>3.237064365331306</v>
      </c>
      <c r="G102" s="155"/>
    </row>
    <row r="103" spans="1:7" ht="15" customHeight="1">
      <c r="A103" s="141">
        <v>13</v>
      </c>
      <c r="B103" s="161" t="s">
        <v>352</v>
      </c>
      <c r="C103" s="146">
        <v>5738327</v>
      </c>
      <c r="D103" s="146">
        <v>6557428</v>
      </c>
      <c r="E103" s="146">
        <f t="shared" si="4"/>
        <v>819101</v>
      </c>
      <c r="F103" s="150">
        <f t="shared" si="5"/>
        <v>0.14274212675576</v>
      </c>
      <c r="G103" s="155"/>
    </row>
    <row r="104" spans="1:7" ht="15" customHeight="1">
      <c r="A104" s="141">
        <v>14</v>
      </c>
      <c r="B104" s="161" t="s">
        <v>353</v>
      </c>
      <c r="C104" s="146">
        <v>1290321</v>
      </c>
      <c r="D104" s="146">
        <v>1454820</v>
      </c>
      <c r="E104" s="146">
        <f t="shared" si="4"/>
        <v>164499</v>
      </c>
      <c r="F104" s="150">
        <f t="shared" si="5"/>
        <v>0.12748688117142942</v>
      </c>
      <c r="G104" s="155"/>
    </row>
    <row r="105" spans="1:7" ht="15" customHeight="1">
      <c r="A105" s="141">
        <v>15</v>
      </c>
      <c r="B105" s="161" t="s">
        <v>322</v>
      </c>
      <c r="C105" s="146">
        <v>4873094</v>
      </c>
      <c r="D105" s="146">
        <v>5743669</v>
      </c>
      <c r="E105" s="146">
        <f t="shared" si="4"/>
        <v>870575</v>
      </c>
      <c r="F105" s="150">
        <f t="shared" si="5"/>
        <v>0.17864933448852002</v>
      </c>
      <c r="G105" s="155"/>
    </row>
    <row r="106" spans="1:7" ht="15" customHeight="1">
      <c r="A106" s="141">
        <v>16</v>
      </c>
      <c r="B106" s="161" t="s">
        <v>354</v>
      </c>
      <c r="C106" s="146">
        <v>931530</v>
      </c>
      <c r="D106" s="146">
        <v>909372</v>
      </c>
      <c r="E106" s="146">
        <f t="shared" si="4"/>
        <v>-22158</v>
      </c>
      <c r="F106" s="150">
        <f t="shared" si="5"/>
        <v>-0.023786673537084153</v>
      </c>
      <c r="G106" s="155"/>
    </row>
    <row r="107" spans="1:7" ht="15" customHeight="1">
      <c r="A107" s="141">
        <v>17</v>
      </c>
      <c r="B107" s="161" t="s">
        <v>355</v>
      </c>
      <c r="C107" s="146">
        <v>15696528</v>
      </c>
      <c r="D107" s="146">
        <v>19404327</v>
      </c>
      <c r="E107" s="146">
        <f t="shared" si="4"/>
        <v>3707799</v>
      </c>
      <c r="F107" s="150">
        <f t="shared" si="5"/>
        <v>0.2362177801358364</v>
      </c>
      <c r="G107" s="155"/>
    </row>
    <row r="108" spans="1:7" ht="15" customHeight="1">
      <c r="A108" s="141">
        <v>18</v>
      </c>
      <c r="B108" s="161" t="s">
        <v>356</v>
      </c>
      <c r="C108" s="146">
        <v>0</v>
      </c>
      <c r="D108" s="146">
        <v>0</v>
      </c>
      <c r="E108" s="146">
        <f t="shared" si="4"/>
        <v>0</v>
      </c>
      <c r="F108" s="150">
        <f t="shared" si="5"/>
        <v>0</v>
      </c>
      <c r="G108" s="155"/>
    </row>
    <row r="109" spans="1:7" ht="15.75" customHeight="1">
      <c r="A109" s="141"/>
      <c r="B109" s="154" t="s">
        <v>357</v>
      </c>
      <c r="C109" s="147">
        <f>SUM(C91:C108)</f>
        <v>146723465</v>
      </c>
      <c r="D109" s="147">
        <f>SUM(D91:D108)</f>
        <v>173760866</v>
      </c>
      <c r="E109" s="147">
        <f t="shared" si="4"/>
        <v>27037401</v>
      </c>
      <c r="F109" s="148">
        <f t="shared" si="5"/>
        <v>0.18427455349422125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239</v>
      </c>
      <c r="B111" s="145" t="s">
        <v>358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359</v>
      </c>
      <c r="C112" s="146">
        <v>624327</v>
      </c>
      <c r="D112" s="146">
        <v>803512</v>
      </c>
      <c r="E112" s="146">
        <f aca="true" t="shared" si="6" ref="E112:E118">D112-C112</f>
        <v>179185</v>
      </c>
      <c r="F112" s="150">
        <f aca="true" t="shared" si="7" ref="F112:F118">IF(C112=0,0,E112/C112)</f>
        <v>0.2870050470346469</v>
      </c>
      <c r="G112" s="155"/>
    </row>
    <row r="113" spans="1:7" ht="15" customHeight="1">
      <c r="A113" s="141">
        <v>2</v>
      </c>
      <c r="B113" s="161" t="s">
        <v>360</v>
      </c>
      <c r="C113" s="146">
        <v>4889391</v>
      </c>
      <c r="D113" s="146">
        <v>5122664</v>
      </c>
      <c r="E113" s="146">
        <f t="shared" si="6"/>
        <v>233273</v>
      </c>
      <c r="F113" s="150">
        <f t="shared" si="7"/>
        <v>0.047710031781054124</v>
      </c>
      <c r="G113" s="155"/>
    </row>
    <row r="114" spans="1:7" ht="15" customHeight="1">
      <c r="A114" s="141">
        <v>3</v>
      </c>
      <c r="B114" s="161" t="s">
        <v>361</v>
      </c>
      <c r="C114" s="146">
        <v>1761401</v>
      </c>
      <c r="D114" s="146">
        <v>2538730</v>
      </c>
      <c r="E114" s="146">
        <f t="shared" si="6"/>
        <v>777329</v>
      </c>
      <c r="F114" s="150">
        <f t="shared" si="7"/>
        <v>0.4413129094397017</v>
      </c>
      <c r="G114" s="155"/>
    </row>
    <row r="115" spans="1:7" ht="15" customHeight="1">
      <c r="A115" s="141">
        <v>4</v>
      </c>
      <c r="B115" s="161" t="s">
        <v>362</v>
      </c>
      <c r="C115" s="146">
        <v>2560699</v>
      </c>
      <c r="D115" s="146">
        <v>2437846</v>
      </c>
      <c r="E115" s="146">
        <f t="shared" si="6"/>
        <v>-122853</v>
      </c>
      <c r="F115" s="150">
        <f t="shared" si="7"/>
        <v>-0.047976353331648895</v>
      </c>
      <c r="G115" s="155"/>
    </row>
    <row r="116" spans="1:7" ht="15" customHeight="1">
      <c r="A116" s="141">
        <v>5</v>
      </c>
      <c r="B116" s="161" t="s">
        <v>363</v>
      </c>
      <c r="C116" s="146">
        <v>0</v>
      </c>
      <c r="D116" s="146">
        <v>647010</v>
      </c>
      <c r="E116" s="146">
        <f t="shared" si="6"/>
        <v>647010</v>
      </c>
      <c r="F116" s="150">
        <f t="shared" si="7"/>
        <v>0</v>
      </c>
      <c r="G116" s="155"/>
    </row>
    <row r="117" spans="1:7" ht="15" customHeight="1">
      <c r="A117" s="141">
        <v>6</v>
      </c>
      <c r="B117" s="161" t="s">
        <v>364</v>
      </c>
      <c r="C117" s="146">
        <v>0</v>
      </c>
      <c r="D117" s="146">
        <v>0</v>
      </c>
      <c r="E117" s="146">
        <f t="shared" si="6"/>
        <v>0</v>
      </c>
      <c r="F117" s="150">
        <f t="shared" si="7"/>
        <v>0</v>
      </c>
      <c r="G117" s="155"/>
    </row>
    <row r="118" spans="1:7" ht="15.75" customHeight="1">
      <c r="A118" s="141"/>
      <c r="B118" s="154" t="s">
        <v>365</v>
      </c>
      <c r="C118" s="147">
        <f>SUM(C112:C117)</f>
        <v>9835818</v>
      </c>
      <c r="D118" s="147">
        <f>SUM(D112:D117)</f>
        <v>11549762</v>
      </c>
      <c r="E118" s="147">
        <f t="shared" si="6"/>
        <v>1713944</v>
      </c>
      <c r="F118" s="148">
        <f t="shared" si="7"/>
        <v>0.17425535934072794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256</v>
      </c>
      <c r="B120" s="145" t="s">
        <v>366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367</v>
      </c>
      <c r="C121" s="146">
        <v>23284777</v>
      </c>
      <c r="D121" s="146">
        <v>24838097</v>
      </c>
      <c r="E121" s="146">
        <f aca="true" t="shared" si="8" ref="E121:E155">D121-C121</f>
        <v>1553320</v>
      </c>
      <c r="F121" s="150">
        <f aca="true" t="shared" si="9" ref="F121:F155">IF(C121=0,0,E121/C121)</f>
        <v>0.06670967903192716</v>
      </c>
      <c r="G121" s="155"/>
    </row>
    <row r="122" spans="1:7" ht="15" customHeight="1">
      <c r="A122" s="141">
        <v>2</v>
      </c>
      <c r="B122" s="161" t="s">
        <v>368</v>
      </c>
      <c r="C122" s="146">
        <v>1862155</v>
      </c>
      <c r="D122" s="146">
        <v>1836024</v>
      </c>
      <c r="E122" s="146">
        <f t="shared" si="8"/>
        <v>-26131</v>
      </c>
      <c r="F122" s="150">
        <f t="shared" si="9"/>
        <v>-0.014032666453651817</v>
      </c>
      <c r="G122" s="155"/>
    </row>
    <row r="123" spans="1:7" ht="15" customHeight="1">
      <c r="A123" s="141">
        <v>3</v>
      </c>
      <c r="B123" s="161" t="s">
        <v>369</v>
      </c>
      <c r="C123" s="146">
        <v>1254342</v>
      </c>
      <c r="D123" s="146">
        <v>1073593</v>
      </c>
      <c r="E123" s="146">
        <f t="shared" si="8"/>
        <v>-180749</v>
      </c>
      <c r="F123" s="150">
        <f t="shared" si="9"/>
        <v>-0.14409865889845033</v>
      </c>
      <c r="G123" s="155"/>
    </row>
    <row r="124" spans="1:7" ht="15" customHeight="1">
      <c r="A124" s="141">
        <v>4</v>
      </c>
      <c r="B124" s="161" t="s">
        <v>370</v>
      </c>
      <c r="C124" s="146">
        <v>0</v>
      </c>
      <c r="D124" s="146">
        <v>0</v>
      </c>
      <c r="E124" s="146">
        <f t="shared" si="8"/>
        <v>0</v>
      </c>
      <c r="F124" s="150">
        <f t="shared" si="9"/>
        <v>0</v>
      </c>
      <c r="G124" s="155"/>
    </row>
    <row r="125" spans="1:7" ht="15" customHeight="1">
      <c r="A125" s="141">
        <v>5</v>
      </c>
      <c r="B125" s="161" t="s">
        <v>371</v>
      </c>
      <c r="C125" s="146">
        <v>3607796</v>
      </c>
      <c r="D125" s="146">
        <v>3684015</v>
      </c>
      <c r="E125" s="146">
        <f t="shared" si="8"/>
        <v>76219</v>
      </c>
      <c r="F125" s="150">
        <f t="shared" si="9"/>
        <v>0.021126194496584618</v>
      </c>
      <c r="G125" s="155"/>
    </row>
    <row r="126" spans="1:7" ht="15" customHeight="1">
      <c r="A126" s="141">
        <v>6</v>
      </c>
      <c r="B126" s="161" t="s">
        <v>372</v>
      </c>
      <c r="C126" s="146">
        <v>493386</v>
      </c>
      <c r="D126" s="146">
        <v>538845</v>
      </c>
      <c r="E126" s="146">
        <f t="shared" si="8"/>
        <v>45459</v>
      </c>
      <c r="F126" s="150">
        <f t="shared" si="9"/>
        <v>0.09213678539723462</v>
      </c>
      <c r="G126" s="155"/>
    </row>
    <row r="127" spans="1:7" ht="15" customHeight="1">
      <c r="A127" s="141">
        <v>7</v>
      </c>
      <c r="B127" s="161" t="s">
        <v>373</v>
      </c>
      <c r="C127" s="146">
        <v>1472571</v>
      </c>
      <c r="D127" s="146">
        <v>1140174</v>
      </c>
      <c r="E127" s="146">
        <f t="shared" si="8"/>
        <v>-332397</v>
      </c>
      <c r="F127" s="150">
        <f t="shared" si="9"/>
        <v>-0.22572561866286922</v>
      </c>
      <c r="G127" s="155"/>
    </row>
    <row r="128" spans="1:7" ht="15" customHeight="1">
      <c r="A128" s="141">
        <v>8</v>
      </c>
      <c r="B128" s="161" t="s">
        <v>374</v>
      </c>
      <c r="C128" s="146">
        <v>246263</v>
      </c>
      <c r="D128" s="146">
        <v>461903</v>
      </c>
      <c r="E128" s="146">
        <f t="shared" si="8"/>
        <v>215640</v>
      </c>
      <c r="F128" s="150">
        <f t="shared" si="9"/>
        <v>0.8756492043059656</v>
      </c>
      <c r="G128" s="155"/>
    </row>
    <row r="129" spans="1:7" ht="15" customHeight="1">
      <c r="A129" s="141">
        <v>9</v>
      </c>
      <c r="B129" s="161" t="s">
        <v>375</v>
      </c>
      <c r="C129" s="146">
        <v>1169226</v>
      </c>
      <c r="D129" s="146">
        <v>1198375</v>
      </c>
      <c r="E129" s="146">
        <f t="shared" si="8"/>
        <v>29149</v>
      </c>
      <c r="F129" s="150">
        <f t="shared" si="9"/>
        <v>0.024930167478314714</v>
      </c>
      <c r="G129" s="155"/>
    </row>
    <row r="130" spans="1:7" ht="15" customHeight="1">
      <c r="A130" s="141">
        <v>10</v>
      </c>
      <c r="B130" s="161" t="s">
        <v>376</v>
      </c>
      <c r="C130" s="146">
        <v>6729184</v>
      </c>
      <c r="D130" s="146">
        <v>6742835</v>
      </c>
      <c r="E130" s="146">
        <f t="shared" si="8"/>
        <v>13651</v>
      </c>
      <c r="F130" s="150">
        <f t="shared" si="9"/>
        <v>0.0020286263535073496</v>
      </c>
      <c r="G130" s="155"/>
    </row>
    <row r="131" spans="1:7" ht="15" customHeight="1">
      <c r="A131" s="141">
        <v>11</v>
      </c>
      <c r="B131" s="161" t="s">
        <v>377</v>
      </c>
      <c r="C131" s="146">
        <v>3497260</v>
      </c>
      <c r="D131" s="146">
        <v>3641754</v>
      </c>
      <c r="E131" s="146">
        <f t="shared" si="8"/>
        <v>144494</v>
      </c>
      <c r="F131" s="150">
        <f t="shared" si="9"/>
        <v>0.04131634479564002</v>
      </c>
      <c r="G131" s="155"/>
    </row>
    <row r="132" spans="1:7" ht="15" customHeight="1">
      <c r="A132" s="141">
        <v>12</v>
      </c>
      <c r="B132" s="161" t="s">
        <v>378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>
      <c r="A133" s="141">
        <v>13</v>
      </c>
      <c r="B133" s="161" t="s">
        <v>379</v>
      </c>
      <c r="C133" s="146">
        <v>1378786</v>
      </c>
      <c r="D133" s="146">
        <v>1469938</v>
      </c>
      <c r="E133" s="146">
        <f t="shared" si="8"/>
        <v>91152</v>
      </c>
      <c r="F133" s="150">
        <f t="shared" si="9"/>
        <v>0.06611033184264999</v>
      </c>
      <c r="G133" s="155"/>
    </row>
    <row r="134" spans="1:7" ht="15" customHeight="1">
      <c r="A134" s="141">
        <v>14</v>
      </c>
      <c r="B134" s="161" t="s">
        <v>380</v>
      </c>
      <c r="C134" s="146">
        <v>37517</v>
      </c>
      <c r="D134" s="146">
        <v>43080</v>
      </c>
      <c r="E134" s="146">
        <f t="shared" si="8"/>
        <v>5563</v>
      </c>
      <c r="F134" s="150">
        <f t="shared" si="9"/>
        <v>0.1482794466508516</v>
      </c>
      <c r="G134" s="155"/>
    </row>
    <row r="135" spans="1:7" ht="15" customHeight="1">
      <c r="A135" s="141">
        <v>15</v>
      </c>
      <c r="B135" s="161" t="s">
        <v>381</v>
      </c>
      <c r="C135" s="146">
        <v>423108</v>
      </c>
      <c r="D135" s="146">
        <v>466212</v>
      </c>
      <c r="E135" s="146">
        <f t="shared" si="8"/>
        <v>43104</v>
      </c>
      <c r="F135" s="150">
        <f t="shared" si="9"/>
        <v>0.10187469865849853</v>
      </c>
      <c r="G135" s="155"/>
    </row>
    <row r="136" spans="1:7" ht="15" customHeight="1">
      <c r="A136" s="141">
        <v>16</v>
      </c>
      <c r="B136" s="161" t="s">
        <v>382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>
      <c r="A137" s="141">
        <v>17</v>
      </c>
      <c r="B137" s="161" t="s">
        <v>383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384</v>
      </c>
      <c r="C138" s="146">
        <v>2484536</v>
      </c>
      <c r="D138" s="146">
        <v>2458587</v>
      </c>
      <c r="E138" s="146">
        <f t="shared" si="8"/>
        <v>-25949</v>
      </c>
      <c r="F138" s="150">
        <f t="shared" si="9"/>
        <v>-0.010444203666197633</v>
      </c>
      <c r="G138" s="155"/>
    </row>
    <row r="139" spans="1:7" ht="15" customHeight="1">
      <c r="A139" s="141">
        <v>19</v>
      </c>
      <c r="B139" s="161" t="s">
        <v>385</v>
      </c>
      <c r="C139" s="146">
        <v>362981</v>
      </c>
      <c r="D139" s="146">
        <v>367609</v>
      </c>
      <c r="E139" s="146">
        <f t="shared" si="8"/>
        <v>4628</v>
      </c>
      <c r="F139" s="150">
        <f t="shared" si="9"/>
        <v>0.012749978649020197</v>
      </c>
      <c r="G139" s="155"/>
    </row>
    <row r="140" spans="1:7" ht="15" customHeight="1">
      <c r="A140" s="141">
        <v>20</v>
      </c>
      <c r="B140" s="161" t="s">
        <v>386</v>
      </c>
      <c r="C140" s="146">
        <v>387783</v>
      </c>
      <c r="D140" s="146">
        <v>376576</v>
      </c>
      <c r="E140" s="146">
        <f t="shared" si="8"/>
        <v>-11207</v>
      </c>
      <c r="F140" s="150">
        <f t="shared" si="9"/>
        <v>-0.028900183865718715</v>
      </c>
      <c r="G140" s="155"/>
    </row>
    <row r="141" spans="1:7" ht="15" customHeight="1">
      <c r="A141" s="141">
        <v>21</v>
      </c>
      <c r="B141" s="161" t="s">
        <v>387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388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>
      <c r="A143" s="141">
        <v>23</v>
      </c>
      <c r="B143" s="161" t="s">
        <v>389</v>
      </c>
      <c r="C143" s="146">
        <v>775984</v>
      </c>
      <c r="D143" s="146">
        <v>890033</v>
      </c>
      <c r="E143" s="146">
        <f t="shared" si="8"/>
        <v>114049</v>
      </c>
      <c r="F143" s="150">
        <f t="shared" si="9"/>
        <v>0.14697339120394234</v>
      </c>
      <c r="G143" s="155"/>
    </row>
    <row r="144" spans="1:7" ht="15" customHeight="1">
      <c r="A144" s="141">
        <v>24</v>
      </c>
      <c r="B144" s="161" t="s">
        <v>390</v>
      </c>
      <c r="C144" s="146">
        <v>12448824</v>
      </c>
      <c r="D144" s="146">
        <v>12795817</v>
      </c>
      <c r="E144" s="146">
        <f t="shared" si="8"/>
        <v>346993</v>
      </c>
      <c r="F144" s="150">
        <f t="shared" si="9"/>
        <v>0.027873556570484088</v>
      </c>
      <c r="G144" s="155"/>
    </row>
    <row r="145" spans="1:7" ht="15" customHeight="1">
      <c r="A145" s="141">
        <v>25</v>
      </c>
      <c r="B145" s="161" t="s">
        <v>391</v>
      </c>
      <c r="C145" s="146">
        <v>436264</v>
      </c>
      <c r="D145" s="146">
        <v>450428</v>
      </c>
      <c r="E145" s="146">
        <f t="shared" si="8"/>
        <v>14164</v>
      </c>
      <c r="F145" s="150">
        <f t="shared" si="9"/>
        <v>0.0324665798690701</v>
      </c>
      <c r="G145" s="155"/>
    </row>
    <row r="146" spans="1:7" ht="15" customHeight="1">
      <c r="A146" s="141">
        <v>26</v>
      </c>
      <c r="B146" s="161" t="s">
        <v>392</v>
      </c>
      <c r="C146" s="146">
        <v>455515</v>
      </c>
      <c r="D146" s="146">
        <v>480400</v>
      </c>
      <c r="E146" s="146">
        <f t="shared" si="8"/>
        <v>24885</v>
      </c>
      <c r="F146" s="150">
        <f t="shared" si="9"/>
        <v>0.054630473200662985</v>
      </c>
      <c r="G146" s="155"/>
    </row>
    <row r="147" spans="1:7" ht="15" customHeight="1">
      <c r="A147" s="141">
        <v>27</v>
      </c>
      <c r="B147" s="161" t="s">
        <v>393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394</v>
      </c>
      <c r="C148" s="146">
        <v>1120696</v>
      </c>
      <c r="D148" s="146">
        <v>1169057</v>
      </c>
      <c r="E148" s="146">
        <f t="shared" si="8"/>
        <v>48361</v>
      </c>
      <c r="F148" s="150">
        <f t="shared" si="9"/>
        <v>0.043152647997315954</v>
      </c>
      <c r="G148" s="155"/>
    </row>
    <row r="149" spans="1:7" ht="15" customHeight="1">
      <c r="A149" s="141">
        <v>29</v>
      </c>
      <c r="B149" s="161" t="s">
        <v>395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>
      <c r="A150" s="141">
        <v>30</v>
      </c>
      <c r="B150" s="161" t="s">
        <v>396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397</v>
      </c>
      <c r="C151" s="146">
        <v>14333438</v>
      </c>
      <c r="D151" s="146">
        <v>12596449</v>
      </c>
      <c r="E151" s="146">
        <f t="shared" si="8"/>
        <v>-1736989</v>
      </c>
      <c r="F151" s="150">
        <f t="shared" si="9"/>
        <v>-0.12118439414186603</v>
      </c>
      <c r="G151" s="155"/>
    </row>
    <row r="152" spans="1:7" ht="15" customHeight="1">
      <c r="A152" s="141">
        <v>32</v>
      </c>
      <c r="B152" s="161" t="s">
        <v>398</v>
      </c>
      <c r="C152" s="146">
        <v>948735</v>
      </c>
      <c r="D152" s="146">
        <v>1082831</v>
      </c>
      <c r="E152" s="146">
        <f t="shared" si="8"/>
        <v>134096</v>
      </c>
      <c r="F152" s="150">
        <f t="shared" si="9"/>
        <v>0.1413418920984258</v>
      </c>
      <c r="G152" s="155"/>
    </row>
    <row r="153" spans="1:7" ht="15" customHeight="1">
      <c r="A153" s="141">
        <v>33</v>
      </c>
      <c r="B153" s="161" t="s">
        <v>399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>
      <c r="A154" s="141">
        <v>34</v>
      </c>
      <c r="B154" s="161" t="s">
        <v>400</v>
      </c>
      <c r="C154" s="146">
        <v>1514896</v>
      </c>
      <c r="D154" s="146">
        <v>2853530</v>
      </c>
      <c r="E154" s="146">
        <f t="shared" si="8"/>
        <v>1338634</v>
      </c>
      <c r="F154" s="150">
        <f t="shared" si="9"/>
        <v>0.8836474583073689</v>
      </c>
      <c r="G154" s="155"/>
    </row>
    <row r="155" spans="1:7" ht="15.75" customHeight="1">
      <c r="A155" s="141"/>
      <c r="B155" s="154" t="s">
        <v>401</v>
      </c>
      <c r="C155" s="147">
        <f>SUM(C121:C154)</f>
        <v>80726023</v>
      </c>
      <c r="D155" s="147">
        <f>SUM(D121:D154)</f>
        <v>82656162</v>
      </c>
      <c r="E155" s="147">
        <f t="shared" si="8"/>
        <v>1930139</v>
      </c>
      <c r="F155" s="148">
        <f t="shared" si="9"/>
        <v>0.023909749647892352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286</v>
      </c>
      <c r="B157" s="145" t="s">
        <v>402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403</v>
      </c>
      <c r="C158" s="146">
        <v>35409812</v>
      </c>
      <c r="D158" s="146">
        <v>38520770</v>
      </c>
      <c r="E158" s="146">
        <f aca="true" t="shared" si="10" ref="E158:E171">D158-C158</f>
        <v>3110958</v>
      </c>
      <c r="F158" s="150">
        <f aca="true" t="shared" si="11" ref="F158:F171">IF(C158=0,0,E158/C158)</f>
        <v>0.08785581804275042</v>
      </c>
      <c r="G158" s="155"/>
    </row>
    <row r="159" spans="1:7" ht="15" customHeight="1">
      <c r="A159" s="141">
        <v>2</v>
      </c>
      <c r="B159" s="161" t="s">
        <v>404</v>
      </c>
      <c r="C159" s="146">
        <v>8224063</v>
      </c>
      <c r="D159" s="146">
        <v>7371651</v>
      </c>
      <c r="E159" s="146">
        <f t="shared" si="10"/>
        <v>-852412</v>
      </c>
      <c r="F159" s="150">
        <f t="shared" si="11"/>
        <v>-0.10364852506601664</v>
      </c>
      <c r="G159" s="155"/>
    </row>
    <row r="160" spans="1:7" ht="15" customHeight="1">
      <c r="A160" s="141">
        <v>3</v>
      </c>
      <c r="B160" s="161" t="s">
        <v>405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>
      <c r="A161" s="141">
        <v>4</v>
      </c>
      <c r="B161" s="161" t="s">
        <v>406</v>
      </c>
      <c r="C161" s="146">
        <v>2245110</v>
      </c>
      <c r="D161" s="146">
        <v>7741565</v>
      </c>
      <c r="E161" s="146">
        <f t="shared" si="10"/>
        <v>5496455</v>
      </c>
      <c r="F161" s="150">
        <f t="shared" si="11"/>
        <v>2.4481896209985257</v>
      </c>
      <c r="G161" s="155"/>
    </row>
    <row r="162" spans="1:7" ht="15" customHeight="1">
      <c r="A162" s="141">
        <v>5</v>
      </c>
      <c r="B162" s="161" t="s">
        <v>407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>
      <c r="A163" s="141">
        <v>6</v>
      </c>
      <c r="B163" s="161" t="s">
        <v>408</v>
      </c>
      <c r="C163" s="146">
        <v>3116162</v>
      </c>
      <c r="D163" s="146">
        <v>3219892</v>
      </c>
      <c r="E163" s="146">
        <f t="shared" si="10"/>
        <v>103730</v>
      </c>
      <c r="F163" s="150">
        <f t="shared" si="11"/>
        <v>0.03328774306342225</v>
      </c>
      <c r="G163" s="155"/>
    </row>
    <row r="164" spans="1:7" ht="15" customHeight="1">
      <c r="A164" s="141">
        <v>7</v>
      </c>
      <c r="B164" s="161" t="s">
        <v>409</v>
      </c>
      <c r="C164" s="146">
        <v>1067511</v>
      </c>
      <c r="D164" s="146">
        <v>1081209</v>
      </c>
      <c r="E164" s="146">
        <f t="shared" si="10"/>
        <v>13698</v>
      </c>
      <c r="F164" s="150">
        <f t="shared" si="11"/>
        <v>0.01283171789330508</v>
      </c>
      <c r="G164" s="155"/>
    </row>
    <row r="165" spans="1:7" ht="15" customHeight="1">
      <c r="A165" s="141">
        <v>8</v>
      </c>
      <c r="B165" s="161" t="s">
        <v>410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>
      <c r="A166" s="141">
        <v>9</v>
      </c>
      <c r="B166" s="161" t="s">
        <v>411</v>
      </c>
      <c r="C166" s="146">
        <v>2077367</v>
      </c>
      <c r="D166" s="146">
        <v>2076605</v>
      </c>
      <c r="E166" s="146">
        <f t="shared" si="10"/>
        <v>-762</v>
      </c>
      <c r="F166" s="150">
        <f t="shared" si="11"/>
        <v>-0.0003668104865437835</v>
      </c>
      <c r="G166" s="155"/>
    </row>
    <row r="167" spans="1:7" ht="15" customHeight="1">
      <c r="A167" s="141">
        <v>10</v>
      </c>
      <c r="B167" s="161" t="s">
        <v>412</v>
      </c>
      <c r="C167" s="146">
        <v>5733632</v>
      </c>
      <c r="D167" s="146">
        <v>5885892</v>
      </c>
      <c r="E167" s="146">
        <f t="shared" si="10"/>
        <v>152260</v>
      </c>
      <c r="F167" s="150">
        <f t="shared" si="11"/>
        <v>0.02655559338304237</v>
      </c>
      <c r="G167" s="155"/>
    </row>
    <row r="168" spans="1:7" ht="15" customHeight="1">
      <c r="A168" s="141">
        <v>11</v>
      </c>
      <c r="B168" s="161" t="s">
        <v>413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414</v>
      </c>
      <c r="C169" s="146">
        <v>7345989</v>
      </c>
      <c r="D169" s="146">
        <v>7927594</v>
      </c>
      <c r="E169" s="146">
        <f t="shared" si="10"/>
        <v>581605</v>
      </c>
      <c r="F169" s="150">
        <f t="shared" si="11"/>
        <v>0.07917313788517788</v>
      </c>
      <c r="G169" s="155"/>
    </row>
    <row r="170" spans="1:7" ht="15" customHeight="1">
      <c r="A170" s="141">
        <v>13</v>
      </c>
      <c r="B170" s="161" t="s">
        <v>415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>
      <c r="A171" s="141"/>
      <c r="B171" s="154" t="s">
        <v>416</v>
      </c>
      <c r="C171" s="147">
        <f>SUM(C158:C170)</f>
        <v>65219646</v>
      </c>
      <c r="D171" s="147">
        <f>SUM(D158:D170)</f>
        <v>73825178</v>
      </c>
      <c r="E171" s="147">
        <f t="shared" si="10"/>
        <v>8605532</v>
      </c>
      <c r="F171" s="148">
        <f t="shared" si="11"/>
        <v>0.13194692899743737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291</v>
      </c>
      <c r="B173" s="145" t="s">
        <v>417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418</v>
      </c>
      <c r="C174" s="146">
        <v>238368</v>
      </c>
      <c r="D174" s="146">
        <v>195032</v>
      </c>
      <c r="E174" s="146">
        <f>D174-C174</f>
        <v>-43336</v>
      </c>
      <c r="F174" s="150">
        <f>IF(C174=0,0,E174/C174)</f>
        <v>-0.18180292656732447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419</v>
      </c>
      <c r="C176" s="147">
        <f>+C174+C171+C155+C118+C109</f>
        <v>302743320</v>
      </c>
      <c r="D176" s="147">
        <f>+D174+D171+D155+D118+D109</f>
        <v>341987000</v>
      </c>
      <c r="E176" s="147">
        <f>D176-C176</f>
        <v>39243680</v>
      </c>
      <c r="F176" s="148">
        <f>IF(C176=0,0,E176/C176)</f>
        <v>0.12962690638392946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420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/>
  <headerFooter alignWithMargins="0">
    <oddHeader>&amp;LOFFICE OF HEALTH CARE ACCESS&amp;CTWELVE MONTHS ACTUAL FILING&amp;RSAINT VINCENT`S MEDICAL CENTER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A1" sqref="A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115</v>
      </c>
      <c r="C1" s="3"/>
      <c r="D1" s="3"/>
      <c r="E1" s="4"/>
      <c r="F1" s="5"/>
    </row>
    <row r="2" spans="1:6" ht="24" customHeight="1">
      <c r="A2" s="35"/>
      <c r="B2" s="3" t="s">
        <v>116</v>
      </c>
      <c r="C2" s="3"/>
      <c r="D2" s="3"/>
      <c r="E2" s="4"/>
      <c r="F2" s="5"/>
    </row>
    <row r="3" spans="1:6" ht="24" customHeight="1">
      <c r="A3" s="35"/>
      <c r="B3" s="3" t="s">
        <v>117</v>
      </c>
      <c r="C3" s="3"/>
      <c r="D3" s="3"/>
      <c r="E3" s="4"/>
      <c r="F3" s="5"/>
    </row>
    <row r="4" spans="1:6" ht="24" customHeight="1">
      <c r="A4" s="35"/>
      <c r="B4" s="3" t="s">
        <v>421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125</v>
      </c>
      <c r="D7" s="11" t="s">
        <v>125</v>
      </c>
      <c r="E7" s="11" t="s">
        <v>125</v>
      </c>
      <c r="F7" s="11"/>
    </row>
    <row r="8" spans="1:6" ht="24" customHeight="1">
      <c r="A8" s="13" t="s">
        <v>123</v>
      </c>
      <c r="B8" s="16" t="s">
        <v>124</v>
      </c>
      <c r="C8" s="13" t="s">
        <v>422</v>
      </c>
      <c r="D8" s="13" t="s">
        <v>119</v>
      </c>
      <c r="E8" s="13" t="s">
        <v>120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129</v>
      </c>
      <c r="B10" s="30" t="s">
        <v>423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190</v>
      </c>
      <c r="C11" s="51">
        <v>288808279</v>
      </c>
      <c r="D11" s="164">
        <v>309364455</v>
      </c>
      <c r="E11" s="51">
        <v>341788581</v>
      </c>
      <c r="F11" s="13"/>
    </row>
    <row r="12" spans="1:6" ht="24" customHeight="1">
      <c r="A12" s="44">
        <v>2</v>
      </c>
      <c r="B12" s="165" t="s">
        <v>424</v>
      </c>
      <c r="C12" s="49">
        <v>12926187</v>
      </c>
      <c r="D12" s="49">
        <v>13485455</v>
      </c>
      <c r="E12" s="49">
        <v>11020419</v>
      </c>
      <c r="F12" s="13"/>
    </row>
    <row r="13" spans="1:6" ht="24" customHeight="1">
      <c r="A13" s="44">
        <v>3</v>
      </c>
      <c r="B13" s="48" t="s">
        <v>193</v>
      </c>
      <c r="C13" s="51">
        <f>+C11+C12</f>
        <v>301734466</v>
      </c>
      <c r="D13" s="51">
        <f>+D11+D12</f>
        <v>322849910</v>
      </c>
      <c r="E13" s="51">
        <f>+E11+E12</f>
        <v>352809000</v>
      </c>
      <c r="F13" s="13"/>
    </row>
    <row r="14" spans="1:6" ht="24" customHeight="1">
      <c r="A14" s="44">
        <v>4</v>
      </c>
      <c r="B14" s="166" t="s">
        <v>204</v>
      </c>
      <c r="C14" s="49">
        <v>287076522</v>
      </c>
      <c r="D14" s="49">
        <v>302743320</v>
      </c>
      <c r="E14" s="49">
        <v>341987000</v>
      </c>
      <c r="F14" s="13"/>
    </row>
    <row r="15" spans="1:6" ht="24" customHeight="1">
      <c r="A15" s="44">
        <v>5</v>
      </c>
      <c r="B15" s="48" t="s">
        <v>205</v>
      </c>
      <c r="C15" s="51">
        <f>+C13-C14</f>
        <v>14657944</v>
      </c>
      <c r="D15" s="51">
        <f>+D13-D14</f>
        <v>20106590</v>
      </c>
      <c r="E15" s="51">
        <f>+E13-E14</f>
        <v>10822000</v>
      </c>
      <c r="F15" s="13"/>
    </row>
    <row r="16" spans="1:6" ht="24" customHeight="1">
      <c r="A16" s="44">
        <v>6</v>
      </c>
      <c r="B16" s="166" t="s">
        <v>210</v>
      </c>
      <c r="C16" s="49">
        <v>33968887</v>
      </c>
      <c r="D16" s="49">
        <v>-34584733</v>
      </c>
      <c r="E16" s="49">
        <v>-3815000</v>
      </c>
      <c r="F16" s="13"/>
    </row>
    <row r="17" spans="1:6" ht="24" customHeight="1">
      <c r="A17" s="44">
        <v>7</v>
      </c>
      <c r="B17" s="45" t="s">
        <v>425</v>
      </c>
      <c r="C17" s="51">
        <f>C15+C16</f>
        <v>48626831</v>
      </c>
      <c r="D17" s="51">
        <f>D15+D16</f>
        <v>-14478143</v>
      </c>
      <c r="E17" s="51">
        <f>E15+E16</f>
        <v>7007000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141</v>
      </c>
      <c r="B19" s="30" t="s">
        <v>426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427</v>
      </c>
      <c r="C20" s="169">
        <f>IF(+C27=0,0,+C24/+C27)</f>
        <v>0.04366338277234901</v>
      </c>
      <c r="D20" s="169">
        <f>IF(+D27=0,0,+D24/+D27)</f>
        <v>0.0697503257564822</v>
      </c>
      <c r="E20" s="169">
        <f>IF(+E27=0,0,+E24/+E27)</f>
        <v>0.031009129096775303</v>
      </c>
      <c r="F20" s="13"/>
    </row>
    <row r="21" spans="1:6" ht="24" customHeight="1">
      <c r="A21" s="25">
        <v>2</v>
      </c>
      <c r="B21" s="48" t="s">
        <v>428</v>
      </c>
      <c r="C21" s="169">
        <f>IF(C27=0,0,+C26/C27)</f>
        <v>0.10118721393884916</v>
      </c>
      <c r="D21" s="169">
        <f>IF(D27=0,0,+D26/D27)</f>
        <v>-0.11997541069624237</v>
      </c>
      <c r="E21" s="169">
        <f>IF(E27=0,0,+E26/E27)</f>
        <v>-0.010931420024413028</v>
      </c>
      <c r="F21" s="13"/>
    </row>
    <row r="22" spans="1:6" ht="24" customHeight="1">
      <c r="A22" s="25">
        <v>3</v>
      </c>
      <c r="B22" s="48" t="s">
        <v>429</v>
      </c>
      <c r="C22" s="169">
        <f>IF(C27=0,0,+C28/C27)</f>
        <v>0.14485059671119818</v>
      </c>
      <c r="D22" s="169">
        <f>IF(D27=0,0,+D28/D27)</f>
        <v>-0.05022508493976017</v>
      </c>
      <c r="E22" s="169">
        <f>IF(E27=0,0,+E28/E27)</f>
        <v>0.020077709072362275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205</v>
      </c>
      <c r="C24" s="51">
        <f>+C15</f>
        <v>14657944</v>
      </c>
      <c r="D24" s="51">
        <f>+D15</f>
        <v>20106590</v>
      </c>
      <c r="E24" s="51">
        <f>+E15</f>
        <v>10822000</v>
      </c>
      <c r="F24" s="13"/>
    </row>
    <row r="25" spans="1:6" ht="24" customHeight="1">
      <c r="A25" s="21">
        <v>5</v>
      </c>
      <c r="B25" s="48" t="s">
        <v>193</v>
      </c>
      <c r="C25" s="51">
        <f>+C13</f>
        <v>301734466</v>
      </c>
      <c r="D25" s="51">
        <f>+D13</f>
        <v>322849910</v>
      </c>
      <c r="E25" s="51">
        <f>+E13</f>
        <v>352809000</v>
      </c>
      <c r="F25" s="13"/>
    </row>
    <row r="26" spans="1:6" ht="24" customHeight="1">
      <c r="A26" s="21">
        <v>6</v>
      </c>
      <c r="B26" s="48" t="s">
        <v>210</v>
      </c>
      <c r="C26" s="51">
        <f>+C16</f>
        <v>33968887</v>
      </c>
      <c r="D26" s="51">
        <f>+D16</f>
        <v>-34584733</v>
      </c>
      <c r="E26" s="51">
        <f>+E16</f>
        <v>-3815000</v>
      </c>
      <c r="F26" s="13"/>
    </row>
    <row r="27" spans="1:6" ht="24" customHeight="1">
      <c r="A27" s="21">
        <v>7</v>
      </c>
      <c r="B27" s="48" t="s">
        <v>430</v>
      </c>
      <c r="C27" s="51">
        <f>+C25+C26</f>
        <v>335703353</v>
      </c>
      <c r="D27" s="51">
        <f>+D25+D26</f>
        <v>288265177</v>
      </c>
      <c r="E27" s="51">
        <f>+E25+E26</f>
        <v>348994000</v>
      </c>
      <c r="F27" s="13"/>
    </row>
    <row r="28" spans="1:6" ht="24" customHeight="1">
      <c r="A28" s="21">
        <v>8</v>
      </c>
      <c r="B28" s="45" t="s">
        <v>425</v>
      </c>
      <c r="C28" s="51">
        <f>+C17</f>
        <v>48626831</v>
      </c>
      <c r="D28" s="51">
        <f>+D17</f>
        <v>-14478143</v>
      </c>
      <c r="E28" s="51">
        <f>+E17</f>
        <v>7007000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151</v>
      </c>
      <c r="B30" s="41" t="s">
        <v>431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432</v>
      </c>
      <c r="C31" s="51">
        <v>339903000</v>
      </c>
      <c r="D31" s="51">
        <v>334148000</v>
      </c>
      <c r="E31" s="51">
        <v>314991000</v>
      </c>
      <c r="F31" s="13"/>
    </row>
    <row r="32" spans="1:6" ht="24" customHeight="1">
      <c r="A32" s="25">
        <v>2</v>
      </c>
      <c r="B32" s="48" t="s">
        <v>433</v>
      </c>
      <c r="C32" s="51">
        <v>378665000</v>
      </c>
      <c r="D32" s="51">
        <v>380811000</v>
      </c>
      <c r="E32" s="51">
        <v>356510000</v>
      </c>
      <c r="F32" s="13"/>
    </row>
    <row r="33" spans="1:6" ht="24" customHeight="1">
      <c r="A33" s="25">
        <v>3</v>
      </c>
      <c r="B33" s="48" t="s">
        <v>434</v>
      </c>
      <c r="C33" s="51">
        <v>378665000</v>
      </c>
      <c r="D33" s="51">
        <f>+D32-C32</f>
        <v>2146000</v>
      </c>
      <c r="E33" s="51">
        <f>+E32-D32</f>
        <v>-24301000</v>
      </c>
      <c r="F33" s="5"/>
    </row>
    <row r="34" spans="1:6" ht="24" customHeight="1">
      <c r="A34" s="25">
        <v>4</v>
      </c>
      <c r="B34" s="48" t="s">
        <v>435</v>
      </c>
      <c r="C34" s="171">
        <v>0</v>
      </c>
      <c r="D34" s="171">
        <f>IF(C32=0,0,+D33/C32)</f>
        <v>0.00566727846513409</v>
      </c>
      <c r="E34" s="171">
        <f>IF(D32=0,0,+E33/D32)</f>
        <v>-0.06381380789945669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436</v>
      </c>
      <c r="B36" s="41" t="s">
        <v>437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438</v>
      </c>
      <c r="C38" s="172">
        <f>IF((C40+C41)=0,0,+C39/(C40+C41))</f>
        <v>0.45104565859892415</v>
      </c>
      <c r="D38" s="172">
        <f>IF((D40+D41)=0,0,+D39/(D40+D41))</f>
        <v>0.4139219165193397</v>
      </c>
      <c r="E38" s="172">
        <f>IF((E40+E41)=0,0,+E39/(E40+E41))</f>
        <v>0.3965697182632292</v>
      </c>
      <c r="F38" s="5"/>
    </row>
    <row r="39" spans="1:6" ht="24" customHeight="1">
      <c r="A39" s="21">
        <v>2</v>
      </c>
      <c r="B39" s="48" t="s">
        <v>439</v>
      </c>
      <c r="C39" s="51">
        <v>287076522</v>
      </c>
      <c r="D39" s="51">
        <v>302743318</v>
      </c>
      <c r="E39" s="23">
        <v>341987000</v>
      </c>
      <c r="F39" s="5"/>
    </row>
    <row r="40" spans="1:6" ht="24" customHeight="1">
      <c r="A40" s="21">
        <v>3</v>
      </c>
      <c r="B40" s="48" t="s">
        <v>440</v>
      </c>
      <c r="C40" s="51">
        <v>623542685</v>
      </c>
      <c r="D40" s="51">
        <v>717916546</v>
      </c>
      <c r="E40" s="23">
        <v>852498869</v>
      </c>
      <c r="F40" s="5"/>
    </row>
    <row r="41" spans="1:6" ht="24" customHeight="1">
      <c r="A41" s="21">
        <v>4</v>
      </c>
      <c r="B41" s="48" t="s">
        <v>441</v>
      </c>
      <c r="C41" s="51">
        <v>12926188</v>
      </c>
      <c r="D41" s="51">
        <v>13485455</v>
      </c>
      <c r="E41" s="23">
        <v>9864000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442</v>
      </c>
      <c r="C43" s="173">
        <f>IF(C38=0,0,IF((C46-C47)=0,0,((+C44-C45)/(C46-C47)/C38)))</f>
        <v>1.2231379111679912</v>
      </c>
      <c r="D43" s="173">
        <f>IF(D38=0,0,IF((D46-D47)=0,0,((+D44-D45)/(D46-D47)/D38)))</f>
        <v>1.2896051136059337</v>
      </c>
      <c r="E43" s="173">
        <f>IF(E38=0,0,IF((E46-E47)=0,0,((+E44-E45)/(E46-E47)/E38)))</f>
        <v>1.275839173709756</v>
      </c>
      <c r="F43" s="5"/>
    </row>
    <row r="44" spans="1:6" ht="24" customHeight="1">
      <c r="A44" s="21">
        <v>6</v>
      </c>
      <c r="B44" s="48" t="s">
        <v>443</v>
      </c>
      <c r="C44" s="51">
        <v>118882821</v>
      </c>
      <c r="D44" s="51">
        <v>128943739</v>
      </c>
      <c r="E44" s="23">
        <v>142224171</v>
      </c>
      <c r="F44" s="5"/>
    </row>
    <row r="45" spans="1:6" ht="24" customHeight="1">
      <c r="A45" s="21">
        <v>7</v>
      </c>
      <c r="B45" s="48" t="s">
        <v>444</v>
      </c>
      <c r="C45" s="51">
        <v>6220896</v>
      </c>
      <c r="D45" s="51">
        <v>3824672</v>
      </c>
      <c r="E45" s="23">
        <v>3052195</v>
      </c>
      <c r="F45" s="5"/>
    </row>
    <row r="46" spans="1:6" ht="24" customHeight="1">
      <c r="A46" s="21">
        <v>8</v>
      </c>
      <c r="B46" s="48" t="s">
        <v>445</v>
      </c>
      <c r="C46" s="51">
        <v>235514858</v>
      </c>
      <c r="D46" s="51">
        <v>268699815</v>
      </c>
      <c r="E46" s="23">
        <v>316158051</v>
      </c>
      <c r="F46" s="5"/>
    </row>
    <row r="47" spans="1:6" ht="24" customHeight="1">
      <c r="A47" s="21">
        <v>9</v>
      </c>
      <c r="B47" s="48" t="s">
        <v>446</v>
      </c>
      <c r="C47" s="51">
        <v>31302870</v>
      </c>
      <c r="D47" s="51">
        <v>34304823</v>
      </c>
      <c r="E47" s="174">
        <v>41092431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447</v>
      </c>
      <c r="C49" s="175">
        <f>IF(C38=0,0,IF(C51=0,0,(C50/C51)/C38))</f>
        <v>0.9143508631820468</v>
      </c>
      <c r="D49" s="175">
        <f>IF(D38=0,0,IF(D51=0,0,(D50/D51)/D38))</f>
        <v>0.9318263114709985</v>
      </c>
      <c r="E49" s="175">
        <f>IF(E38=0,0,IF(E51=0,0,(E50/E51)/E38))</f>
        <v>0.8862368225014176</v>
      </c>
      <c r="F49" s="7"/>
    </row>
    <row r="50" spans="1:6" ht="24" customHeight="1">
      <c r="A50" s="21">
        <v>11</v>
      </c>
      <c r="B50" s="48" t="s">
        <v>448</v>
      </c>
      <c r="C50" s="176">
        <v>129799665</v>
      </c>
      <c r="D50" s="176">
        <v>138576124</v>
      </c>
      <c r="E50" s="176">
        <v>145672141</v>
      </c>
      <c r="F50" s="11"/>
    </row>
    <row r="51" spans="1:6" ht="24" customHeight="1">
      <c r="A51" s="21">
        <v>12</v>
      </c>
      <c r="B51" s="48" t="s">
        <v>449</v>
      </c>
      <c r="C51" s="176">
        <v>314731481</v>
      </c>
      <c r="D51" s="176">
        <v>359281635</v>
      </c>
      <c r="E51" s="176">
        <v>414483421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450</v>
      </c>
      <c r="C53" s="175">
        <f>IF(C38=0,0,IF(C55=0,0,(C54/C55)/C38))</f>
        <v>0.6728124793914904</v>
      </c>
      <c r="D53" s="175">
        <f>IF(D38=0,0,IF(D55=0,0,(D54/D55)/D38))</f>
        <v>0.6469147971493527</v>
      </c>
      <c r="E53" s="175">
        <f>IF(E38=0,0,IF(E55=0,0,(E54/E55)/E38))</f>
        <v>0.7441924957682496</v>
      </c>
      <c r="F53" s="13"/>
    </row>
    <row r="54" spans="1:6" ht="24" customHeight="1">
      <c r="A54" s="21">
        <v>14</v>
      </c>
      <c r="B54" s="48" t="s">
        <v>451</v>
      </c>
      <c r="C54" s="176">
        <v>18610386</v>
      </c>
      <c r="D54" s="176">
        <v>19395154</v>
      </c>
      <c r="E54" s="176">
        <v>28439441</v>
      </c>
      <c r="F54" s="13"/>
    </row>
    <row r="55" spans="1:6" ht="24" customHeight="1">
      <c r="A55" s="21">
        <v>15</v>
      </c>
      <c r="B55" s="48" t="s">
        <v>452</v>
      </c>
      <c r="C55" s="176">
        <v>61325463</v>
      </c>
      <c r="D55" s="176">
        <v>72431541</v>
      </c>
      <c r="E55" s="176">
        <v>96364311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453</v>
      </c>
      <c r="C57" s="53">
        <f>+C60*C38</f>
        <v>12688862.92540777</v>
      </c>
      <c r="D57" s="53">
        <f>+D60*D38</f>
        <v>13269471.546804504</v>
      </c>
      <c r="E57" s="53">
        <f>+E60*E38</f>
        <v>15619939.745877441</v>
      </c>
      <c r="F57" s="13"/>
    </row>
    <row r="58" spans="1:6" ht="24" customHeight="1">
      <c r="A58" s="21">
        <v>17</v>
      </c>
      <c r="B58" s="48" t="s">
        <v>454</v>
      </c>
      <c r="C58" s="51">
        <v>5478066</v>
      </c>
      <c r="D58" s="51">
        <v>5784833</v>
      </c>
      <c r="E58" s="52">
        <v>8833000</v>
      </c>
      <c r="F58" s="28"/>
    </row>
    <row r="59" spans="1:6" ht="24" customHeight="1">
      <c r="A59" s="21">
        <v>18</v>
      </c>
      <c r="B59" s="48" t="s">
        <v>200</v>
      </c>
      <c r="C59" s="51">
        <v>22654037</v>
      </c>
      <c r="D59" s="51">
        <v>26273077</v>
      </c>
      <c r="E59" s="52">
        <v>30554626</v>
      </c>
      <c r="F59" s="28"/>
    </row>
    <row r="60" spans="1:6" ht="24" customHeight="1">
      <c r="A60" s="21">
        <v>19</v>
      </c>
      <c r="B60" s="48" t="s">
        <v>455</v>
      </c>
      <c r="C60" s="51">
        <v>28132103</v>
      </c>
      <c r="D60" s="51">
        <v>32057910</v>
      </c>
      <c r="E60" s="52">
        <v>39387626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456</v>
      </c>
      <c r="C62" s="178">
        <f>IF(C63=0,0,+C57/C63)</f>
        <v>0.04420028094602515</v>
      </c>
      <c r="D62" s="178">
        <f>IF(D63=0,0,+D57/D63)</f>
        <v>0.04383076605774831</v>
      </c>
      <c r="E62" s="178">
        <f>IF(E63=0,0,+E57/E63)</f>
        <v>0.04567407458727215</v>
      </c>
      <c r="F62" s="13"/>
    </row>
    <row r="63" spans="1:6" ht="24" customHeight="1">
      <c r="A63" s="21">
        <v>21</v>
      </c>
      <c r="B63" s="45" t="s">
        <v>439</v>
      </c>
      <c r="C63" s="176">
        <v>287076522</v>
      </c>
      <c r="D63" s="176">
        <v>302743318</v>
      </c>
      <c r="E63" s="176">
        <v>341987000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457</v>
      </c>
      <c r="B65" s="41" t="s">
        <v>458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459</v>
      </c>
      <c r="C67" s="179">
        <f>IF(C69=0,0,C68/C69)</f>
        <v>1.3122383916372076</v>
      </c>
      <c r="D67" s="179">
        <f>IF(D69=0,0,D68/D69)</f>
        <v>1.3741938044492072</v>
      </c>
      <c r="E67" s="179">
        <f>IF(E69=0,0,E68/E69)</f>
        <v>1.2642539682539682</v>
      </c>
      <c r="F67" s="28"/>
    </row>
    <row r="68" spans="1:6" ht="24" customHeight="1">
      <c r="A68" s="21">
        <v>2</v>
      </c>
      <c r="B68" s="48" t="s">
        <v>140</v>
      </c>
      <c r="C68" s="180">
        <v>60506000</v>
      </c>
      <c r="D68" s="180">
        <v>69247000</v>
      </c>
      <c r="E68" s="180">
        <v>69692000</v>
      </c>
      <c r="F68" s="28"/>
    </row>
    <row r="69" spans="1:6" ht="24" customHeight="1">
      <c r="A69" s="21">
        <v>3</v>
      </c>
      <c r="B69" s="48" t="s">
        <v>169</v>
      </c>
      <c r="C69" s="180">
        <v>46109000</v>
      </c>
      <c r="D69" s="180">
        <v>50391000</v>
      </c>
      <c r="E69" s="180">
        <v>55125000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460</v>
      </c>
      <c r="C71" s="181">
        <f>IF((C77/365)=0,0,+C74/(C77/365))</f>
        <v>16.81175107465339</v>
      </c>
      <c r="D71" s="181">
        <f>IF((D77/365)=0,0,+D74/(D77/365))</f>
        <v>18.186360883980544</v>
      </c>
      <c r="E71" s="181">
        <f>IF((E77/365)=0,0,+E74/(E77/365))</f>
        <v>20.76045509789429</v>
      </c>
      <c r="F71" s="28"/>
    </row>
    <row r="72" spans="1:6" ht="24" customHeight="1">
      <c r="A72" s="21">
        <v>5</v>
      </c>
      <c r="B72" s="22" t="s">
        <v>131</v>
      </c>
      <c r="C72" s="182">
        <v>3471000</v>
      </c>
      <c r="D72" s="182">
        <v>10785000</v>
      </c>
      <c r="E72" s="182">
        <v>10599000</v>
      </c>
      <c r="F72" s="28"/>
    </row>
    <row r="73" spans="1:6" ht="24" customHeight="1">
      <c r="A73" s="21">
        <v>6</v>
      </c>
      <c r="B73" s="183" t="s">
        <v>132</v>
      </c>
      <c r="C73" s="184">
        <v>9065000</v>
      </c>
      <c r="D73" s="184">
        <v>3463000</v>
      </c>
      <c r="E73" s="184">
        <v>7793000</v>
      </c>
      <c r="F73" s="28"/>
    </row>
    <row r="74" spans="1:6" ht="24" customHeight="1">
      <c r="A74" s="21">
        <v>7</v>
      </c>
      <c r="B74" s="48" t="s">
        <v>461</v>
      </c>
      <c r="C74" s="180">
        <f>+C72+C73</f>
        <v>12536000</v>
      </c>
      <c r="D74" s="180">
        <f>+D72+D73</f>
        <v>14248000</v>
      </c>
      <c r="E74" s="180">
        <f>+E72+E73</f>
        <v>18392000</v>
      </c>
      <c r="F74" s="28"/>
    </row>
    <row r="75" spans="1:6" ht="24" customHeight="1">
      <c r="A75" s="21">
        <v>8</v>
      </c>
      <c r="B75" s="48" t="s">
        <v>439</v>
      </c>
      <c r="C75" s="180">
        <f>+C14</f>
        <v>287076522</v>
      </c>
      <c r="D75" s="180">
        <f>+D14</f>
        <v>302743320</v>
      </c>
      <c r="E75" s="180">
        <f>+E14</f>
        <v>341987000</v>
      </c>
      <c r="F75" s="28"/>
    </row>
    <row r="76" spans="1:6" ht="24" customHeight="1">
      <c r="A76" s="21">
        <v>9</v>
      </c>
      <c r="B76" s="45" t="s">
        <v>462</v>
      </c>
      <c r="C76" s="180">
        <v>14907372</v>
      </c>
      <c r="D76" s="180">
        <v>16786166</v>
      </c>
      <c r="E76" s="180">
        <v>18628000</v>
      </c>
      <c r="F76" s="28"/>
    </row>
    <row r="77" spans="1:6" ht="24" customHeight="1">
      <c r="A77" s="21">
        <v>10</v>
      </c>
      <c r="B77" s="45" t="s">
        <v>463</v>
      </c>
      <c r="C77" s="180">
        <f>+C75-C76</f>
        <v>272169150</v>
      </c>
      <c r="D77" s="180">
        <f>+D75-D76</f>
        <v>285957154</v>
      </c>
      <c r="E77" s="180">
        <f>+E75-E76</f>
        <v>323359000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464</v>
      </c>
      <c r="C79" s="179">
        <f>IF((C84/365)=0,0,+C83/(C84/365))</f>
        <v>33.503714067698176</v>
      </c>
      <c r="D79" s="179">
        <f>IF((D84/365)=0,0,+D83/(D84/365))</f>
        <v>36.802692798046245</v>
      </c>
      <c r="E79" s="179">
        <f>IF((E84/365)=0,0,+E83/(E84/365))</f>
        <v>33.88590387108339</v>
      </c>
      <c r="F79" s="28"/>
    </row>
    <row r="80" spans="1:6" ht="24" customHeight="1">
      <c r="A80" s="21">
        <v>12</v>
      </c>
      <c r="B80" s="188" t="s">
        <v>465</v>
      </c>
      <c r="C80" s="189">
        <v>38101000</v>
      </c>
      <c r="D80" s="189">
        <v>40947000</v>
      </c>
      <c r="E80" s="189">
        <v>40833000</v>
      </c>
      <c r="F80" s="28"/>
    </row>
    <row r="81" spans="1:6" ht="24" customHeight="1">
      <c r="A81" s="21">
        <v>13</v>
      </c>
      <c r="B81" s="188" t="s">
        <v>136</v>
      </c>
      <c r="C81" s="190">
        <v>0</v>
      </c>
      <c r="D81" s="190">
        <v>0</v>
      </c>
      <c r="E81" s="190">
        <v>0</v>
      </c>
      <c r="F81" s="28"/>
    </row>
    <row r="82" spans="1:6" ht="24" customHeight="1">
      <c r="A82" s="21">
        <v>14</v>
      </c>
      <c r="B82" s="188" t="s">
        <v>164</v>
      </c>
      <c r="C82" s="190">
        <v>11591000</v>
      </c>
      <c r="D82" s="190">
        <v>9754000</v>
      </c>
      <c r="E82" s="190">
        <v>9102000</v>
      </c>
      <c r="F82" s="28"/>
    </row>
    <row r="83" spans="1:6" ht="33.75" customHeight="1">
      <c r="A83" s="21">
        <v>15</v>
      </c>
      <c r="B83" s="45" t="s">
        <v>466</v>
      </c>
      <c r="C83" s="191">
        <f>+C80+C81-C82</f>
        <v>26510000</v>
      </c>
      <c r="D83" s="191">
        <f>+D80+D81-D82</f>
        <v>31193000</v>
      </c>
      <c r="E83" s="191">
        <f>+E80+E81-E82</f>
        <v>31731000</v>
      </c>
      <c r="F83" s="28"/>
    </row>
    <row r="84" spans="1:6" ht="24" customHeight="1">
      <c r="A84" s="21">
        <v>16</v>
      </c>
      <c r="B84" s="48" t="s">
        <v>190</v>
      </c>
      <c r="C84" s="180">
        <f>+C11</f>
        <v>288808279</v>
      </c>
      <c r="D84" s="191">
        <f>+D11</f>
        <v>309364455</v>
      </c>
      <c r="E84" s="191">
        <f>+E11</f>
        <v>341788581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467</v>
      </c>
      <c r="C86" s="179">
        <f>IF((C90/365)=0,0,+C87/(C90/365))</f>
        <v>61.83575544840405</v>
      </c>
      <c r="D86" s="179">
        <f>IF((D90/365)=0,0,+D87/(D90/365))</f>
        <v>64.31982813760973</v>
      </c>
      <c r="E86" s="179">
        <f>IF((E90/365)=0,0,+E87/(E90/365))</f>
        <v>62.22379769853321</v>
      </c>
      <c r="F86" s="13"/>
    </row>
    <row r="87" spans="1:6" ht="24" customHeight="1">
      <c r="A87" s="21">
        <v>18</v>
      </c>
      <c r="B87" s="48" t="s">
        <v>169</v>
      </c>
      <c r="C87" s="51">
        <f>+C69</f>
        <v>46109000</v>
      </c>
      <c r="D87" s="51">
        <f>+D69</f>
        <v>50391000</v>
      </c>
      <c r="E87" s="51">
        <f>+E69</f>
        <v>55125000</v>
      </c>
      <c r="F87" s="28"/>
    </row>
    <row r="88" spans="1:6" ht="24" customHeight="1">
      <c r="A88" s="21">
        <v>19</v>
      </c>
      <c r="B88" s="48" t="s">
        <v>439</v>
      </c>
      <c r="C88" s="51">
        <f aca="true" t="shared" si="0" ref="C88:E89">+C75</f>
        <v>287076522</v>
      </c>
      <c r="D88" s="51">
        <f t="shared" si="0"/>
        <v>302743320</v>
      </c>
      <c r="E88" s="51">
        <f t="shared" si="0"/>
        <v>341987000</v>
      </c>
      <c r="F88" s="28"/>
    </row>
    <row r="89" spans="1:6" ht="24" customHeight="1">
      <c r="A89" s="21">
        <v>20</v>
      </c>
      <c r="B89" s="48" t="s">
        <v>462</v>
      </c>
      <c r="C89" s="52">
        <f t="shared" si="0"/>
        <v>14907372</v>
      </c>
      <c r="D89" s="52">
        <f t="shared" si="0"/>
        <v>16786166</v>
      </c>
      <c r="E89" s="52">
        <f t="shared" si="0"/>
        <v>18628000</v>
      </c>
      <c r="F89" s="28"/>
    </row>
    <row r="90" spans="1:6" ht="24" customHeight="1">
      <c r="A90" s="21">
        <v>21</v>
      </c>
      <c r="B90" s="48" t="s">
        <v>468</v>
      </c>
      <c r="C90" s="51">
        <f>+C88-C89</f>
        <v>272169150</v>
      </c>
      <c r="D90" s="51">
        <f>+D88-D89</f>
        <v>285957154</v>
      </c>
      <c r="E90" s="51">
        <f>+E88-E89</f>
        <v>323359000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469</v>
      </c>
      <c r="B92" s="41" t="s">
        <v>470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471</v>
      </c>
      <c r="C94" s="192">
        <f>IF(C96=0,0,(C95/C96)*100)</f>
        <v>73.94674248844902</v>
      </c>
      <c r="D94" s="192">
        <f>IF(D96=0,0,(D95/D96)*100)</f>
        <v>75.05691191513768</v>
      </c>
      <c r="E94" s="192">
        <f>IF(E96=0,0,(E95/E96)*100)</f>
        <v>67.34736285325677</v>
      </c>
      <c r="F94" s="28"/>
    </row>
    <row r="95" spans="1:6" ht="24" customHeight="1">
      <c r="A95" s="21">
        <v>2</v>
      </c>
      <c r="B95" s="48" t="s">
        <v>182</v>
      </c>
      <c r="C95" s="51">
        <f>+C32</f>
        <v>378665000</v>
      </c>
      <c r="D95" s="51">
        <f>+D32</f>
        <v>380811000</v>
      </c>
      <c r="E95" s="51">
        <f>+E32</f>
        <v>356510000</v>
      </c>
      <c r="F95" s="28"/>
    </row>
    <row r="96" spans="1:6" ht="24" customHeight="1">
      <c r="A96" s="21">
        <v>3</v>
      </c>
      <c r="B96" s="48" t="s">
        <v>158</v>
      </c>
      <c r="C96" s="51">
        <v>512078000</v>
      </c>
      <c r="D96" s="51">
        <v>507363000</v>
      </c>
      <c r="E96" s="51">
        <v>529360000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472</v>
      </c>
      <c r="C98" s="192">
        <f>IF(C104=0,0,(C101/C104)*100)</f>
        <v>62.325096134981365</v>
      </c>
      <c r="D98" s="192">
        <f>IF(D104=0,0,(D101/D104)*100)</f>
        <v>2.1465987723214286</v>
      </c>
      <c r="E98" s="192">
        <f>IF(E104=0,0,(E101/E104)*100)</f>
        <v>20.310742072987146</v>
      </c>
      <c r="F98" s="28"/>
    </row>
    <row r="99" spans="1:6" ht="24" customHeight="1">
      <c r="A99" s="21">
        <v>5</v>
      </c>
      <c r="B99" s="48" t="s">
        <v>473</v>
      </c>
      <c r="C99" s="51">
        <f>+C28</f>
        <v>48626831</v>
      </c>
      <c r="D99" s="51">
        <f>+D28</f>
        <v>-14478143</v>
      </c>
      <c r="E99" s="51">
        <f>+E28</f>
        <v>7007000</v>
      </c>
      <c r="F99" s="28"/>
    </row>
    <row r="100" spans="1:6" ht="24" customHeight="1">
      <c r="A100" s="21">
        <v>6</v>
      </c>
      <c r="B100" s="48" t="s">
        <v>462</v>
      </c>
      <c r="C100" s="52">
        <f>+C76</f>
        <v>14907372</v>
      </c>
      <c r="D100" s="52">
        <f>+D76</f>
        <v>16786166</v>
      </c>
      <c r="E100" s="52">
        <f>+E76</f>
        <v>18628000</v>
      </c>
      <c r="F100" s="28"/>
    </row>
    <row r="101" spans="1:6" ht="24" customHeight="1">
      <c r="A101" s="21">
        <v>7</v>
      </c>
      <c r="B101" s="48" t="s">
        <v>474</v>
      </c>
      <c r="C101" s="51">
        <f>+C99+C100</f>
        <v>63534203</v>
      </c>
      <c r="D101" s="51">
        <f>+D99+D100</f>
        <v>2308023</v>
      </c>
      <c r="E101" s="51">
        <f>+E99+E100</f>
        <v>25635000</v>
      </c>
      <c r="F101" s="28"/>
    </row>
    <row r="102" spans="1:6" ht="24" customHeight="1">
      <c r="A102" s="21">
        <v>8</v>
      </c>
      <c r="B102" s="48" t="s">
        <v>169</v>
      </c>
      <c r="C102" s="180">
        <f>+C69</f>
        <v>46109000</v>
      </c>
      <c r="D102" s="180">
        <f>+D69</f>
        <v>50391000</v>
      </c>
      <c r="E102" s="180">
        <f>+E69</f>
        <v>55125000</v>
      </c>
      <c r="F102" s="28"/>
    </row>
    <row r="103" spans="1:6" ht="24" customHeight="1">
      <c r="A103" s="21">
        <v>9</v>
      </c>
      <c r="B103" s="48" t="s">
        <v>173</v>
      </c>
      <c r="C103" s="194">
        <v>55831000</v>
      </c>
      <c r="D103" s="194">
        <v>57129000</v>
      </c>
      <c r="E103" s="194">
        <v>71089000</v>
      </c>
      <c r="F103" s="28"/>
    </row>
    <row r="104" spans="1:6" ht="24" customHeight="1">
      <c r="A104" s="21">
        <v>10</v>
      </c>
      <c r="B104" s="195" t="s">
        <v>475</v>
      </c>
      <c r="C104" s="180">
        <f>+C102+C103</f>
        <v>101940000</v>
      </c>
      <c r="D104" s="180">
        <f>+D102+D103</f>
        <v>107520000</v>
      </c>
      <c r="E104" s="180">
        <f>+E102+E103</f>
        <v>126214000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476</v>
      </c>
      <c r="C106" s="197">
        <f>IF(C109=0,0,(C107/C109)*100)</f>
        <v>12.849600456621005</v>
      </c>
      <c r="D106" s="197">
        <f>IF(D109=0,0,(D107/D109)*100)</f>
        <v>13.04493766269352</v>
      </c>
      <c r="E106" s="197">
        <f>IF(E109=0,0,(E107/E109)*100)</f>
        <v>16.625155811870467</v>
      </c>
      <c r="F106" s="28"/>
    </row>
    <row r="107" spans="1:6" ht="24" customHeight="1">
      <c r="A107" s="17">
        <v>12</v>
      </c>
      <c r="B107" s="48" t="s">
        <v>173</v>
      </c>
      <c r="C107" s="180">
        <f>+C103</f>
        <v>55831000</v>
      </c>
      <c r="D107" s="180">
        <f>+D103</f>
        <v>57129000</v>
      </c>
      <c r="E107" s="180">
        <f>+E103</f>
        <v>71089000</v>
      </c>
      <c r="F107" s="28"/>
    </row>
    <row r="108" spans="1:6" ht="24" customHeight="1">
      <c r="A108" s="17">
        <v>13</v>
      </c>
      <c r="B108" s="48" t="s">
        <v>182</v>
      </c>
      <c r="C108" s="180">
        <f>+C32</f>
        <v>378665000</v>
      </c>
      <c r="D108" s="180">
        <f>+D32</f>
        <v>380811000</v>
      </c>
      <c r="E108" s="180">
        <f>+E32</f>
        <v>356510000</v>
      </c>
      <c r="F108" s="28"/>
    </row>
    <row r="109" spans="1:6" ht="24" customHeight="1">
      <c r="A109" s="17">
        <v>14</v>
      </c>
      <c r="B109" s="48" t="s">
        <v>477</v>
      </c>
      <c r="C109" s="180">
        <f>+C107+C108</f>
        <v>434496000</v>
      </c>
      <c r="D109" s="180">
        <f>+D107+D108</f>
        <v>437940000</v>
      </c>
      <c r="E109" s="180">
        <f>+E107+E108</f>
        <v>427599000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478</v>
      </c>
      <c r="C111" s="197">
        <f>IF((+C113+C115)=0,0,((+C112+C113+C114)/(+C113+C115)))</f>
        <v>26.602391305837063</v>
      </c>
      <c r="D111" s="197">
        <f>IF((+D113+D115)=0,0,((+D112+D113+D114)/(+D113+D115)))</f>
        <v>3.280930112128142</v>
      </c>
      <c r="E111" s="197">
        <f>IF((+E113+E115)=0,0,((+E112+E113+E114)/(+E113+E115)))</f>
        <v>16.54429101554395</v>
      </c>
    </row>
    <row r="112" spans="1:6" ht="24" customHeight="1">
      <c r="A112" s="17">
        <v>16</v>
      </c>
      <c r="B112" s="48" t="s">
        <v>479</v>
      </c>
      <c r="C112" s="180">
        <f>+C17</f>
        <v>48626831</v>
      </c>
      <c r="D112" s="180">
        <f>+D17</f>
        <v>-14478143</v>
      </c>
      <c r="E112" s="180">
        <f>+E17</f>
        <v>7007000</v>
      </c>
      <c r="F112" s="28"/>
    </row>
    <row r="113" spans="1:6" ht="24" customHeight="1">
      <c r="A113" s="17">
        <v>17</v>
      </c>
      <c r="B113" s="48" t="s">
        <v>301</v>
      </c>
      <c r="C113" s="180">
        <v>2481573</v>
      </c>
      <c r="D113" s="180">
        <v>1011878</v>
      </c>
      <c r="E113" s="180">
        <v>678000</v>
      </c>
      <c r="F113" s="28"/>
    </row>
    <row r="114" spans="1:6" ht="24" customHeight="1">
      <c r="A114" s="17">
        <v>18</v>
      </c>
      <c r="B114" s="48" t="s">
        <v>480</v>
      </c>
      <c r="C114" s="180">
        <v>14907372</v>
      </c>
      <c r="D114" s="180">
        <v>16786166</v>
      </c>
      <c r="E114" s="180">
        <v>18628000</v>
      </c>
      <c r="F114" s="28"/>
    </row>
    <row r="115" spans="1:6" ht="24" customHeight="1">
      <c r="A115" s="17">
        <v>19</v>
      </c>
      <c r="B115" s="48" t="s">
        <v>217</v>
      </c>
      <c r="C115" s="180">
        <v>0</v>
      </c>
      <c r="D115" s="180">
        <v>0</v>
      </c>
      <c r="E115" s="180">
        <v>912458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481</v>
      </c>
      <c r="B117" s="30" t="s">
        <v>482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483</v>
      </c>
      <c r="C119" s="197">
        <f>IF(+C121=0,0,(+C120)/(+C121))</f>
        <v>8.550869999085016</v>
      </c>
      <c r="D119" s="197">
        <f>IF(+D121=0,0,(+D120)/(+D121))</f>
        <v>8.273777347370448</v>
      </c>
      <c r="E119" s="197">
        <f>IF(+E121=0,0,(+E120)/(+E121))</f>
        <v>8.72353446424737</v>
      </c>
    </row>
    <row r="120" spans="1:6" ht="24" customHeight="1">
      <c r="A120" s="17">
        <v>21</v>
      </c>
      <c r="B120" s="48" t="s">
        <v>484</v>
      </c>
      <c r="C120" s="180">
        <v>127471000</v>
      </c>
      <c r="D120" s="180">
        <v>138885000</v>
      </c>
      <c r="E120" s="180">
        <v>162502000</v>
      </c>
      <c r="F120" s="28"/>
    </row>
    <row r="121" spans="1:6" ht="24" customHeight="1">
      <c r="A121" s="17">
        <v>22</v>
      </c>
      <c r="B121" s="48" t="s">
        <v>480</v>
      </c>
      <c r="C121" s="180">
        <v>14907372</v>
      </c>
      <c r="D121" s="180">
        <v>16786166</v>
      </c>
      <c r="E121" s="180">
        <v>18628000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485</v>
      </c>
      <c r="B123" s="30" t="s">
        <v>486</v>
      </c>
      <c r="C123" s="27"/>
      <c r="D123" s="27"/>
      <c r="E123" s="53"/>
    </row>
    <row r="124" spans="1:5" ht="24" customHeight="1">
      <c r="A124" s="44">
        <v>1</v>
      </c>
      <c r="B124" s="48" t="s">
        <v>487</v>
      </c>
      <c r="C124" s="198">
        <v>100497</v>
      </c>
      <c r="D124" s="198">
        <v>104524</v>
      </c>
      <c r="E124" s="198">
        <v>125447</v>
      </c>
    </row>
    <row r="125" spans="1:5" ht="24" customHeight="1">
      <c r="A125" s="44">
        <v>2</v>
      </c>
      <c r="B125" s="48" t="s">
        <v>488</v>
      </c>
      <c r="C125" s="198">
        <v>19434</v>
      </c>
      <c r="D125" s="198">
        <v>20159</v>
      </c>
      <c r="E125" s="198">
        <v>21743</v>
      </c>
    </row>
    <row r="126" spans="1:5" ht="24" customHeight="1">
      <c r="A126" s="44">
        <v>3</v>
      </c>
      <c r="B126" s="48" t="s">
        <v>489</v>
      </c>
      <c r="C126" s="199">
        <f>IF(C125=0,0,C124/C125)</f>
        <v>5.171194813213955</v>
      </c>
      <c r="D126" s="199">
        <f>IF(D125=0,0,D124/D125)</f>
        <v>5.184979413661392</v>
      </c>
      <c r="E126" s="199">
        <f>IF(E125=0,0,E124/E125)</f>
        <v>5.769535022765948</v>
      </c>
    </row>
    <row r="127" spans="1:5" ht="24" customHeight="1">
      <c r="A127" s="44">
        <v>4</v>
      </c>
      <c r="B127" s="48" t="s">
        <v>490</v>
      </c>
      <c r="C127" s="198">
        <v>336</v>
      </c>
      <c r="D127" s="198">
        <v>340</v>
      </c>
      <c r="E127" s="198">
        <v>415</v>
      </c>
    </row>
    <row r="128" spans="1:8" ht="24" customHeight="1">
      <c r="A128" s="44">
        <v>5</v>
      </c>
      <c r="B128" s="48" t="s">
        <v>491</v>
      </c>
      <c r="C128" s="198">
        <v>0</v>
      </c>
      <c r="D128" s="198">
        <v>0</v>
      </c>
      <c r="E128" s="198">
        <v>423</v>
      </c>
      <c r="G128" s="6"/>
      <c r="H128" s="12"/>
    </row>
    <row r="129" spans="1:8" ht="24" customHeight="1">
      <c r="A129" s="44">
        <v>6</v>
      </c>
      <c r="B129" s="48" t="s">
        <v>492</v>
      </c>
      <c r="C129" s="198">
        <v>444</v>
      </c>
      <c r="D129" s="198">
        <v>349</v>
      </c>
      <c r="E129" s="198">
        <v>520</v>
      </c>
      <c r="G129" s="6"/>
      <c r="H129" s="12"/>
    </row>
    <row r="130" spans="1:5" ht="24" customHeight="1">
      <c r="A130" s="44">
        <v>6</v>
      </c>
      <c r="B130" s="48" t="s">
        <v>493</v>
      </c>
      <c r="C130" s="171">
        <v>0.8194</v>
      </c>
      <c r="D130" s="171">
        <v>0.8422</v>
      </c>
      <c r="E130" s="171">
        <v>0.8281</v>
      </c>
    </row>
    <row r="131" spans="1:5" ht="24" customHeight="1">
      <c r="A131" s="44">
        <v>7</v>
      </c>
      <c r="B131" s="48" t="s">
        <v>494</v>
      </c>
      <c r="C131" s="171">
        <v>0.6201</v>
      </c>
      <c r="D131" s="171">
        <v>0.8205</v>
      </c>
      <c r="E131" s="171">
        <v>0.8125</v>
      </c>
    </row>
    <row r="132" spans="1:5" ht="24" customHeight="1">
      <c r="A132" s="44">
        <v>8</v>
      </c>
      <c r="B132" s="48" t="s">
        <v>495</v>
      </c>
      <c r="C132" s="199">
        <v>1734.9</v>
      </c>
      <c r="D132" s="199">
        <v>1829.4</v>
      </c>
      <c r="E132" s="199">
        <v>2049.6</v>
      </c>
    </row>
    <row r="133" ht="24" customHeight="1">
      <c r="B133" s="55"/>
    </row>
    <row r="134" spans="1:6" ht="19.5" customHeight="1">
      <c r="A134" s="200" t="s">
        <v>127</v>
      </c>
      <c r="B134" s="30" t="s">
        <v>496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497</v>
      </c>
      <c r="C135" s="203">
        <f>IF(C149=0,0,C143/C149)</f>
        <v>0.32750282043642287</v>
      </c>
      <c r="D135" s="203">
        <f>IF(D149=0,0,D143/D149)</f>
        <v>0.3264933693281949</v>
      </c>
      <c r="E135" s="203">
        <f>IF(E149=0,0,E143/E149)</f>
        <v>0.322658046834312</v>
      </c>
      <c r="G135" s="6"/>
    </row>
    <row r="136" spans="1:5" ht="19.5" customHeight="1">
      <c r="A136" s="202">
        <v>2</v>
      </c>
      <c r="B136" s="195" t="s">
        <v>498</v>
      </c>
      <c r="C136" s="203">
        <f>IF(C149=0,0,C144/C149)</f>
        <v>0.5047472908771273</v>
      </c>
      <c r="D136" s="203">
        <f>IF(D149=0,0,D144/D149)</f>
        <v>0.500450417255044</v>
      </c>
      <c r="E136" s="203">
        <f>IF(E149=0,0,E144/E149)</f>
        <v>0.48619820632278166</v>
      </c>
    </row>
    <row r="137" spans="1:7" ht="19.5" customHeight="1">
      <c r="A137" s="202">
        <v>3</v>
      </c>
      <c r="B137" s="195" t="s">
        <v>499</v>
      </c>
      <c r="C137" s="203">
        <f>IF(C149=0,0,C145/C149)</f>
        <v>0.098350064037717</v>
      </c>
      <c r="D137" s="203">
        <f>IF(D149=0,0,D145/D149)</f>
        <v>0.10089131028329858</v>
      </c>
      <c r="E137" s="203">
        <f>IF(E149=0,0,E145/E149)</f>
        <v>0.11303746492125845</v>
      </c>
      <c r="G137" s="6"/>
    </row>
    <row r="138" spans="1:7" ht="19.5" customHeight="1">
      <c r="A138" s="202">
        <v>4</v>
      </c>
      <c r="B138" s="195" t="s">
        <v>500</v>
      </c>
      <c r="C138" s="203">
        <f>IF(C149=0,0,C146/C149)</f>
        <v>0.018579119407037867</v>
      </c>
      <c r="D138" s="203">
        <f>IF(D149=0,0,D146/D149)</f>
        <v>0.023850532621656557</v>
      </c>
      <c r="E138" s="203">
        <f>IF(E149=0,0,E146/E149)</f>
        <v>0.02914780406588434</v>
      </c>
      <c r="G138" s="6"/>
    </row>
    <row r="139" spans="1:5" ht="19.5" customHeight="1">
      <c r="A139" s="202">
        <v>5</v>
      </c>
      <c r="B139" s="195" t="s">
        <v>501</v>
      </c>
      <c r="C139" s="203">
        <f>IF(C149=0,0,C147/C149)</f>
        <v>0.05020164738200721</v>
      </c>
      <c r="D139" s="203">
        <f>IF(D149=0,0,D147/D149)</f>
        <v>0.04778385898909203</v>
      </c>
      <c r="E139" s="203">
        <f>IF(E149=0,0,E147/E149)</f>
        <v>0.048202329052004875</v>
      </c>
    </row>
    <row r="140" spans="1:5" ht="19.5" customHeight="1">
      <c r="A140" s="202">
        <v>6</v>
      </c>
      <c r="B140" s="195" t="s">
        <v>502</v>
      </c>
      <c r="C140" s="203">
        <f>IF(C149=0,0,C148/C149)</f>
        <v>0.0006190578596876651</v>
      </c>
      <c r="D140" s="203">
        <f>IF(D149=0,0,D148/D149)</f>
        <v>0.0005305115227139507</v>
      </c>
      <c r="E140" s="203">
        <f>IF(E149=0,0,E148/E149)</f>
        <v>0.0007561488037587062</v>
      </c>
    </row>
    <row r="141" spans="1:5" ht="19.5" customHeight="1">
      <c r="A141" s="202">
        <v>7</v>
      </c>
      <c r="B141" s="195" t="s">
        <v>503</v>
      </c>
      <c r="C141" s="203">
        <f>SUM(C135:C140)</f>
        <v>0.9999999999999998</v>
      </c>
      <c r="D141" s="203">
        <f>SUM(D135:D140)</f>
        <v>1</v>
      </c>
      <c r="E141" s="203">
        <f>SUM(E135:E140)</f>
        <v>1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504</v>
      </c>
      <c r="C143" s="204">
        <f>+C46-C147</f>
        <v>204211988</v>
      </c>
      <c r="D143" s="205">
        <f>+D46-D147</f>
        <v>234394992</v>
      </c>
      <c r="E143" s="205">
        <f>+E46-E147</f>
        <v>275065620</v>
      </c>
    </row>
    <row r="144" spans="1:5" ht="19.5" customHeight="1">
      <c r="A144" s="202">
        <v>9</v>
      </c>
      <c r="B144" s="201" t="s">
        <v>505</v>
      </c>
      <c r="C144" s="206">
        <f>+C51</f>
        <v>314731481</v>
      </c>
      <c r="D144" s="205">
        <f>+D51</f>
        <v>359281635</v>
      </c>
      <c r="E144" s="205">
        <f>+E51</f>
        <v>414483421</v>
      </c>
    </row>
    <row r="145" spans="1:5" ht="19.5" customHeight="1">
      <c r="A145" s="202">
        <v>10</v>
      </c>
      <c r="B145" s="201" t="s">
        <v>506</v>
      </c>
      <c r="C145" s="206">
        <f>+C55</f>
        <v>61325463</v>
      </c>
      <c r="D145" s="205">
        <f>+D55</f>
        <v>72431541</v>
      </c>
      <c r="E145" s="205">
        <f>+E55</f>
        <v>96364311</v>
      </c>
    </row>
    <row r="146" spans="1:5" ht="19.5" customHeight="1">
      <c r="A146" s="202">
        <v>11</v>
      </c>
      <c r="B146" s="201" t="s">
        <v>507</v>
      </c>
      <c r="C146" s="204">
        <v>11584874</v>
      </c>
      <c r="D146" s="205">
        <v>17122692</v>
      </c>
      <c r="E146" s="205">
        <v>24848470</v>
      </c>
    </row>
    <row r="147" spans="1:5" ht="19.5" customHeight="1">
      <c r="A147" s="202">
        <v>12</v>
      </c>
      <c r="B147" s="201" t="s">
        <v>508</v>
      </c>
      <c r="C147" s="206">
        <f>+C47</f>
        <v>31302870</v>
      </c>
      <c r="D147" s="205">
        <f>+D47</f>
        <v>34304823</v>
      </c>
      <c r="E147" s="205">
        <f>+E47</f>
        <v>41092431</v>
      </c>
    </row>
    <row r="148" spans="1:5" ht="19.5" customHeight="1">
      <c r="A148" s="202">
        <v>13</v>
      </c>
      <c r="B148" s="201" t="s">
        <v>509</v>
      </c>
      <c r="C148" s="206">
        <v>386009</v>
      </c>
      <c r="D148" s="205">
        <v>380863</v>
      </c>
      <c r="E148" s="205">
        <v>644616</v>
      </c>
    </row>
    <row r="149" spans="1:5" ht="19.5" customHeight="1">
      <c r="A149" s="202">
        <v>14</v>
      </c>
      <c r="B149" s="201" t="s">
        <v>510</v>
      </c>
      <c r="C149" s="204">
        <f>SUM(C143:C148)</f>
        <v>623542685</v>
      </c>
      <c r="D149" s="205">
        <f>SUM(D143:D148)</f>
        <v>717916546</v>
      </c>
      <c r="E149" s="205">
        <f>SUM(E143:E148)</f>
        <v>852498869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511</v>
      </c>
      <c r="B151" s="30" t="s">
        <v>512</v>
      </c>
      <c r="C151" s="201"/>
      <c r="D151" s="201"/>
      <c r="E151" s="201"/>
    </row>
    <row r="152" spans="1:5" ht="19.5" customHeight="1">
      <c r="A152" s="202">
        <v>1</v>
      </c>
      <c r="B152" s="195" t="s">
        <v>513</v>
      </c>
      <c r="C152" s="203">
        <f>IF(C166=0,0,C160/C166)</f>
        <v>0.4180091524482383</v>
      </c>
      <c r="D152" s="203">
        <f>IF(D166=0,0,D160/D166)</f>
        <v>0.4325926328987498</v>
      </c>
      <c r="E152" s="203">
        <f>IF(E166=0,0,E160/E166)</f>
        <v>0.43495232779839743</v>
      </c>
    </row>
    <row r="153" spans="1:5" ht="19.5" customHeight="1">
      <c r="A153" s="202">
        <v>2</v>
      </c>
      <c r="B153" s="195" t="s">
        <v>514</v>
      </c>
      <c r="C153" s="203">
        <f>IF(C166=0,0,C161/C166)</f>
        <v>0.4815952501673947</v>
      </c>
      <c r="D153" s="203">
        <f>IF(D166=0,0,D161/D166)</f>
        <v>0.4791197039381986</v>
      </c>
      <c r="E153" s="203">
        <f>IF(E166=0,0,E161/E166)</f>
        <v>0.45526720712312346</v>
      </c>
    </row>
    <row r="154" spans="1:5" ht="19.5" customHeight="1">
      <c r="A154" s="202">
        <v>3</v>
      </c>
      <c r="B154" s="195" t="s">
        <v>515</v>
      </c>
      <c r="C154" s="203">
        <f>IF(C166=0,0,C162/C166)</f>
        <v>0.06905005110284206</v>
      </c>
      <c r="D154" s="203">
        <f>IF(D166=0,0,D162/D166)</f>
        <v>0.06705773097186474</v>
      </c>
      <c r="E154" s="203">
        <f>IF(E166=0,0,E162/E166)</f>
        <v>0.08888140716084382</v>
      </c>
    </row>
    <row r="155" spans="1:7" ht="19.5" customHeight="1">
      <c r="A155" s="202">
        <v>4</v>
      </c>
      <c r="B155" s="195" t="s">
        <v>516</v>
      </c>
      <c r="C155" s="203">
        <f>IF(C166=0,0,C163/C166)</f>
        <v>0.007775104529721117</v>
      </c>
      <c r="D155" s="203">
        <f>IF(D166=0,0,D163/D166)</f>
        <v>0.007750681564075912</v>
      </c>
      <c r="E155" s="203">
        <f>IF(E166=0,0,E163/E166)</f>
        <v>0.010661903129656805</v>
      </c>
      <c r="G155" s="6"/>
    </row>
    <row r="156" spans="1:5" ht="19.5" customHeight="1">
      <c r="A156" s="202">
        <v>5</v>
      </c>
      <c r="B156" s="195" t="s">
        <v>517</v>
      </c>
      <c r="C156" s="203">
        <f>IF(C166=0,0,C164/C166)</f>
        <v>0.023081369011124526</v>
      </c>
      <c r="D156" s="203">
        <f>IF(D166=0,0,D164/D166)</f>
        <v>0.013223603485263578</v>
      </c>
      <c r="E156" s="203">
        <f>IF(E166=0,0,E164/E166)</f>
        <v>0.00953898448739874</v>
      </c>
    </row>
    <row r="157" spans="1:5" ht="19.5" customHeight="1">
      <c r="A157" s="202">
        <v>6</v>
      </c>
      <c r="B157" s="195" t="s">
        <v>518</v>
      </c>
      <c r="C157" s="203">
        <f>IF(C166=0,0,C165/C166)</f>
        <v>0.000489072740679378</v>
      </c>
      <c r="D157" s="203">
        <f>IF(D166=0,0,D165/D166)</f>
        <v>0.0002556471418474249</v>
      </c>
      <c r="E157" s="203">
        <f>IF(E166=0,0,E165/E166)</f>
        <v>0.0006981703005797316</v>
      </c>
    </row>
    <row r="158" spans="1:5" ht="19.5" customHeight="1">
      <c r="A158" s="202">
        <v>7</v>
      </c>
      <c r="B158" s="195" t="s">
        <v>519</v>
      </c>
      <c r="C158" s="203">
        <f>SUM(C152:C157)</f>
        <v>0.9999999999999999</v>
      </c>
      <c r="D158" s="203">
        <f>SUM(D152:D157)</f>
        <v>1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520</v>
      </c>
      <c r="C160" s="207">
        <f>+C44-C164</f>
        <v>112661925</v>
      </c>
      <c r="D160" s="208">
        <f>+D44-D164</f>
        <v>125119067</v>
      </c>
      <c r="E160" s="208">
        <f>+E44-E164</f>
        <v>139171976</v>
      </c>
    </row>
    <row r="161" spans="1:5" ht="19.5" customHeight="1">
      <c r="A161" s="202">
        <v>9</v>
      </c>
      <c r="B161" s="201" t="s">
        <v>521</v>
      </c>
      <c r="C161" s="209">
        <f>+C50</f>
        <v>129799665</v>
      </c>
      <c r="D161" s="208">
        <f>+D50</f>
        <v>138576124</v>
      </c>
      <c r="E161" s="208">
        <f>+E50</f>
        <v>145672141</v>
      </c>
    </row>
    <row r="162" spans="1:5" ht="19.5" customHeight="1">
      <c r="A162" s="202">
        <v>10</v>
      </c>
      <c r="B162" s="201" t="s">
        <v>522</v>
      </c>
      <c r="C162" s="209">
        <f>+C54</f>
        <v>18610386</v>
      </c>
      <c r="D162" s="208">
        <f>+D54</f>
        <v>19395154</v>
      </c>
      <c r="E162" s="208">
        <f>+E54</f>
        <v>28439441</v>
      </c>
    </row>
    <row r="163" spans="1:5" ht="19.5" customHeight="1">
      <c r="A163" s="202">
        <v>11</v>
      </c>
      <c r="B163" s="201" t="s">
        <v>523</v>
      </c>
      <c r="C163" s="207">
        <v>2095548</v>
      </c>
      <c r="D163" s="208">
        <v>2241735</v>
      </c>
      <c r="E163" s="208">
        <v>3411496</v>
      </c>
    </row>
    <row r="164" spans="1:5" ht="19.5" customHeight="1">
      <c r="A164" s="202">
        <v>12</v>
      </c>
      <c r="B164" s="201" t="s">
        <v>524</v>
      </c>
      <c r="C164" s="209">
        <f>+C45</f>
        <v>6220896</v>
      </c>
      <c r="D164" s="208">
        <f>+D45</f>
        <v>3824672</v>
      </c>
      <c r="E164" s="208">
        <f>+E45</f>
        <v>3052195</v>
      </c>
    </row>
    <row r="165" spans="1:5" ht="19.5" customHeight="1">
      <c r="A165" s="202">
        <v>13</v>
      </c>
      <c r="B165" s="201" t="s">
        <v>525</v>
      </c>
      <c r="C165" s="209">
        <v>131815</v>
      </c>
      <c r="D165" s="208">
        <v>73941</v>
      </c>
      <c r="E165" s="208">
        <v>223394</v>
      </c>
    </row>
    <row r="166" spans="1:5" ht="19.5" customHeight="1">
      <c r="A166" s="202">
        <v>14</v>
      </c>
      <c r="B166" s="201" t="s">
        <v>526</v>
      </c>
      <c r="C166" s="207">
        <f>SUM(C160:C165)</f>
        <v>269520235</v>
      </c>
      <c r="D166" s="208">
        <f>SUM(D160:D165)</f>
        <v>289230693</v>
      </c>
      <c r="E166" s="208">
        <f>SUM(E160:E165)</f>
        <v>319970643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527</v>
      </c>
      <c r="B168" s="30" t="s">
        <v>488</v>
      </c>
      <c r="C168" s="201"/>
      <c r="D168" s="201"/>
      <c r="E168" s="201"/>
    </row>
    <row r="169" spans="1:5" ht="19.5" customHeight="1">
      <c r="A169" s="202">
        <v>1</v>
      </c>
      <c r="B169" s="201" t="s">
        <v>528</v>
      </c>
      <c r="C169" s="198">
        <v>7156</v>
      </c>
      <c r="D169" s="198">
        <v>7538</v>
      </c>
      <c r="E169" s="198">
        <v>8200</v>
      </c>
    </row>
    <row r="170" spans="1:5" ht="19.5" customHeight="1">
      <c r="A170" s="202">
        <v>2</v>
      </c>
      <c r="B170" s="201" t="s">
        <v>529</v>
      </c>
      <c r="C170" s="198">
        <v>9179</v>
      </c>
      <c r="D170" s="198">
        <v>9522</v>
      </c>
      <c r="E170" s="198">
        <v>9746</v>
      </c>
    </row>
    <row r="171" spans="1:5" ht="19.5" customHeight="1">
      <c r="A171" s="202">
        <v>3</v>
      </c>
      <c r="B171" s="201" t="s">
        <v>530</v>
      </c>
      <c r="C171" s="198">
        <v>3093</v>
      </c>
      <c r="D171" s="198">
        <v>3087</v>
      </c>
      <c r="E171" s="198">
        <v>3779</v>
      </c>
    </row>
    <row r="172" spans="1:5" ht="19.5" customHeight="1">
      <c r="A172" s="202">
        <v>4</v>
      </c>
      <c r="B172" s="201" t="s">
        <v>531</v>
      </c>
      <c r="C172" s="198">
        <v>2756</v>
      </c>
      <c r="D172" s="198">
        <v>2656</v>
      </c>
      <c r="E172" s="198">
        <v>3120</v>
      </c>
    </row>
    <row r="173" spans="1:5" ht="19.5" customHeight="1">
      <c r="A173" s="202">
        <v>5</v>
      </c>
      <c r="B173" s="201" t="s">
        <v>532</v>
      </c>
      <c r="C173" s="198">
        <v>337</v>
      </c>
      <c r="D173" s="198">
        <v>431</v>
      </c>
      <c r="E173" s="198">
        <v>659</v>
      </c>
    </row>
    <row r="174" spans="1:5" ht="19.5" customHeight="1">
      <c r="A174" s="202">
        <v>6</v>
      </c>
      <c r="B174" s="201" t="s">
        <v>533</v>
      </c>
      <c r="C174" s="198">
        <v>6</v>
      </c>
      <c r="D174" s="198">
        <v>12</v>
      </c>
      <c r="E174" s="198">
        <v>18</v>
      </c>
    </row>
    <row r="175" spans="1:5" ht="19.5" customHeight="1">
      <c r="A175" s="202">
        <v>7</v>
      </c>
      <c r="B175" s="201" t="s">
        <v>534</v>
      </c>
      <c r="C175" s="198">
        <v>808</v>
      </c>
      <c r="D175" s="198">
        <v>950</v>
      </c>
      <c r="E175" s="198">
        <v>955</v>
      </c>
    </row>
    <row r="176" spans="1:5" ht="19.5" customHeight="1">
      <c r="A176" s="202">
        <v>8</v>
      </c>
      <c r="B176" s="201" t="s">
        <v>535</v>
      </c>
      <c r="C176" s="198">
        <f>+C169+C170+C171+C174</f>
        <v>19434</v>
      </c>
      <c r="D176" s="198">
        <f>+D169+D170+D171+D174</f>
        <v>20159</v>
      </c>
      <c r="E176" s="198">
        <f>+E169+E170+E171+E174</f>
        <v>21743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536</v>
      </c>
      <c r="B178" s="30" t="s">
        <v>537</v>
      </c>
      <c r="C178" s="201"/>
      <c r="D178" s="201"/>
      <c r="E178" s="201"/>
    </row>
    <row r="179" spans="1:5" ht="19.5" customHeight="1">
      <c r="A179" s="202">
        <v>1</v>
      </c>
      <c r="B179" s="201" t="s">
        <v>528</v>
      </c>
      <c r="C179" s="210">
        <v>1.3132</v>
      </c>
      <c r="D179" s="210">
        <v>1.292</v>
      </c>
      <c r="E179" s="210">
        <v>1.1909</v>
      </c>
    </row>
    <row r="180" spans="1:5" ht="19.5" customHeight="1">
      <c r="A180" s="202">
        <v>2</v>
      </c>
      <c r="B180" s="201" t="s">
        <v>529</v>
      </c>
      <c r="C180" s="210">
        <v>1.5429</v>
      </c>
      <c r="D180" s="210">
        <v>1.5366</v>
      </c>
      <c r="E180" s="210">
        <v>1.5299</v>
      </c>
    </row>
    <row r="181" spans="1:5" ht="19.5" customHeight="1">
      <c r="A181" s="202">
        <v>3</v>
      </c>
      <c r="B181" s="201" t="s">
        <v>530</v>
      </c>
      <c r="C181" s="210">
        <v>0.959288</v>
      </c>
      <c r="D181" s="210">
        <v>0.998078</v>
      </c>
      <c r="E181" s="210">
        <v>0.963437</v>
      </c>
    </row>
    <row r="182" spans="1:5" ht="19.5" customHeight="1">
      <c r="A182" s="202">
        <v>4</v>
      </c>
      <c r="B182" s="201" t="s">
        <v>531</v>
      </c>
      <c r="C182" s="210">
        <v>0.9284</v>
      </c>
      <c r="D182" s="210">
        <v>0.9639</v>
      </c>
      <c r="E182" s="210">
        <v>0.9125</v>
      </c>
    </row>
    <row r="183" spans="1:5" ht="19.5" customHeight="1">
      <c r="A183" s="202">
        <v>5</v>
      </c>
      <c r="B183" s="201" t="s">
        <v>532</v>
      </c>
      <c r="C183" s="210">
        <v>1.2119</v>
      </c>
      <c r="D183" s="210">
        <v>1.2087</v>
      </c>
      <c r="E183" s="210">
        <v>1.2046</v>
      </c>
    </row>
    <row r="184" spans="1:5" ht="19.5" customHeight="1">
      <c r="A184" s="202">
        <v>6</v>
      </c>
      <c r="B184" s="201" t="s">
        <v>533</v>
      </c>
      <c r="C184" s="210">
        <v>1.3999</v>
      </c>
      <c r="D184" s="210">
        <v>0.697</v>
      </c>
      <c r="E184" s="210">
        <v>1.1109</v>
      </c>
    </row>
    <row r="185" spans="1:5" ht="19.5" customHeight="1">
      <c r="A185" s="202">
        <v>7</v>
      </c>
      <c r="B185" s="201" t="s">
        <v>534</v>
      </c>
      <c r="C185" s="210">
        <v>1.0385</v>
      </c>
      <c r="D185" s="210">
        <v>1.0992</v>
      </c>
      <c r="E185" s="210">
        <v>1.0987</v>
      </c>
    </row>
    <row r="186" spans="1:5" ht="19.5" customHeight="1">
      <c r="A186" s="202">
        <v>8</v>
      </c>
      <c r="B186" s="201" t="s">
        <v>538</v>
      </c>
      <c r="C186" s="210">
        <v>1.365391</v>
      </c>
      <c r="D186" s="210">
        <v>1.362172</v>
      </c>
      <c r="E186" s="210">
        <v>1.303252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539</v>
      </c>
      <c r="B188" s="30" t="s">
        <v>540</v>
      </c>
      <c r="C188" s="201"/>
      <c r="D188" s="201"/>
      <c r="E188" s="201"/>
    </row>
    <row r="189" spans="1:5" ht="19.5" customHeight="1">
      <c r="A189" s="202">
        <v>1</v>
      </c>
      <c r="B189" s="201" t="s">
        <v>541</v>
      </c>
      <c r="C189" s="198">
        <v>11570</v>
      </c>
      <c r="D189" s="198">
        <v>12721</v>
      </c>
      <c r="E189" s="198">
        <v>10882</v>
      </c>
    </row>
    <row r="190" spans="1:5" ht="19.5" customHeight="1">
      <c r="A190" s="202">
        <v>2</v>
      </c>
      <c r="B190" s="201" t="s">
        <v>542</v>
      </c>
      <c r="C190" s="198">
        <v>48718</v>
      </c>
      <c r="D190" s="198">
        <v>47919</v>
      </c>
      <c r="E190" s="198">
        <v>50431</v>
      </c>
    </row>
    <row r="191" spans="1:5" ht="19.5" customHeight="1">
      <c r="A191" s="202">
        <v>3</v>
      </c>
      <c r="B191" s="201" t="s">
        <v>543</v>
      </c>
      <c r="C191" s="198">
        <f>+C190+C189</f>
        <v>60288</v>
      </c>
      <c r="D191" s="198">
        <f>+D190+D189</f>
        <v>60640</v>
      </c>
      <c r="E191" s="198">
        <f>+E190+E189</f>
        <v>61313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/>
  <headerFooter alignWithMargins="0">
    <oddHeader>&amp;LOFFICE OF HEALTH CARE ACCESS&amp;CTWELVE MONTHS ACTUAL FILING&amp;RSAINT VINCENT`S MEDICAL CENTER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A1" sqref="A1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4" width="21.140625" style="211" customWidth="1"/>
    <col min="5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115</v>
      </c>
      <c r="B2" s="687"/>
      <c r="C2" s="687"/>
      <c r="D2" s="687"/>
      <c r="E2" s="687"/>
      <c r="F2" s="687"/>
    </row>
    <row r="3" spans="1:6" ht="20.25" customHeight="1">
      <c r="A3" s="687" t="s">
        <v>116</v>
      </c>
      <c r="B3" s="687"/>
      <c r="C3" s="687"/>
      <c r="D3" s="687"/>
      <c r="E3" s="687"/>
      <c r="F3" s="687"/>
    </row>
    <row r="4" spans="1:6" ht="20.25" customHeight="1">
      <c r="A4" s="687" t="s">
        <v>117</v>
      </c>
      <c r="B4" s="687"/>
      <c r="C4" s="687"/>
      <c r="D4" s="687"/>
      <c r="E4" s="687"/>
      <c r="F4" s="687"/>
    </row>
    <row r="5" spans="1:6" ht="20.25" customHeight="1">
      <c r="A5" s="687" t="s">
        <v>544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269</v>
      </c>
      <c r="B8" s="221" t="s">
        <v>124</v>
      </c>
      <c r="C8" s="222" t="s">
        <v>545</v>
      </c>
      <c r="D8" s="223" t="s">
        <v>546</v>
      </c>
      <c r="E8" s="223" t="s">
        <v>547</v>
      </c>
      <c r="F8" s="224" t="s">
        <v>223</v>
      </c>
      <c r="G8" s="212"/>
    </row>
    <row r="9" spans="1:7" ht="20.25" customHeight="1">
      <c r="A9" s="225"/>
      <c r="B9" s="226"/>
      <c r="C9" s="676"/>
      <c r="D9" s="677"/>
      <c r="E9" s="677"/>
      <c r="F9" s="678"/>
      <c r="G9" s="212"/>
    </row>
    <row r="10" spans="1:6" ht="20.25" customHeight="1">
      <c r="A10" s="679" t="s">
        <v>127</v>
      </c>
      <c r="B10" s="681" t="s">
        <v>228</v>
      </c>
      <c r="C10" s="683"/>
      <c r="D10" s="684"/>
      <c r="E10" s="684"/>
      <c r="F10" s="685"/>
    </row>
    <row r="11" spans="1:6" ht="20.25" customHeight="1">
      <c r="A11" s="680"/>
      <c r="B11" s="682"/>
      <c r="C11" s="686"/>
      <c r="D11" s="660"/>
      <c r="E11" s="660"/>
      <c r="F11" s="661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225</v>
      </c>
      <c r="B13" s="231" t="s">
        <v>548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549</v>
      </c>
      <c r="C14" s="237">
        <v>320346</v>
      </c>
      <c r="D14" s="237">
        <v>430580</v>
      </c>
      <c r="E14" s="237">
        <f aca="true" t="shared" si="0" ref="E14:E24">D14-C14</f>
        <v>110234</v>
      </c>
      <c r="F14" s="238">
        <f aca="true" t="shared" si="1" ref="F14:F24">IF(C14=0,0,E14/C14)</f>
        <v>0.3441091819470198</v>
      </c>
    </row>
    <row r="15" spans="1:6" ht="20.25" customHeight="1">
      <c r="A15" s="235">
        <v>2</v>
      </c>
      <c r="B15" s="236" t="s">
        <v>550</v>
      </c>
      <c r="C15" s="237">
        <v>119465</v>
      </c>
      <c r="D15" s="237">
        <v>196795</v>
      </c>
      <c r="E15" s="237">
        <f t="shared" si="0"/>
        <v>77330</v>
      </c>
      <c r="F15" s="238">
        <f t="shared" si="1"/>
        <v>0.6473025572343364</v>
      </c>
    </row>
    <row r="16" spans="1:6" ht="20.25" customHeight="1">
      <c r="A16" s="235">
        <v>3</v>
      </c>
      <c r="B16" s="236" t="s">
        <v>551</v>
      </c>
      <c r="C16" s="237">
        <v>44287</v>
      </c>
      <c r="D16" s="237">
        <v>87677</v>
      </c>
      <c r="E16" s="237">
        <f t="shared" si="0"/>
        <v>43390</v>
      </c>
      <c r="F16" s="238">
        <f t="shared" si="1"/>
        <v>0.9797457493169553</v>
      </c>
    </row>
    <row r="17" spans="1:6" ht="20.25" customHeight="1">
      <c r="A17" s="235">
        <v>4</v>
      </c>
      <c r="B17" s="236" t="s">
        <v>552</v>
      </c>
      <c r="C17" s="237">
        <v>7295</v>
      </c>
      <c r="D17" s="237">
        <v>23269</v>
      </c>
      <c r="E17" s="237">
        <f t="shared" si="0"/>
        <v>15974</v>
      </c>
      <c r="F17" s="238">
        <f t="shared" si="1"/>
        <v>2.18971898560658</v>
      </c>
    </row>
    <row r="18" spans="1:6" ht="20.25" customHeight="1">
      <c r="A18" s="235">
        <v>5</v>
      </c>
      <c r="B18" s="236" t="s">
        <v>488</v>
      </c>
      <c r="C18" s="239">
        <v>9</v>
      </c>
      <c r="D18" s="239">
        <v>17</v>
      </c>
      <c r="E18" s="239">
        <f t="shared" si="0"/>
        <v>8</v>
      </c>
      <c r="F18" s="238">
        <f t="shared" si="1"/>
        <v>0.8888888888888888</v>
      </c>
    </row>
    <row r="19" spans="1:6" ht="20.25" customHeight="1">
      <c r="A19" s="235">
        <v>6</v>
      </c>
      <c r="B19" s="236" t="s">
        <v>487</v>
      </c>
      <c r="C19" s="239">
        <v>34</v>
      </c>
      <c r="D19" s="239">
        <v>84</v>
      </c>
      <c r="E19" s="239">
        <f t="shared" si="0"/>
        <v>50</v>
      </c>
      <c r="F19" s="238">
        <f t="shared" si="1"/>
        <v>1.4705882352941178</v>
      </c>
    </row>
    <row r="20" spans="1:6" ht="20.25" customHeight="1">
      <c r="A20" s="235">
        <v>7</v>
      </c>
      <c r="B20" s="236" t="s">
        <v>553</v>
      </c>
      <c r="C20" s="239">
        <v>28</v>
      </c>
      <c r="D20" s="239">
        <v>30</v>
      </c>
      <c r="E20" s="239">
        <f t="shared" si="0"/>
        <v>2</v>
      </c>
      <c r="F20" s="238">
        <f t="shared" si="1"/>
        <v>0.07142857142857142</v>
      </c>
    </row>
    <row r="21" spans="1:6" ht="20.25" customHeight="1">
      <c r="A21" s="235">
        <v>8</v>
      </c>
      <c r="B21" s="236" t="s">
        <v>554</v>
      </c>
      <c r="C21" s="239">
        <v>6</v>
      </c>
      <c r="D21" s="239">
        <v>24</v>
      </c>
      <c r="E21" s="239">
        <f t="shared" si="0"/>
        <v>18</v>
      </c>
      <c r="F21" s="238">
        <f t="shared" si="1"/>
        <v>3</v>
      </c>
    </row>
    <row r="22" spans="1:6" ht="20.25" customHeight="1">
      <c r="A22" s="235">
        <v>9</v>
      </c>
      <c r="B22" s="236" t="s">
        <v>555</v>
      </c>
      <c r="C22" s="239">
        <v>9</v>
      </c>
      <c r="D22" s="239">
        <v>16</v>
      </c>
      <c r="E22" s="239">
        <f t="shared" si="0"/>
        <v>7</v>
      </c>
      <c r="F22" s="238">
        <f t="shared" si="1"/>
        <v>0.7777777777777778</v>
      </c>
    </row>
    <row r="23" spans="1:6" s="240" customFormat="1" ht="20.25" customHeight="1">
      <c r="A23" s="241"/>
      <c r="B23" s="242" t="s">
        <v>556</v>
      </c>
      <c r="C23" s="243">
        <f>+C14+C16</f>
        <v>364633</v>
      </c>
      <c r="D23" s="243">
        <f>+D14+D16</f>
        <v>518257</v>
      </c>
      <c r="E23" s="243">
        <f t="shared" si="0"/>
        <v>153624</v>
      </c>
      <c r="F23" s="244">
        <f t="shared" si="1"/>
        <v>0.4213112910789753</v>
      </c>
    </row>
    <row r="24" spans="1:6" s="240" customFormat="1" ht="20.25" customHeight="1">
      <c r="A24" s="241"/>
      <c r="B24" s="242" t="s">
        <v>557</v>
      </c>
      <c r="C24" s="243">
        <f>+C15+C17</f>
        <v>126760</v>
      </c>
      <c r="D24" s="243">
        <f>+D15+D17</f>
        <v>220064</v>
      </c>
      <c r="E24" s="243">
        <f t="shared" si="0"/>
        <v>93304</v>
      </c>
      <c r="F24" s="244">
        <f t="shared" si="1"/>
        <v>0.7360681603029346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239</v>
      </c>
      <c r="B26" s="231" t="s">
        <v>558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549</v>
      </c>
      <c r="C27" s="237">
        <v>0</v>
      </c>
      <c r="D27" s="237">
        <v>0</v>
      </c>
      <c r="E27" s="237">
        <f aca="true" t="shared" si="2" ref="E27:E37">D27-C27</f>
        <v>0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550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>
      <c r="A29" s="235">
        <v>3</v>
      </c>
      <c r="B29" s="236" t="s">
        <v>551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>
      <c r="A30" s="235">
        <v>4</v>
      </c>
      <c r="B30" s="236" t="s">
        <v>552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>
      <c r="A31" s="235">
        <v>5</v>
      </c>
      <c r="B31" s="236" t="s">
        <v>488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>
      <c r="A32" s="235">
        <v>6</v>
      </c>
      <c r="B32" s="236" t="s">
        <v>487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>
      <c r="A33" s="235">
        <v>7</v>
      </c>
      <c r="B33" s="236" t="s">
        <v>553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>
      <c r="A34" s="235">
        <v>8</v>
      </c>
      <c r="B34" s="236" t="s">
        <v>554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>
      <c r="A35" s="235">
        <v>9</v>
      </c>
      <c r="B35" s="236" t="s">
        <v>555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>
      <c r="A36" s="241"/>
      <c r="B36" s="242" t="s">
        <v>556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>
      <c r="A37" s="241"/>
      <c r="B37" s="242" t="s">
        <v>557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256</v>
      </c>
      <c r="B39" s="231" t="s">
        <v>559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549</v>
      </c>
      <c r="C40" s="237">
        <v>584880</v>
      </c>
      <c r="D40" s="237">
        <v>4076896</v>
      </c>
      <c r="E40" s="237">
        <f aca="true" t="shared" si="4" ref="E40:E50">D40-C40</f>
        <v>3492016</v>
      </c>
      <c r="F40" s="238">
        <f aca="true" t="shared" si="5" ref="F40:F50">IF(C40=0,0,E40/C40)</f>
        <v>5.970482834085624</v>
      </c>
    </row>
    <row r="41" spans="1:6" ht="20.25" customHeight="1">
      <c r="A41" s="235">
        <v>2</v>
      </c>
      <c r="B41" s="236" t="s">
        <v>550</v>
      </c>
      <c r="C41" s="237">
        <v>195620</v>
      </c>
      <c r="D41" s="237">
        <v>1313627</v>
      </c>
      <c r="E41" s="237">
        <f t="shared" si="4"/>
        <v>1118007</v>
      </c>
      <c r="F41" s="238">
        <f t="shared" si="5"/>
        <v>5.715197832532461</v>
      </c>
    </row>
    <row r="42" spans="1:6" ht="20.25" customHeight="1">
      <c r="A42" s="235">
        <v>3</v>
      </c>
      <c r="B42" s="236" t="s">
        <v>551</v>
      </c>
      <c r="C42" s="237">
        <v>445837</v>
      </c>
      <c r="D42" s="237">
        <v>1397756</v>
      </c>
      <c r="E42" s="237">
        <f t="shared" si="4"/>
        <v>951919</v>
      </c>
      <c r="F42" s="238">
        <f t="shared" si="5"/>
        <v>2.135127860630679</v>
      </c>
    </row>
    <row r="43" spans="1:6" ht="20.25" customHeight="1">
      <c r="A43" s="235">
        <v>4</v>
      </c>
      <c r="B43" s="236" t="s">
        <v>552</v>
      </c>
      <c r="C43" s="237">
        <v>94567</v>
      </c>
      <c r="D43" s="237">
        <v>328774</v>
      </c>
      <c r="E43" s="237">
        <f t="shared" si="4"/>
        <v>234207</v>
      </c>
      <c r="F43" s="238">
        <f t="shared" si="5"/>
        <v>2.4766250383326107</v>
      </c>
    </row>
    <row r="44" spans="1:6" ht="20.25" customHeight="1">
      <c r="A44" s="235">
        <v>5</v>
      </c>
      <c r="B44" s="236" t="s">
        <v>488</v>
      </c>
      <c r="C44" s="239">
        <v>23</v>
      </c>
      <c r="D44" s="239">
        <v>133</v>
      </c>
      <c r="E44" s="239">
        <f t="shared" si="4"/>
        <v>110</v>
      </c>
      <c r="F44" s="238">
        <f t="shared" si="5"/>
        <v>4.782608695652174</v>
      </c>
    </row>
    <row r="45" spans="1:6" ht="20.25" customHeight="1">
      <c r="A45" s="235">
        <v>6</v>
      </c>
      <c r="B45" s="236" t="s">
        <v>487</v>
      </c>
      <c r="C45" s="239">
        <v>110</v>
      </c>
      <c r="D45" s="239">
        <v>692</v>
      </c>
      <c r="E45" s="239">
        <f t="shared" si="4"/>
        <v>582</v>
      </c>
      <c r="F45" s="238">
        <f t="shared" si="5"/>
        <v>5.290909090909091</v>
      </c>
    </row>
    <row r="46" spans="1:6" ht="20.25" customHeight="1">
      <c r="A46" s="235">
        <v>7</v>
      </c>
      <c r="B46" s="236" t="s">
        <v>553</v>
      </c>
      <c r="C46" s="239">
        <v>101</v>
      </c>
      <c r="D46" s="239">
        <v>633</v>
      </c>
      <c r="E46" s="239">
        <f t="shared" si="4"/>
        <v>532</v>
      </c>
      <c r="F46" s="238">
        <f t="shared" si="5"/>
        <v>5.267326732673268</v>
      </c>
    </row>
    <row r="47" spans="1:6" ht="20.25" customHeight="1">
      <c r="A47" s="235">
        <v>8</v>
      </c>
      <c r="B47" s="236" t="s">
        <v>554</v>
      </c>
      <c r="C47" s="239">
        <v>11</v>
      </c>
      <c r="D47" s="239">
        <v>67</v>
      </c>
      <c r="E47" s="239">
        <f t="shared" si="4"/>
        <v>56</v>
      </c>
      <c r="F47" s="238">
        <f t="shared" si="5"/>
        <v>5.090909090909091</v>
      </c>
    </row>
    <row r="48" spans="1:6" ht="20.25" customHeight="1">
      <c r="A48" s="235">
        <v>9</v>
      </c>
      <c r="B48" s="236" t="s">
        <v>555</v>
      </c>
      <c r="C48" s="239">
        <v>16</v>
      </c>
      <c r="D48" s="239">
        <v>86</v>
      </c>
      <c r="E48" s="239">
        <f t="shared" si="4"/>
        <v>70</v>
      </c>
      <c r="F48" s="238">
        <f t="shared" si="5"/>
        <v>4.375</v>
      </c>
    </row>
    <row r="49" spans="1:6" s="240" customFormat="1" ht="20.25" customHeight="1">
      <c r="A49" s="241"/>
      <c r="B49" s="242" t="s">
        <v>556</v>
      </c>
      <c r="C49" s="243">
        <f>+C40+C42</f>
        <v>1030717</v>
      </c>
      <c r="D49" s="243">
        <f>+D40+D42</f>
        <v>5474652</v>
      </c>
      <c r="E49" s="243">
        <f t="shared" si="4"/>
        <v>4443935</v>
      </c>
      <c r="F49" s="244">
        <f t="shared" si="5"/>
        <v>4.311498694598032</v>
      </c>
    </row>
    <row r="50" spans="1:6" s="240" customFormat="1" ht="20.25" customHeight="1">
      <c r="A50" s="241"/>
      <c r="B50" s="242" t="s">
        <v>557</v>
      </c>
      <c r="C50" s="243">
        <f>+C41+C43</f>
        <v>290187</v>
      </c>
      <c r="D50" s="243">
        <f>+D41+D43</f>
        <v>1642401</v>
      </c>
      <c r="E50" s="243">
        <f t="shared" si="4"/>
        <v>1352214</v>
      </c>
      <c r="F50" s="244">
        <f t="shared" si="5"/>
        <v>4.659802127593586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286</v>
      </c>
      <c r="B52" s="231" t="s">
        <v>560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549</v>
      </c>
      <c r="C53" s="237">
        <v>70643845</v>
      </c>
      <c r="D53" s="237">
        <v>82801468</v>
      </c>
      <c r="E53" s="237">
        <f aca="true" t="shared" si="6" ref="E53:E63">D53-C53</f>
        <v>12157623</v>
      </c>
      <c r="F53" s="238">
        <f aca="true" t="shared" si="7" ref="F53:F63">IF(C53=0,0,E53/C53)</f>
        <v>0.17209741344061893</v>
      </c>
    </row>
    <row r="54" spans="1:6" ht="20.25" customHeight="1">
      <c r="A54" s="235">
        <v>2</v>
      </c>
      <c r="B54" s="236" t="s">
        <v>550</v>
      </c>
      <c r="C54" s="237">
        <v>27927692</v>
      </c>
      <c r="D54" s="237">
        <v>28948852</v>
      </c>
      <c r="E54" s="237">
        <f t="shared" si="6"/>
        <v>1021160</v>
      </c>
      <c r="F54" s="238">
        <f t="shared" si="7"/>
        <v>0.03656442501585881</v>
      </c>
    </row>
    <row r="55" spans="1:6" ht="20.25" customHeight="1">
      <c r="A55" s="235">
        <v>3</v>
      </c>
      <c r="B55" s="236" t="s">
        <v>551</v>
      </c>
      <c r="C55" s="237">
        <v>15335489</v>
      </c>
      <c r="D55" s="237">
        <v>19988916</v>
      </c>
      <c r="E55" s="237">
        <f t="shared" si="6"/>
        <v>4653427</v>
      </c>
      <c r="F55" s="238">
        <f t="shared" si="7"/>
        <v>0.3034417096187803</v>
      </c>
    </row>
    <row r="56" spans="1:6" ht="20.25" customHeight="1">
      <c r="A56" s="235">
        <v>4</v>
      </c>
      <c r="B56" s="236" t="s">
        <v>552</v>
      </c>
      <c r="C56" s="237">
        <v>4678949</v>
      </c>
      <c r="D56" s="237">
        <v>5730397</v>
      </c>
      <c r="E56" s="237">
        <f t="shared" si="6"/>
        <v>1051448</v>
      </c>
      <c r="F56" s="238">
        <f t="shared" si="7"/>
        <v>0.22471884177408216</v>
      </c>
    </row>
    <row r="57" spans="1:6" ht="20.25" customHeight="1">
      <c r="A57" s="235">
        <v>5</v>
      </c>
      <c r="B57" s="236" t="s">
        <v>488</v>
      </c>
      <c r="C57" s="239">
        <v>2322</v>
      </c>
      <c r="D57" s="239">
        <v>2412</v>
      </c>
      <c r="E57" s="239">
        <f t="shared" si="6"/>
        <v>90</v>
      </c>
      <c r="F57" s="238">
        <f t="shared" si="7"/>
        <v>0.03875968992248062</v>
      </c>
    </row>
    <row r="58" spans="1:6" ht="20.25" customHeight="1">
      <c r="A58" s="235">
        <v>6</v>
      </c>
      <c r="B58" s="236" t="s">
        <v>487</v>
      </c>
      <c r="C58" s="239">
        <v>14090</v>
      </c>
      <c r="D58" s="239">
        <v>14849</v>
      </c>
      <c r="E58" s="239">
        <f t="shared" si="6"/>
        <v>759</v>
      </c>
      <c r="F58" s="238">
        <f t="shared" si="7"/>
        <v>0.053867991483321505</v>
      </c>
    </row>
    <row r="59" spans="1:6" ht="20.25" customHeight="1">
      <c r="A59" s="235">
        <v>7</v>
      </c>
      <c r="B59" s="236" t="s">
        <v>553</v>
      </c>
      <c r="C59" s="239">
        <v>7183</v>
      </c>
      <c r="D59" s="239">
        <v>8047</v>
      </c>
      <c r="E59" s="239">
        <f t="shared" si="6"/>
        <v>864</v>
      </c>
      <c r="F59" s="238">
        <f t="shared" si="7"/>
        <v>0.12028400389809273</v>
      </c>
    </row>
    <row r="60" spans="1:6" ht="20.25" customHeight="1">
      <c r="A60" s="235">
        <v>8</v>
      </c>
      <c r="B60" s="236" t="s">
        <v>554</v>
      </c>
      <c r="C60" s="239">
        <v>1274</v>
      </c>
      <c r="D60" s="239">
        <v>1431</v>
      </c>
      <c r="E60" s="239">
        <f t="shared" si="6"/>
        <v>157</v>
      </c>
      <c r="F60" s="238">
        <f t="shared" si="7"/>
        <v>0.12323390894819466</v>
      </c>
    </row>
    <row r="61" spans="1:6" ht="20.25" customHeight="1">
      <c r="A61" s="235">
        <v>9</v>
      </c>
      <c r="B61" s="236" t="s">
        <v>555</v>
      </c>
      <c r="C61" s="239">
        <v>1651</v>
      </c>
      <c r="D61" s="239">
        <v>1681</v>
      </c>
      <c r="E61" s="239">
        <f t="shared" si="6"/>
        <v>30</v>
      </c>
      <c r="F61" s="238">
        <f t="shared" si="7"/>
        <v>0.018170805572380374</v>
      </c>
    </row>
    <row r="62" spans="1:6" s="240" customFormat="1" ht="20.25" customHeight="1">
      <c r="A62" s="241"/>
      <c r="B62" s="242" t="s">
        <v>556</v>
      </c>
      <c r="C62" s="243">
        <f>+C53+C55</f>
        <v>85979334</v>
      </c>
      <c r="D62" s="243">
        <f>+D53+D55</f>
        <v>102790384</v>
      </c>
      <c r="E62" s="243">
        <f t="shared" si="6"/>
        <v>16811050</v>
      </c>
      <c r="F62" s="244">
        <f t="shared" si="7"/>
        <v>0.1955243105279229</v>
      </c>
    </row>
    <row r="63" spans="1:6" s="240" customFormat="1" ht="20.25" customHeight="1">
      <c r="A63" s="241"/>
      <c r="B63" s="242" t="s">
        <v>557</v>
      </c>
      <c r="C63" s="243">
        <f>+C54+C56</f>
        <v>32606641</v>
      </c>
      <c r="D63" s="243">
        <f>+D54+D56</f>
        <v>34679249</v>
      </c>
      <c r="E63" s="243">
        <f t="shared" si="6"/>
        <v>2072608</v>
      </c>
      <c r="F63" s="244">
        <f t="shared" si="7"/>
        <v>0.06356398379090934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291</v>
      </c>
      <c r="B65" s="231" t="s">
        <v>561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549</v>
      </c>
      <c r="C66" s="237">
        <v>0</v>
      </c>
      <c r="D66" s="237">
        <v>0</v>
      </c>
      <c r="E66" s="237">
        <f aca="true" t="shared" si="8" ref="E66:E76">D66-C66</f>
        <v>0</v>
      </c>
      <c r="F66" s="238">
        <f aca="true" t="shared" si="9" ref="F66:F76">IF(C66=0,0,E66/C66)</f>
        <v>0</v>
      </c>
    </row>
    <row r="67" spans="1:6" ht="20.25" customHeight="1">
      <c r="A67" s="235">
        <v>2</v>
      </c>
      <c r="B67" s="236" t="s">
        <v>550</v>
      </c>
      <c r="C67" s="237">
        <v>0</v>
      </c>
      <c r="D67" s="237">
        <v>0</v>
      </c>
      <c r="E67" s="237">
        <f t="shared" si="8"/>
        <v>0</v>
      </c>
      <c r="F67" s="238">
        <f t="shared" si="9"/>
        <v>0</v>
      </c>
    </row>
    <row r="68" spans="1:6" ht="20.25" customHeight="1">
      <c r="A68" s="235">
        <v>3</v>
      </c>
      <c r="B68" s="236" t="s">
        <v>551</v>
      </c>
      <c r="C68" s="237">
        <v>654</v>
      </c>
      <c r="D68" s="237">
        <v>0</v>
      </c>
      <c r="E68" s="237">
        <f t="shared" si="8"/>
        <v>-654</v>
      </c>
      <c r="F68" s="238">
        <f t="shared" si="9"/>
        <v>-1</v>
      </c>
    </row>
    <row r="69" spans="1:6" ht="20.25" customHeight="1">
      <c r="A69" s="235">
        <v>4</v>
      </c>
      <c r="B69" s="236" t="s">
        <v>552</v>
      </c>
      <c r="C69" s="237">
        <v>381</v>
      </c>
      <c r="D69" s="237">
        <v>0</v>
      </c>
      <c r="E69" s="237">
        <f t="shared" si="8"/>
        <v>-381</v>
      </c>
      <c r="F69" s="238">
        <f t="shared" si="9"/>
        <v>-1</v>
      </c>
    </row>
    <row r="70" spans="1:6" ht="20.25" customHeight="1">
      <c r="A70" s="235">
        <v>5</v>
      </c>
      <c r="B70" s="236" t="s">
        <v>488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ht="20.25" customHeight="1">
      <c r="A71" s="235">
        <v>6</v>
      </c>
      <c r="B71" s="236" t="s">
        <v>487</v>
      </c>
      <c r="C71" s="239">
        <v>0</v>
      </c>
      <c r="D71" s="239">
        <v>0</v>
      </c>
      <c r="E71" s="239">
        <f t="shared" si="8"/>
        <v>0</v>
      </c>
      <c r="F71" s="238">
        <f t="shared" si="9"/>
        <v>0</v>
      </c>
    </row>
    <row r="72" spans="1:6" ht="20.25" customHeight="1">
      <c r="A72" s="235">
        <v>7</v>
      </c>
      <c r="B72" s="236" t="s">
        <v>553</v>
      </c>
      <c r="C72" s="239">
        <v>1</v>
      </c>
      <c r="D72" s="239">
        <v>0</v>
      </c>
      <c r="E72" s="239">
        <f t="shared" si="8"/>
        <v>-1</v>
      </c>
      <c r="F72" s="238">
        <f t="shared" si="9"/>
        <v>-1</v>
      </c>
    </row>
    <row r="73" spans="1:6" ht="20.25" customHeight="1">
      <c r="A73" s="235">
        <v>8</v>
      </c>
      <c r="B73" s="236" t="s">
        <v>554</v>
      </c>
      <c r="C73" s="239">
        <v>1</v>
      </c>
      <c r="D73" s="239">
        <v>0</v>
      </c>
      <c r="E73" s="239">
        <f t="shared" si="8"/>
        <v>-1</v>
      </c>
      <c r="F73" s="238">
        <f t="shared" si="9"/>
        <v>-1</v>
      </c>
    </row>
    <row r="74" spans="1:6" ht="20.25" customHeight="1">
      <c r="A74" s="235">
        <v>9</v>
      </c>
      <c r="B74" s="236" t="s">
        <v>555</v>
      </c>
      <c r="C74" s="239">
        <v>0</v>
      </c>
      <c r="D74" s="239">
        <v>0</v>
      </c>
      <c r="E74" s="239">
        <f t="shared" si="8"/>
        <v>0</v>
      </c>
      <c r="F74" s="238">
        <f t="shared" si="9"/>
        <v>0</v>
      </c>
    </row>
    <row r="75" spans="1:6" s="240" customFormat="1" ht="20.25" customHeight="1">
      <c r="A75" s="241"/>
      <c r="B75" s="242" t="s">
        <v>556</v>
      </c>
      <c r="C75" s="243">
        <f>+C66+C68</f>
        <v>654</v>
      </c>
      <c r="D75" s="243">
        <f>+D66+D68</f>
        <v>0</v>
      </c>
      <c r="E75" s="243">
        <f t="shared" si="8"/>
        <v>-654</v>
      </c>
      <c r="F75" s="244">
        <f t="shared" si="9"/>
        <v>-1</v>
      </c>
    </row>
    <row r="76" spans="1:6" s="240" customFormat="1" ht="20.25" customHeight="1">
      <c r="A76" s="241"/>
      <c r="B76" s="242" t="s">
        <v>557</v>
      </c>
      <c r="C76" s="243">
        <f>+C67+C69</f>
        <v>381</v>
      </c>
      <c r="D76" s="243">
        <f>+D67+D69</f>
        <v>0</v>
      </c>
      <c r="E76" s="243">
        <f t="shared" si="8"/>
        <v>-381</v>
      </c>
      <c r="F76" s="244">
        <f t="shared" si="9"/>
        <v>-1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297</v>
      </c>
      <c r="B78" s="231" t="s">
        <v>562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549</v>
      </c>
      <c r="C79" s="237">
        <v>0</v>
      </c>
      <c r="D79" s="237">
        <v>0</v>
      </c>
      <c r="E79" s="237">
        <f aca="true" t="shared" si="10" ref="E79:E89">D79-C79</f>
        <v>0</v>
      </c>
      <c r="F79" s="238">
        <f aca="true" t="shared" si="11" ref="F79:F89">IF(C79=0,0,E79/C79)</f>
        <v>0</v>
      </c>
    </row>
    <row r="80" spans="1:6" ht="20.25" customHeight="1">
      <c r="A80" s="235">
        <v>2</v>
      </c>
      <c r="B80" s="236" t="s">
        <v>550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>
      <c r="A81" s="235">
        <v>3</v>
      </c>
      <c r="B81" s="236" t="s">
        <v>551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>
      <c r="A82" s="235">
        <v>4</v>
      </c>
      <c r="B82" s="236" t="s">
        <v>552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>
      <c r="A83" s="235">
        <v>5</v>
      </c>
      <c r="B83" s="236" t="s">
        <v>488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>
      <c r="A84" s="235">
        <v>6</v>
      </c>
      <c r="B84" s="236" t="s">
        <v>487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>
      <c r="A85" s="235">
        <v>7</v>
      </c>
      <c r="B85" s="236" t="s">
        <v>553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>
      <c r="A86" s="235">
        <v>8</v>
      </c>
      <c r="B86" s="236" t="s">
        <v>554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>
      <c r="A87" s="235">
        <v>9</v>
      </c>
      <c r="B87" s="236" t="s">
        <v>555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>
      <c r="A88" s="241"/>
      <c r="B88" s="242" t="s">
        <v>556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>
      <c r="A89" s="241"/>
      <c r="B89" s="242" t="s">
        <v>557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299</v>
      </c>
      <c r="B91" s="231" t="s">
        <v>563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549</v>
      </c>
      <c r="C92" s="237">
        <v>0</v>
      </c>
      <c r="D92" s="237">
        <v>0</v>
      </c>
      <c r="E92" s="237">
        <f aca="true" t="shared" si="12" ref="E92:E102">D92-C92</f>
        <v>0</v>
      </c>
      <c r="F92" s="238">
        <f aca="true" t="shared" si="13" ref="F92:F102">IF(C92=0,0,E92/C92)</f>
        <v>0</v>
      </c>
    </row>
    <row r="93" spans="1:6" ht="20.25" customHeight="1">
      <c r="A93" s="235">
        <v>2</v>
      </c>
      <c r="B93" s="236" t="s">
        <v>550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>
      <c r="A94" s="235">
        <v>3</v>
      </c>
      <c r="B94" s="236" t="s">
        <v>551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>
      <c r="A95" s="235">
        <v>4</v>
      </c>
      <c r="B95" s="236" t="s">
        <v>552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>
      <c r="A96" s="235">
        <v>5</v>
      </c>
      <c r="B96" s="236" t="s">
        <v>488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>
      <c r="A97" s="235">
        <v>6</v>
      </c>
      <c r="B97" s="236" t="s">
        <v>487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>
      <c r="A98" s="235">
        <v>7</v>
      </c>
      <c r="B98" s="236" t="s">
        <v>553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>
      <c r="A99" s="235">
        <v>8</v>
      </c>
      <c r="B99" s="236" t="s">
        <v>554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>
      <c r="A100" s="235">
        <v>9</v>
      </c>
      <c r="B100" s="236" t="s">
        <v>555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>
      <c r="A101" s="241"/>
      <c r="B101" s="242" t="s">
        <v>556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>
      <c r="A102" s="241"/>
      <c r="B102" s="242" t="s">
        <v>557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302</v>
      </c>
      <c r="B104" s="231" t="s">
        <v>564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549</v>
      </c>
      <c r="C105" s="237">
        <v>2895507</v>
      </c>
      <c r="D105" s="237">
        <v>5230147</v>
      </c>
      <c r="E105" s="237">
        <f aca="true" t="shared" si="14" ref="E105:E115">D105-C105</f>
        <v>2334640</v>
      </c>
      <c r="F105" s="238">
        <f aca="true" t="shared" si="15" ref="F105:F115">IF(C105=0,0,E105/C105)</f>
        <v>0.8062974808902206</v>
      </c>
    </row>
    <row r="106" spans="1:6" ht="20.25" customHeight="1">
      <c r="A106" s="235">
        <v>2</v>
      </c>
      <c r="B106" s="236" t="s">
        <v>550</v>
      </c>
      <c r="C106" s="237">
        <v>916168</v>
      </c>
      <c r="D106" s="237">
        <v>1611513</v>
      </c>
      <c r="E106" s="237">
        <f t="shared" si="14"/>
        <v>695345</v>
      </c>
      <c r="F106" s="238">
        <f t="shared" si="15"/>
        <v>0.7589710620759511</v>
      </c>
    </row>
    <row r="107" spans="1:6" ht="20.25" customHeight="1">
      <c r="A107" s="235">
        <v>3</v>
      </c>
      <c r="B107" s="236" t="s">
        <v>551</v>
      </c>
      <c r="C107" s="237">
        <v>1079705</v>
      </c>
      <c r="D107" s="237">
        <v>1729666</v>
      </c>
      <c r="E107" s="237">
        <f t="shared" si="14"/>
        <v>649961</v>
      </c>
      <c r="F107" s="238">
        <f t="shared" si="15"/>
        <v>0.6019801705095373</v>
      </c>
    </row>
    <row r="108" spans="1:6" ht="20.25" customHeight="1">
      <c r="A108" s="235">
        <v>4</v>
      </c>
      <c r="B108" s="236" t="s">
        <v>552</v>
      </c>
      <c r="C108" s="237">
        <v>251851</v>
      </c>
      <c r="D108" s="237">
        <v>486710</v>
      </c>
      <c r="E108" s="237">
        <f t="shared" si="14"/>
        <v>234859</v>
      </c>
      <c r="F108" s="238">
        <f t="shared" si="15"/>
        <v>0.9325315365037264</v>
      </c>
    </row>
    <row r="109" spans="1:6" ht="20.25" customHeight="1">
      <c r="A109" s="235">
        <v>5</v>
      </c>
      <c r="B109" s="236" t="s">
        <v>488</v>
      </c>
      <c r="C109" s="239">
        <v>103</v>
      </c>
      <c r="D109" s="239">
        <v>149</v>
      </c>
      <c r="E109" s="239">
        <f t="shared" si="14"/>
        <v>46</v>
      </c>
      <c r="F109" s="238">
        <f t="shared" si="15"/>
        <v>0.44660194174757284</v>
      </c>
    </row>
    <row r="110" spans="1:6" ht="20.25" customHeight="1">
      <c r="A110" s="235">
        <v>6</v>
      </c>
      <c r="B110" s="236" t="s">
        <v>487</v>
      </c>
      <c r="C110" s="239">
        <v>630</v>
      </c>
      <c r="D110" s="239">
        <v>1049</v>
      </c>
      <c r="E110" s="239">
        <f t="shared" si="14"/>
        <v>419</v>
      </c>
      <c r="F110" s="238">
        <f t="shared" si="15"/>
        <v>0.665079365079365</v>
      </c>
    </row>
    <row r="111" spans="1:6" ht="20.25" customHeight="1">
      <c r="A111" s="235">
        <v>7</v>
      </c>
      <c r="B111" s="236" t="s">
        <v>553</v>
      </c>
      <c r="C111" s="239">
        <v>483</v>
      </c>
      <c r="D111" s="239">
        <v>713</v>
      </c>
      <c r="E111" s="239">
        <f t="shared" si="14"/>
        <v>230</v>
      </c>
      <c r="F111" s="238">
        <f t="shared" si="15"/>
        <v>0.47619047619047616</v>
      </c>
    </row>
    <row r="112" spans="1:6" ht="20.25" customHeight="1">
      <c r="A112" s="235">
        <v>8</v>
      </c>
      <c r="B112" s="236" t="s">
        <v>554</v>
      </c>
      <c r="C112" s="239">
        <v>195</v>
      </c>
      <c r="D112" s="239">
        <v>283</v>
      </c>
      <c r="E112" s="239">
        <f t="shared" si="14"/>
        <v>88</v>
      </c>
      <c r="F112" s="238">
        <f t="shared" si="15"/>
        <v>0.4512820512820513</v>
      </c>
    </row>
    <row r="113" spans="1:6" ht="20.25" customHeight="1">
      <c r="A113" s="235">
        <v>9</v>
      </c>
      <c r="B113" s="236" t="s">
        <v>555</v>
      </c>
      <c r="C113" s="239">
        <v>88</v>
      </c>
      <c r="D113" s="239">
        <v>111</v>
      </c>
      <c r="E113" s="239">
        <f t="shared" si="14"/>
        <v>23</v>
      </c>
      <c r="F113" s="238">
        <f t="shared" si="15"/>
        <v>0.26136363636363635</v>
      </c>
    </row>
    <row r="114" spans="1:6" s="240" customFormat="1" ht="20.25" customHeight="1">
      <c r="A114" s="241"/>
      <c r="B114" s="242" t="s">
        <v>556</v>
      </c>
      <c r="C114" s="243">
        <f>+C105+C107</f>
        <v>3975212</v>
      </c>
      <c r="D114" s="243">
        <f>+D105+D107</f>
        <v>6959813</v>
      </c>
      <c r="E114" s="243">
        <f t="shared" si="14"/>
        <v>2984601</v>
      </c>
      <c r="F114" s="244">
        <f t="shared" si="15"/>
        <v>0.7508029760425355</v>
      </c>
    </row>
    <row r="115" spans="1:6" s="240" customFormat="1" ht="20.25" customHeight="1">
      <c r="A115" s="241"/>
      <c r="B115" s="242" t="s">
        <v>557</v>
      </c>
      <c r="C115" s="243">
        <f>+C106+C108</f>
        <v>1168019</v>
      </c>
      <c r="D115" s="243">
        <f>+D106+D108</f>
        <v>2098223</v>
      </c>
      <c r="E115" s="243">
        <f t="shared" si="14"/>
        <v>930204</v>
      </c>
      <c r="F115" s="244">
        <f t="shared" si="15"/>
        <v>0.7963945791977699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305</v>
      </c>
      <c r="B117" s="231" t="s">
        <v>565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549</v>
      </c>
      <c r="C118" s="237">
        <v>777248</v>
      </c>
      <c r="D118" s="237">
        <v>641282</v>
      </c>
      <c r="E118" s="237">
        <f aca="true" t="shared" si="16" ref="E118:E128">D118-C118</f>
        <v>-135966</v>
      </c>
      <c r="F118" s="238">
        <f aca="true" t="shared" si="17" ref="F118:F128">IF(C118=0,0,E118/C118)</f>
        <v>-0.17493258265058256</v>
      </c>
    </row>
    <row r="119" spans="1:6" ht="20.25" customHeight="1">
      <c r="A119" s="235">
        <v>2</v>
      </c>
      <c r="B119" s="236" t="s">
        <v>550</v>
      </c>
      <c r="C119" s="237">
        <v>288240</v>
      </c>
      <c r="D119" s="237">
        <v>197624</v>
      </c>
      <c r="E119" s="237">
        <f t="shared" si="16"/>
        <v>-90616</v>
      </c>
      <c r="F119" s="238">
        <f t="shared" si="17"/>
        <v>-0.3143769081321121</v>
      </c>
    </row>
    <row r="120" spans="1:6" ht="20.25" customHeight="1">
      <c r="A120" s="235">
        <v>3</v>
      </c>
      <c r="B120" s="236" t="s">
        <v>551</v>
      </c>
      <c r="C120" s="237">
        <v>141624</v>
      </c>
      <c r="D120" s="237">
        <v>494757</v>
      </c>
      <c r="E120" s="237">
        <f t="shared" si="16"/>
        <v>353133</v>
      </c>
      <c r="F120" s="238">
        <f t="shared" si="17"/>
        <v>2.4934544992374175</v>
      </c>
    </row>
    <row r="121" spans="1:6" ht="20.25" customHeight="1">
      <c r="A121" s="235">
        <v>4</v>
      </c>
      <c r="B121" s="236" t="s">
        <v>552</v>
      </c>
      <c r="C121" s="237">
        <v>57968</v>
      </c>
      <c r="D121" s="237">
        <v>111573</v>
      </c>
      <c r="E121" s="237">
        <f t="shared" si="16"/>
        <v>53605</v>
      </c>
      <c r="F121" s="238">
        <f t="shared" si="17"/>
        <v>0.9247343361854816</v>
      </c>
    </row>
    <row r="122" spans="1:6" ht="20.25" customHeight="1">
      <c r="A122" s="235">
        <v>5</v>
      </c>
      <c r="B122" s="236" t="s">
        <v>488</v>
      </c>
      <c r="C122" s="239">
        <v>20</v>
      </c>
      <c r="D122" s="239">
        <v>25</v>
      </c>
      <c r="E122" s="239">
        <f t="shared" si="16"/>
        <v>5</v>
      </c>
      <c r="F122" s="238">
        <f t="shared" si="17"/>
        <v>0.25</v>
      </c>
    </row>
    <row r="123" spans="1:6" ht="20.25" customHeight="1">
      <c r="A123" s="235">
        <v>6</v>
      </c>
      <c r="B123" s="236" t="s">
        <v>487</v>
      </c>
      <c r="C123" s="239">
        <v>171</v>
      </c>
      <c r="D123" s="239">
        <v>140</v>
      </c>
      <c r="E123" s="239">
        <f t="shared" si="16"/>
        <v>-31</v>
      </c>
      <c r="F123" s="238">
        <f t="shared" si="17"/>
        <v>-0.18128654970760233</v>
      </c>
    </row>
    <row r="124" spans="1:6" ht="20.25" customHeight="1">
      <c r="A124" s="235">
        <v>7</v>
      </c>
      <c r="B124" s="236" t="s">
        <v>553</v>
      </c>
      <c r="C124" s="239">
        <v>52</v>
      </c>
      <c r="D124" s="239">
        <v>255</v>
      </c>
      <c r="E124" s="239">
        <f t="shared" si="16"/>
        <v>203</v>
      </c>
      <c r="F124" s="238">
        <f t="shared" si="17"/>
        <v>3.9038461538461537</v>
      </c>
    </row>
    <row r="125" spans="1:6" ht="20.25" customHeight="1">
      <c r="A125" s="235">
        <v>8</v>
      </c>
      <c r="B125" s="236" t="s">
        <v>554</v>
      </c>
      <c r="C125" s="239">
        <v>21</v>
      </c>
      <c r="D125" s="239">
        <v>48</v>
      </c>
      <c r="E125" s="239">
        <f t="shared" si="16"/>
        <v>27</v>
      </c>
      <c r="F125" s="238">
        <f t="shared" si="17"/>
        <v>1.2857142857142858</v>
      </c>
    </row>
    <row r="126" spans="1:6" ht="20.25" customHeight="1">
      <c r="A126" s="235">
        <v>9</v>
      </c>
      <c r="B126" s="236" t="s">
        <v>555</v>
      </c>
      <c r="C126" s="239">
        <v>13</v>
      </c>
      <c r="D126" s="239">
        <v>19</v>
      </c>
      <c r="E126" s="239">
        <f t="shared" si="16"/>
        <v>6</v>
      </c>
      <c r="F126" s="238">
        <f t="shared" si="17"/>
        <v>0.46153846153846156</v>
      </c>
    </row>
    <row r="127" spans="1:6" s="240" customFormat="1" ht="20.25" customHeight="1">
      <c r="A127" s="241"/>
      <c r="B127" s="242" t="s">
        <v>556</v>
      </c>
      <c r="C127" s="243">
        <f>+C118+C120</f>
        <v>918872</v>
      </c>
      <c r="D127" s="243">
        <f>+D118+D120</f>
        <v>1136039</v>
      </c>
      <c r="E127" s="243">
        <f t="shared" si="16"/>
        <v>217167</v>
      </c>
      <c r="F127" s="244">
        <f t="shared" si="17"/>
        <v>0.23634086140398228</v>
      </c>
    </row>
    <row r="128" spans="1:6" s="240" customFormat="1" ht="20.25" customHeight="1">
      <c r="A128" s="241"/>
      <c r="B128" s="242" t="s">
        <v>557</v>
      </c>
      <c r="C128" s="243">
        <f>+C119+C121</f>
        <v>346208</v>
      </c>
      <c r="D128" s="243">
        <f>+D119+D121</f>
        <v>309197</v>
      </c>
      <c r="E128" s="243">
        <f t="shared" si="16"/>
        <v>-37011</v>
      </c>
      <c r="F128" s="244">
        <f t="shared" si="17"/>
        <v>-0.10690394213882984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314</v>
      </c>
      <c r="B130" s="231" t="s">
        <v>566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549</v>
      </c>
      <c r="C131" s="237">
        <v>366456</v>
      </c>
      <c r="D131" s="237">
        <v>881276</v>
      </c>
      <c r="E131" s="237">
        <f aca="true" t="shared" si="18" ref="E131:E141">D131-C131</f>
        <v>514820</v>
      </c>
      <c r="F131" s="238">
        <f aca="true" t="shared" si="19" ref="F131:F141">IF(C131=0,0,E131/C131)</f>
        <v>1.4048617023599013</v>
      </c>
    </row>
    <row r="132" spans="1:6" ht="20.25" customHeight="1">
      <c r="A132" s="235">
        <v>2</v>
      </c>
      <c r="B132" s="236" t="s">
        <v>550</v>
      </c>
      <c r="C132" s="237">
        <v>138872</v>
      </c>
      <c r="D132" s="237">
        <v>250608</v>
      </c>
      <c r="E132" s="237">
        <f t="shared" si="18"/>
        <v>111736</v>
      </c>
      <c r="F132" s="238">
        <f t="shared" si="19"/>
        <v>0.8045970389999424</v>
      </c>
    </row>
    <row r="133" spans="1:6" ht="20.25" customHeight="1">
      <c r="A133" s="235">
        <v>3</v>
      </c>
      <c r="B133" s="236" t="s">
        <v>551</v>
      </c>
      <c r="C133" s="237">
        <v>18068</v>
      </c>
      <c r="D133" s="237">
        <v>89234</v>
      </c>
      <c r="E133" s="237">
        <f t="shared" si="18"/>
        <v>71166</v>
      </c>
      <c r="F133" s="238">
        <f t="shared" si="19"/>
        <v>3.9387868054018154</v>
      </c>
    </row>
    <row r="134" spans="1:6" ht="20.25" customHeight="1">
      <c r="A134" s="235">
        <v>4</v>
      </c>
      <c r="B134" s="236" t="s">
        <v>552</v>
      </c>
      <c r="C134" s="237">
        <v>7404</v>
      </c>
      <c r="D134" s="237">
        <v>23782</v>
      </c>
      <c r="E134" s="237">
        <f t="shared" si="18"/>
        <v>16378</v>
      </c>
      <c r="F134" s="238">
        <f t="shared" si="19"/>
        <v>2.21204754186926</v>
      </c>
    </row>
    <row r="135" spans="1:6" ht="20.25" customHeight="1">
      <c r="A135" s="235">
        <v>5</v>
      </c>
      <c r="B135" s="236" t="s">
        <v>488</v>
      </c>
      <c r="C135" s="239">
        <v>8</v>
      </c>
      <c r="D135" s="239">
        <v>26</v>
      </c>
      <c r="E135" s="239">
        <f t="shared" si="18"/>
        <v>18</v>
      </c>
      <c r="F135" s="238">
        <f t="shared" si="19"/>
        <v>2.25</v>
      </c>
    </row>
    <row r="136" spans="1:6" ht="20.25" customHeight="1">
      <c r="A136" s="235">
        <v>6</v>
      </c>
      <c r="B136" s="236" t="s">
        <v>487</v>
      </c>
      <c r="C136" s="239">
        <v>44</v>
      </c>
      <c r="D136" s="239">
        <v>139</v>
      </c>
      <c r="E136" s="239">
        <f t="shared" si="18"/>
        <v>95</v>
      </c>
      <c r="F136" s="238">
        <f t="shared" si="19"/>
        <v>2.159090909090909</v>
      </c>
    </row>
    <row r="137" spans="1:6" ht="20.25" customHeight="1">
      <c r="A137" s="235">
        <v>7</v>
      </c>
      <c r="B137" s="236" t="s">
        <v>553</v>
      </c>
      <c r="C137" s="239">
        <v>17</v>
      </c>
      <c r="D137" s="239">
        <v>62</v>
      </c>
      <c r="E137" s="239">
        <f t="shared" si="18"/>
        <v>45</v>
      </c>
      <c r="F137" s="238">
        <f t="shared" si="19"/>
        <v>2.6470588235294117</v>
      </c>
    </row>
    <row r="138" spans="1:6" ht="20.25" customHeight="1">
      <c r="A138" s="235">
        <v>8</v>
      </c>
      <c r="B138" s="236" t="s">
        <v>554</v>
      </c>
      <c r="C138" s="239">
        <v>6</v>
      </c>
      <c r="D138" s="239">
        <v>27</v>
      </c>
      <c r="E138" s="239">
        <f t="shared" si="18"/>
        <v>21</v>
      </c>
      <c r="F138" s="238">
        <f t="shared" si="19"/>
        <v>3.5</v>
      </c>
    </row>
    <row r="139" spans="1:6" ht="20.25" customHeight="1">
      <c r="A139" s="235">
        <v>9</v>
      </c>
      <c r="B139" s="236" t="s">
        <v>555</v>
      </c>
      <c r="C139" s="239">
        <v>7</v>
      </c>
      <c r="D139" s="239">
        <v>19</v>
      </c>
      <c r="E139" s="239">
        <f t="shared" si="18"/>
        <v>12</v>
      </c>
      <c r="F139" s="238">
        <f t="shared" si="19"/>
        <v>1.7142857142857142</v>
      </c>
    </row>
    <row r="140" spans="1:6" s="240" customFormat="1" ht="20.25" customHeight="1">
      <c r="A140" s="241"/>
      <c r="B140" s="242" t="s">
        <v>556</v>
      </c>
      <c r="C140" s="243">
        <f>+C131+C133</f>
        <v>384524</v>
      </c>
      <c r="D140" s="243">
        <f>+D131+D133</f>
        <v>970510</v>
      </c>
      <c r="E140" s="243">
        <f t="shared" si="18"/>
        <v>585986</v>
      </c>
      <c r="F140" s="244">
        <f t="shared" si="19"/>
        <v>1.523925684742695</v>
      </c>
    </row>
    <row r="141" spans="1:6" s="240" customFormat="1" ht="20.25" customHeight="1">
      <c r="A141" s="241"/>
      <c r="B141" s="242" t="s">
        <v>557</v>
      </c>
      <c r="C141" s="243">
        <f>+C132+C134</f>
        <v>146276</v>
      </c>
      <c r="D141" s="243">
        <f>+D132+D134</f>
        <v>274390</v>
      </c>
      <c r="E141" s="243">
        <f t="shared" si="18"/>
        <v>128114</v>
      </c>
      <c r="F141" s="244">
        <f t="shared" si="19"/>
        <v>0.8758374579561924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333</v>
      </c>
      <c r="B143" s="231" t="s">
        <v>567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549</v>
      </c>
      <c r="C144" s="237">
        <v>0</v>
      </c>
      <c r="D144" s="237">
        <v>0</v>
      </c>
      <c r="E144" s="237">
        <f aca="true" t="shared" si="20" ref="E144:E154">D144-C144</f>
        <v>0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550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>
      <c r="A146" s="235">
        <v>3</v>
      </c>
      <c r="B146" s="236" t="s">
        <v>551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>
      <c r="A147" s="235">
        <v>4</v>
      </c>
      <c r="B147" s="236" t="s">
        <v>552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>
      <c r="A148" s="235">
        <v>5</v>
      </c>
      <c r="B148" s="236" t="s">
        <v>488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>
      <c r="A149" s="235">
        <v>6</v>
      </c>
      <c r="B149" s="236" t="s">
        <v>487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>
      <c r="A150" s="235">
        <v>7</v>
      </c>
      <c r="B150" s="236" t="s">
        <v>553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>
      <c r="A151" s="235">
        <v>8</v>
      </c>
      <c r="B151" s="236" t="s">
        <v>554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>
      <c r="A152" s="235">
        <v>9</v>
      </c>
      <c r="B152" s="236" t="s">
        <v>555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>
      <c r="A153" s="241"/>
      <c r="B153" s="242" t="s">
        <v>556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>
      <c r="A154" s="241"/>
      <c r="B154" s="242" t="s">
        <v>557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568</v>
      </c>
      <c r="B156" s="231" t="s">
        <v>569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549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550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551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552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488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487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553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554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555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556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557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570</v>
      </c>
      <c r="B169" s="231" t="s">
        <v>571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549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550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551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552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488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487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553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554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555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556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557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572</v>
      </c>
      <c r="B182" s="231" t="s">
        <v>573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549</v>
      </c>
      <c r="C183" s="237">
        <v>1747884</v>
      </c>
      <c r="D183" s="237">
        <v>3319747</v>
      </c>
      <c r="E183" s="237">
        <f aca="true" t="shared" si="26" ref="E183:E193">D183-C183</f>
        <v>1571863</v>
      </c>
      <c r="F183" s="238">
        <f aca="true" t="shared" si="27" ref="F183:F193">IF(C183=0,0,E183/C183)</f>
        <v>0.8992948044607079</v>
      </c>
    </row>
    <row r="184" spans="1:6" ht="20.25" customHeight="1">
      <c r="A184" s="235">
        <v>2</v>
      </c>
      <c r="B184" s="236" t="s">
        <v>550</v>
      </c>
      <c r="C184" s="237">
        <v>726508</v>
      </c>
      <c r="D184" s="237">
        <v>1119847</v>
      </c>
      <c r="E184" s="237">
        <f t="shared" si="26"/>
        <v>393339</v>
      </c>
      <c r="F184" s="238">
        <f t="shared" si="27"/>
        <v>0.5414104180545843</v>
      </c>
    </row>
    <row r="185" spans="1:6" ht="20.25" customHeight="1">
      <c r="A185" s="235">
        <v>3</v>
      </c>
      <c r="B185" s="236" t="s">
        <v>551</v>
      </c>
      <c r="C185" s="237">
        <v>294790</v>
      </c>
      <c r="D185" s="237">
        <v>1168456</v>
      </c>
      <c r="E185" s="237">
        <f t="shared" si="26"/>
        <v>873666</v>
      </c>
      <c r="F185" s="238">
        <f t="shared" si="27"/>
        <v>2.9636894060178434</v>
      </c>
    </row>
    <row r="186" spans="1:6" ht="20.25" customHeight="1">
      <c r="A186" s="235">
        <v>4</v>
      </c>
      <c r="B186" s="236" t="s">
        <v>552</v>
      </c>
      <c r="C186" s="237">
        <v>96954</v>
      </c>
      <c r="D186" s="237">
        <v>260894</v>
      </c>
      <c r="E186" s="237">
        <f t="shared" si="26"/>
        <v>163940</v>
      </c>
      <c r="F186" s="238">
        <f t="shared" si="27"/>
        <v>1.6909049652412484</v>
      </c>
    </row>
    <row r="187" spans="1:6" ht="20.25" customHeight="1">
      <c r="A187" s="235">
        <v>5</v>
      </c>
      <c r="B187" s="236" t="s">
        <v>488</v>
      </c>
      <c r="C187" s="239">
        <v>79</v>
      </c>
      <c r="D187" s="239">
        <v>108</v>
      </c>
      <c r="E187" s="239">
        <f t="shared" si="26"/>
        <v>29</v>
      </c>
      <c r="F187" s="238">
        <f t="shared" si="27"/>
        <v>0.3670886075949367</v>
      </c>
    </row>
    <row r="188" spans="1:6" ht="20.25" customHeight="1">
      <c r="A188" s="235">
        <v>6</v>
      </c>
      <c r="B188" s="236" t="s">
        <v>487</v>
      </c>
      <c r="C188" s="239">
        <v>417</v>
      </c>
      <c r="D188" s="239">
        <v>606</v>
      </c>
      <c r="E188" s="239">
        <f t="shared" si="26"/>
        <v>189</v>
      </c>
      <c r="F188" s="238">
        <f t="shared" si="27"/>
        <v>0.45323741007194246</v>
      </c>
    </row>
    <row r="189" spans="1:6" ht="20.25" customHeight="1">
      <c r="A189" s="235">
        <v>7</v>
      </c>
      <c r="B189" s="236" t="s">
        <v>553</v>
      </c>
      <c r="C189" s="239">
        <v>171</v>
      </c>
      <c r="D189" s="239">
        <v>466</v>
      </c>
      <c r="E189" s="239">
        <f t="shared" si="26"/>
        <v>295</v>
      </c>
      <c r="F189" s="238">
        <f t="shared" si="27"/>
        <v>1.7251461988304093</v>
      </c>
    </row>
    <row r="190" spans="1:6" ht="20.25" customHeight="1">
      <c r="A190" s="235">
        <v>8</v>
      </c>
      <c r="B190" s="236" t="s">
        <v>554</v>
      </c>
      <c r="C190" s="239">
        <v>50</v>
      </c>
      <c r="D190" s="239">
        <v>130</v>
      </c>
      <c r="E190" s="239">
        <f t="shared" si="26"/>
        <v>80</v>
      </c>
      <c r="F190" s="238">
        <f t="shared" si="27"/>
        <v>1.6</v>
      </c>
    </row>
    <row r="191" spans="1:6" ht="20.25" customHeight="1">
      <c r="A191" s="235">
        <v>9</v>
      </c>
      <c r="B191" s="236" t="s">
        <v>555</v>
      </c>
      <c r="C191" s="239">
        <v>75</v>
      </c>
      <c r="D191" s="239">
        <v>72</v>
      </c>
      <c r="E191" s="239">
        <f t="shared" si="26"/>
        <v>-3</v>
      </c>
      <c r="F191" s="238">
        <f t="shared" si="27"/>
        <v>-0.04</v>
      </c>
    </row>
    <row r="192" spans="1:6" s="240" customFormat="1" ht="20.25" customHeight="1">
      <c r="A192" s="241"/>
      <c r="B192" s="242" t="s">
        <v>556</v>
      </c>
      <c r="C192" s="243">
        <f>+C183+C185</f>
        <v>2042674</v>
      </c>
      <c r="D192" s="243">
        <f>+D183+D185</f>
        <v>4488203</v>
      </c>
      <c r="E192" s="243">
        <f t="shared" si="26"/>
        <v>2445529</v>
      </c>
      <c r="F192" s="244">
        <f t="shared" si="27"/>
        <v>1.1972194290425198</v>
      </c>
    </row>
    <row r="193" spans="1:6" s="240" customFormat="1" ht="20.25" customHeight="1">
      <c r="A193" s="241"/>
      <c r="B193" s="242" t="s">
        <v>557</v>
      </c>
      <c r="C193" s="243">
        <f>+C184+C186</f>
        <v>823462</v>
      </c>
      <c r="D193" s="243">
        <f>+D184+D186</f>
        <v>1380741</v>
      </c>
      <c r="E193" s="243">
        <f t="shared" si="26"/>
        <v>557279</v>
      </c>
      <c r="F193" s="244">
        <f t="shared" si="27"/>
        <v>0.6767513255013589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88" t="s">
        <v>159</v>
      </c>
      <c r="B195" s="689" t="s">
        <v>574</v>
      </c>
      <c r="C195" s="691"/>
      <c r="D195" s="692"/>
      <c r="E195" s="692"/>
      <c r="F195" s="693"/>
      <c r="G195" s="694"/>
      <c r="H195" s="694"/>
      <c r="I195" s="694"/>
    </row>
    <row r="196" spans="1:9" ht="20.25" customHeight="1">
      <c r="A196" s="680"/>
      <c r="B196" s="690"/>
      <c r="C196" s="686"/>
      <c r="D196" s="660"/>
      <c r="E196" s="660"/>
      <c r="F196" s="661"/>
      <c r="G196" s="694"/>
      <c r="H196" s="694"/>
      <c r="I196" s="694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575</v>
      </c>
      <c r="C198" s="243">
        <f aca="true" t="shared" si="28" ref="C198:D206">+C183+C170+C157+C144+C131+C118+C105+C92+C79+C66+C53+C40+C27+C14</f>
        <v>77336166</v>
      </c>
      <c r="D198" s="243">
        <f t="shared" si="28"/>
        <v>97381396</v>
      </c>
      <c r="E198" s="243">
        <f aca="true" t="shared" si="29" ref="E198:E208">D198-C198</f>
        <v>20045230</v>
      </c>
      <c r="F198" s="251">
        <f aca="true" t="shared" si="30" ref="F198:F208">IF(C198=0,0,E198/C198)</f>
        <v>0.2591960661716796</v>
      </c>
    </row>
    <row r="199" spans="1:6" ht="20.25" customHeight="1">
      <c r="A199" s="249"/>
      <c r="B199" s="250" t="s">
        <v>576</v>
      </c>
      <c r="C199" s="243">
        <f t="shared" si="28"/>
        <v>30312565</v>
      </c>
      <c r="D199" s="243">
        <f t="shared" si="28"/>
        <v>33638866</v>
      </c>
      <c r="E199" s="243">
        <f t="shared" si="29"/>
        <v>3326301</v>
      </c>
      <c r="F199" s="251">
        <f t="shared" si="30"/>
        <v>0.10973340593249037</v>
      </c>
    </row>
    <row r="200" spans="1:6" ht="20.25" customHeight="1">
      <c r="A200" s="249"/>
      <c r="B200" s="250" t="s">
        <v>577</v>
      </c>
      <c r="C200" s="243">
        <f t="shared" si="28"/>
        <v>17360454</v>
      </c>
      <c r="D200" s="243">
        <f t="shared" si="28"/>
        <v>24956462</v>
      </c>
      <c r="E200" s="243">
        <f t="shared" si="29"/>
        <v>7596008</v>
      </c>
      <c r="F200" s="251">
        <f t="shared" si="30"/>
        <v>0.4375466217646151</v>
      </c>
    </row>
    <row r="201" spans="1:6" ht="20.25" customHeight="1">
      <c r="A201" s="249"/>
      <c r="B201" s="250" t="s">
        <v>578</v>
      </c>
      <c r="C201" s="243">
        <f t="shared" si="28"/>
        <v>5195369</v>
      </c>
      <c r="D201" s="243">
        <f t="shared" si="28"/>
        <v>6965399</v>
      </c>
      <c r="E201" s="243">
        <f t="shared" si="29"/>
        <v>1770030</v>
      </c>
      <c r="F201" s="251">
        <f t="shared" si="30"/>
        <v>0.340693798650298</v>
      </c>
    </row>
    <row r="202" spans="1:6" ht="20.25" customHeight="1">
      <c r="A202" s="249"/>
      <c r="B202" s="250" t="s">
        <v>579</v>
      </c>
      <c r="C202" s="252">
        <f t="shared" si="28"/>
        <v>2564</v>
      </c>
      <c r="D202" s="252">
        <f t="shared" si="28"/>
        <v>2870</v>
      </c>
      <c r="E202" s="252">
        <f t="shared" si="29"/>
        <v>306</v>
      </c>
      <c r="F202" s="251">
        <f t="shared" si="30"/>
        <v>0.11934477379095164</v>
      </c>
    </row>
    <row r="203" spans="1:6" ht="20.25" customHeight="1">
      <c r="A203" s="249"/>
      <c r="B203" s="250" t="s">
        <v>580</v>
      </c>
      <c r="C203" s="252">
        <f t="shared" si="28"/>
        <v>15496</v>
      </c>
      <c r="D203" s="252">
        <f t="shared" si="28"/>
        <v>17559</v>
      </c>
      <c r="E203" s="252">
        <f t="shared" si="29"/>
        <v>2063</v>
      </c>
      <c r="F203" s="251">
        <f t="shared" si="30"/>
        <v>0.13313113061435208</v>
      </c>
    </row>
    <row r="204" spans="1:6" ht="39.75" customHeight="1">
      <c r="A204" s="249"/>
      <c r="B204" s="250" t="s">
        <v>581</v>
      </c>
      <c r="C204" s="252">
        <f t="shared" si="28"/>
        <v>8036</v>
      </c>
      <c r="D204" s="252">
        <f t="shared" si="28"/>
        <v>10206</v>
      </c>
      <c r="E204" s="252">
        <f t="shared" si="29"/>
        <v>2170</v>
      </c>
      <c r="F204" s="251">
        <f t="shared" si="30"/>
        <v>0.2700348432055749</v>
      </c>
    </row>
    <row r="205" spans="1:6" ht="39.75" customHeight="1">
      <c r="A205" s="249"/>
      <c r="B205" s="250" t="s">
        <v>582</v>
      </c>
      <c r="C205" s="252">
        <f t="shared" si="28"/>
        <v>1564</v>
      </c>
      <c r="D205" s="252">
        <f t="shared" si="28"/>
        <v>2010</v>
      </c>
      <c r="E205" s="252">
        <f t="shared" si="29"/>
        <v>446</v>
      </c>
      <c r="F205" s="251">
        <f t="shared" si="30"/>
        <v>0.2851662404092072</v>
      </c>
    </row>
    <row r="206" spans="1:6" ht="39.75" customHeight="1">
      <c r="A206" s="249"/>
      <c r="B206" s="250" t="s">
        <v>583</v>
      </c>
      <c r="C206" s="252">
        <f t="shared" si="28"/>
        <v>1859</v>
      </c>
      <c r="D206" s="252">
        <f t="shared" si="28"/>
        <v>2004</v>
      </c>
      <c r="E206" s="252">
        <f t="shared" si="29"/>
        <v>145</v>
      </c>
      <c r="F206" s="251">
        <f t="shared" si="30"/>
        <v>0.07799892415277031</v>
      </c>
    </row>
    <row r="207" spans="1:6" ht="20.25" customHeight="1">
      <c r="A207" s="249"/>
      <c r="B207" s="242" t="s">
        <v>584</v>
      </c>
      <c r="C207" s="243">
        <f>+C198+C200</f>
        <v>94696620</v>
      </c>
      <c r="D207" s="243">
        <f>+D198+D200</f>
        <v>122337858</v>
      </c>
      <c r="E207" s="243">
        <f t="shared" si="29"/>
        <v>27641238</v>
      </c>
      <c r="F207" s="251">
        <f t="shared" si="30"/>
        <v>0.291892551180813</v>
      </c>
    </row>
    <row r="208" spans="1:6" ht="20.25" customHeight="1">
      <c r="A208" s="249"/>
      <c r="B208" s="242" t="s">
        <v>585</v>
      </c>
      <c r="C208" s="243">
        <f>+C199+C201</f>
        <v>35507934</v>
      </c>
      <c r="D208" s="243">
        <f>+D199+D201</f>
        <v>40604265</v>
      </c>
      <c r="E208" s="243">
        <f t="shared" si="29"/>
        <v>5096331</v>
      </c>
      <c r="F208" s="251">
        <f t="shared" si="30"/>
        <v>0.14352654254680094</v>
      </c>
    </row>
  </sheetData>
  <sheetProtection/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/>
  <headerFooter alignWithMargins="0">
    <oddHeader>&amp;LOFFICE OF HEALTH CARE ACCESS&amp;CTWELVE MONTHS ACTUAL FILING&amp;RSAINT VINCENT`S MEDICAL CENTER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A1" sqref="A1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115</v>
      </c>
      <c r="B2" s="687"/>
      <c r="C2" s="687"/>
      <c r="D2" s="687"/>
      <c r="E2" s="687"/>
      <c r="F2" s="687"/>
    </row>
    <row r="3" spans="1:6" ht="20.25" customHeight="1">
      <c r="A3" s="687" t="s">
        <v>116</v>
      </c>
      <c r="B3" s="687"/>
      <c r="C3" s="687"/>
      <c r="D3" s="687"/>
      <c r="E3" s="687"/>
      <c r="F3" s="687"/>
    </row>
    <row r="4" spans="1:6" ht="20.25" customHeight="1">
      <c r="A4" s="687" t="s">
        <v>117</v>
      </c>
      <c r="B4" s="687"/>
      <c r="C4" s="687"/>
      <c r="D4" s="687"/>
      <c r="E4" s="687"/>
      <c r="F4" s="687"/>
    </row>
    <row r="5" spans="1:6" ht="20.25" customHeight="1">
      <c r="A5" s="687" t="s">
        <v>586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545</v>
      </c>
      <c r="D8" s="223" t="s">
        <v>546</v>
      </c>
      <c r="E8" s="223" t="s">
        <v>547</v>
      </c>
      <c r="F8" s="224" t="s">
        <v>223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88" t="s">
        <v>127</v>
      </c>
      <c r="B10" s="689" t="s">
        <v>230</v>
      </c>
      <c r="C10" s="691"/>
      <c r="D10" s="692"/>
      <c r="E10" s="692"/>
      <c r="F10" s="693"/>
    </row>
    <row r="11" spans="1:6" ht="20.25" customHeight="1">
      <c r="A11" s="680"/>
      <c r="B11" s="690"/>
      <c r="C11" s="686"/>
      <c r="D11" s="660"/>
      <c r="E11" s="660"/>
      <c r="F11" s="661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225</v>
      </c>
      <c r="B13" s="261" t="s">
        <v>587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549</v>
      </c>
      <c r="C14" s="237">
        <v>4605030</v>
      </c>
      <c r="D14" s="237">
        <v>1797253</v>
      </c>
      <c r="E14" s="237">
        <f aca="true" t="shared" si="0" ref="E14:E24">D14-C14</f>
        <v>-2807777</v>
      </c>
      <c r="F14" s="238">
        <f aca="true" t="shared" si="1" ref="F14:F24">IF(C14=0,0,E14/C14)</f>
        <v>-0.6097195892317748</v>
      </c>
    </row>
    <row r="15" spans="1:6" ht="20.25" customHeight="1">
      <c r="A15" s="235">
        <v>2</v>
      </c>
      <c r="B15" s="236" t="s">
        <v>550</v>
      </c>
      <c r="C15" s="237">
        <v>1197501</v>
      </c>
      <c r="D15" s="237">
        <v>592031</v>
      </c>
      <c r="E15" s="237">
        <f t="shared" si="0"/>
        <v>-605470</v>
      </c>
      <c r="F15" s="238">
        <f t="shared" si="1"/>
        <v>-0.5056112688006106</v>
      </c>
    </row>
    <row r="16" spans="1:6" ht="20.25" customHeight="1">
      <c r="A16" s="235">
        <v>3</v>
      </c>
      <c r="B16" s="236" t="s">
        <v>551</v>
      </c>
      <c r="C16" s="237">
        <v>4751062</v>
      </c>
      <c r="D16" s="237">
        <v>2117584</v>
      </c>
      <c r="E16" s="237">
        <f t="shared" si="0"/>
        <v>-2633478</v>
      </c>
      <c r="F16" s="238">
        <f t="shared" si="1"/>
        <v>-0.5542924929205302</v>
      </c>
    </row>
    <row r="17" spans="1:6" ht="20.25" customHeight="1">
      <c r="A17" s="235">
        <v>4</v>
      </c>
      <c r="B17" s="236" t="s">
        <v>552</v>
      </c>
      <c r="C17" s="237">
        <v>1532871</v>
      </c>
      <c r="D17" s="237">
        <v>916316</v>
      </c>
      <c r="E17" s="237">
        <f t="shared" si="0"/>
        <v>-616555</v>
      </c>
      <c r="F17" s="238">
        <f t="shared" si="1"/>
        <v>-0.40222236574375797</v>
      </c>
    </row>
    <row r="18" spans="1:6" ht="20.25" customHeight="1">
      <c r="A18" s="235">
        <v>5</v>
      </c>
      <c r="B18" s="236" t="s">
        <v>488</v>
      </c>
      <c r="C18" s="239">
        <v>394</v>
      </c>
      <c r="D18" s="239">
        <v>149</v>
      </c>
      <c r="E18" s="239">
        <f t="shared" si="0"/>
        <v>-245</v>
      </c>
      <c r="F18" s="238">
        <f t="shared" si="1"/>
        <v>-0.6218274111675127</v>
      </c>
    </row>
    <row r="19" spans="1:6" ht="20.25" customHeight="1">
      <c r="A19" s="235">
        <v>6</v>
      </c>
      <c r="B19" s="236" t="s">
        <v>487</v>
      </c>
      <c r="C19" s="239">
        <v>1251</v>
      </c>
      <c r="D19" s="239">
        <v>431</v>
      </c>
      <c r="E19" s="239">
        <f t="shared" si="0"/>
        <v>-820</v>
      </c>
      <c r="F19" s="238">
        <f t="shared" si="1"/>
        <v>-0.6554756195043965</v>
      </c>
    </row>
    <row r="20" spans="1:6" ht="20.25" customHeight="1">
      <c r="A20" s="235">
        <v>7</v>
      </c>
      <c r="B20" s="236" t="s">
        <v>553</v>
      </c>
      <c r="C20" s="239">
        <v>5796</v>
      </c>
      <c r="D20" s="239">
        <v>1958</v>
      </c>
      <c r="E20" s="239">
        <f t="shared" si="0"/>
        <v>-3838</v>
      </c>
      <c r="F20" s="238">
        <f t="shared" si="1"/>
        <v>-0.6621808143547274</v>
      </c>
    </row>
    <row r="21" spans="1:6" ht="20.25" customHeight="1">
      <c r="A21" s="235">
        <v>8</v>
      </c>
      <c r="B21" s="236" t="s">
        <v>554</v>
      </c>
      <c r="C21" s="239">
        <v>2679</v>
      </c>
      <c r="D21" s="239">
        <v>891</v>
      </c>
      <c r="E21" s="239">
        <f t="shared" si="0"/>
        <v>-1788</v>
      </c>
      <c r="F21" s="238">
        <f t="shared" si="1"/>
        <v>-0.6674132138857782</v>
      </c>
    </row>
    <row r="22" spans="1:6" ht="20.25" customHeight="1">
      <c r="A22" s="235">
        <v>9</v>
      </c>
      <c r="B22" s="236" t="s">
        <v>555</v>
      </c>
      <c r="C22" s="239">
        <v>97</v>
      </c>
      <c r="D22" s="239">
        <v>52</v>
      </c>
      <c r="E22" s="239">
        <f t="shared" si="0"/>
        <v>-45</v>
      </c>
      <c r="F22" s="238">
        <f t="shared" si="1"/>
        <v>-0.4639175257731959</v>
      </c>
    </row>
    <row r="23" spans="1:6" s="240" customFormat="1" ht="39.75" customHeight="1">
      <c r="A23" s="245"/>
      <c r="B23" s="242" t="s">
        <v>556</v>
      </c>
      <c r="C23" s="243">
        <f>+C14+C16</f>
        <v>9356092</v>
      </c>
      <c r="D23" s="243">
        <f>+D14+D16</f>
        <v>3914837</v>
      </c>
      <c r="E23" s="243">
        <f t="shared" si="0"/>
        <v>-5441255</v>
      </c>
      <c r="F23" s="244">
        <f t="shared" si="1"/>
        <v>-0.5815734817485763</v>
      </c>
    </row>
    <row r="24" spans="1:6" s="240" customFormat="1" ht="39.75" customHeight="1">
      <c r="A24" s="245"/>
      <c r="B24" s="242" t="s">
        <v>585</v>
      </c>
      <c r="C24" s="243">
        <f>+C15+C17</f>
        <v>2730372</v>
      </c>
      <c r="D24" s="243">
        <f>+D15+D17</f>
        <v>1508347</v>
      </c>
      <c r="E24" s="243">
        <f t="shared" si="0"/>
        <v>-1222025</v>
      </c>
      <c r="F24" s="244">
        <f t="shared" si="1"/>
        <v>-0.4475672179468585</v>
      </c>
    </row>
    <row r="25" spans="1:6" ht="42" customHeight="1">
      <c r="A25" s="227" t="s">
        <v>239</v>
      </c>
      <c r="B25" s="261" t="s">
        <v>588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549</v>
      </c>
      <c r="C26" s="237">
        <v>2050573</v>
      </c>
      <c r="D26" s="237">
        <v>7315635</v>
      </c>
      <c r="E26" s="237">
        <f aca="true" t="shared" si="2" ref="E26:E36">D26-C26</f>
        <v>5265062</v>
      </c>
      <c r="F26" s="238">
        <f aca="true" t="shared" si="3" ref="F26:F36">IF(C26=0,0,E26/C26)</f>
        <v>2.567605249849676</v>
      </c>
    </row>
    <row r="27" spans="1:6" ht="20.25" customHeight="1">
      <c r="A27" s="235">
        <v>2</v>
      </c>
      <c r="B27" s="236" t="s">
        <v>550</v>
      </c>
      <c r="C27" s="237">
        <v>499967</v>
      </c>
      <c r="D27" s="237">
        <v>1746994</v>
      </c>
      <c r="E27" s="237">
        <f t="shared" si="2"/>
        <v>1247027</v>
      </c>
      <c r="F27" s="238">
        <f t="shared" si="3"/>
        <v>2.494218618428816</v>
      </c>
    </row>
    <row r="28" spans="1:6" ht="20.25" customHeight="1">
      <c r="A28" s="235">
        <v>3</v>
      </c>
      <c r="B28" s="236" t="s">
        <v>551</v>
      </c>
      <c r="C28" s="237">
        <v>2961938</v>
      </c>
      <c r="D28" s="237">
        <v>9881200</v>
      </c>
      <c r="E28" s="237">
        <f t="shared" si="2"/>
        <v>6919262</v>
      </c>
      <c r="F28" s="238">
        <f t="shared" si="3"/>
        <v>2.3360590262186447</v>
      </c>
    </row>
    <row r="29" spans="1:6" ht="20.25" customHeight="1">
      <c r="A29" s="235">
        <v>4</v>
      </c>
      <c r="B29" s="236" t="s">
        <v>552</v>
      </c>
      <c r="C29" s="237">
        <v>745418</v>
      </c>
      <c r="D29" s="237">
        <v>3370552</v>
      </c>
      <c r="E29" s="237">
        <f t="shared" si="2"/>
        <v>2625134</v>
      </c>
      <c r="F29" s="238">
        <f t="shared" si="3"/>
        <v>3.5216938684067194</v>
      </c>
    </row>
    <row r="30" spans="1:6" ht="20.25" customHeight="1">
      <c r="A30" s="235">
        <v>5</v>
      </c>
      <c r="B30" s="236" t="s">
        <v>488</v>
      </c>
      <c r="C30" s="239">
        <v>222</v>
      </c>
      <c r="D30" s="239">
        <v>609</v>
      </c>
      <c r="E30" s="239">
        <f t="shared" si="2"/>
        <v>387</v>
      </c>
      <c r="F30" s="238">
        <f t="shared" si="3"/>
        <v>1.7432432432432432</v>
      </c>
    </row>
    <row r="31" spans="1:6" ht="20.25" customHeight="1">
      <c r="A31" s="235">
        <v>6</v>
      </c>
      <c r="B31" s="236" t="s">
        <v>487</v>
      </c>
      <c r="C31" s="239">
        <v>641</v>
      </c>
      <c r="D31" s="239">
        <v>1830</v>
      </c>
      <c r="E31" s="239">
        <f t="shared" si="2"/>
        <v>1189</v>
      </c>
      <c r="F31" s="238">
        <f t="shared" si="3"/>
        <v>1.8549141965678626</v>
      </c>
    </row>
    <row r="32" spans="1:6" ht="20.25" customHeight="1">
      <c r="A32" s="235">
        <v>7</v>
      </c>
      <c r="B32" s="236" t="s">
        <v>553</v>
      </c>
      <c r="C32" s="239">
        <v>2285</v>
      </c>
      <c r="D32" s="239">
        <v>9678</v>
      </c>
      <c r="E32" s="239">
        <f t="shared" si="2"/>
        <v>7393</v>
      </c>
      <c r="F32" s="238">
        <f t="shared" si="3"/>
        <v>3.235448577680525</v>
      </c>
    </row>
    <row r="33" spans="1:6" ht="20.25" customHeight="1">
      <c r="A33" s="235">
        <v>8</v>
      </c>
      <c r="B33" s="236" t="s">
        <v>554</v>
      </c>
      <c r="C33" s="239">
        <v>2295</v>
      </c>
      <c r="D33" s="239">
        <v>5487</v>
      </c>
      <c r="E33" s="239">
        <f t="shared" si="2"/>
        <v>3192</v>
      </c>
      <c r="F33" s="238">
        <f t="shared" si="3"/>
        <v>1.3908496732026143</v>
      </c>
    </row>
    <row r="34" spans="1:6" ht="20.25" customHeight="1">
      <c r="A34" s="235">
        <v>9</v>
      </c>
      <c r="B34" s="236" t="s">
        <v>555</v>
      </c>
      <c r="C34" s="239">
        <v>57</v>
      </c>
      <c r="D34" s="239">
        <v>161</v>
      </c>
      <c r="E34" s="239">
        <f t="shared" si="2"/>
        <v>104</v>
      </c>
      <c r="F34" s="238">
        <f t="shared" si="3"/>
        <v>1.8245614035087718</v>
      </c>
    </row>
    <row r="35" spans="1:6" s="240" customFormat="1" ht="39.75" customHeight="1">
      <c r="A35" s="245"/>
      <c r="B35" s="242" t="s">
        <v>556</v>
      </c>
      <c r="C35" s="243">
        <f>+C26+C28</f>
        <v>5012511</v>
      </c>
      <c r="D35" s="243">
        <f>+D26+D28</f>
        <v>17196835</v>
      </c>
      <c r="E35" s="243">
        <f t="shared" si="2"/>
        <v>12184324</v>
      </c>
      <c r="F35" s="244">
        <f t="shared" si="3"/>
        <v>2.430782496038413</v>
      </c>
    </row>
    <row r="36" spans="1:6" s="240" customFormat="1" ht="39.75" customHeight="1">
      <c r="A36" s="245"/>
      <c r="B36" s="242" t="s">
        <v>585</v>
      </c>
      <c r="C36" s="243">
        <f>+C27+C29</f>
        <v>1245385</v>
      </c>
      <c r="D36" s="243">
        <f>+D27+D29</f>
        <v>5117546</v>
      </c>
      <c r="E36" s="243">
        <f t="shared" si="2"/>
        <v>3872161</v>
      </c>
      <c r="F36" s="244">
        <f t="shared" si="3"/>
        <v>3.10920799592094</v>
      </c>
    </row>
    <row r="37" spans="1:6" ht="42" customHeight="1">
      <c r="A37" s="227" t="s">
        <v>256</v>
      </c>
      <c r="B37" s="261" t="s">
        <v>589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549</v>
      </c>
      <c r="C38" s="237">
        <v>2774548</v>
      </c>
      <c r="D38" s="237">
        <v>0</v>
      </c>
      <c r="E38" s="237">
        <f aca="true" t="shared" si="4" ref="E38:E48">D38-C38</f>
        <v>-2774548</v>
      </c>
      <c r="F38" s="238">
        <f aca="true" t="shared" si="5" ref="F38:F48">IF(C38=0,0,E38/C38)</f>
        <v>-1</v>
      </c>
    </row>
    <row r="39" spans="1:6" ht="20.25" customHeight="1">
      <c r="A39" s="235">
        <v>2</v>
      </c>
      <c r="B39" s="236" t="s">
        <v>550</v>
      </c>
      <c r="C39" s="237">
        <v>1003538</v>
      </c>
      <c r="D39" s="237">
        <v>0</v>
      </c>
      <c r="E39" s="237">
        <f t="shared" si="4"/>
        <v>-1003538</v>
      </c>
      <c r="F39" s="238">
        <f t="shared" si="5"/>
        <v>-1</v>
      </c>
    </row>
    <row r="40" spans="1:6" ht="20.25" customHeight="1">
      <c r="A40" s="235">
        <v>3</v>
      </c>
      <c r="B40" s="236" t="s">
        <v>551</v>
      </c>
      <c r="C40" s="237">
        <v>3176922</v>
      </c>
      <c r="D40" s="237">
        <v>8336</v>
      </c>
      <c r="E40" s="237">
        <f t="shared" si="4"/>
        <v>-3168586</v>
      </c>
      <c r="F40" s="238">
        <f t="shared" si="5"/>
        <v>-0.9973760765923746</v>
      </c>
    </row>
    <row r="41" spans="1:6" ht="20.25" customHeight="1">
      <c r="A41" s="235">
        <v>4</v>
      </c>
      <c r="B41" s="236" t="s">
        <v>552</v>
      </c>
      <c r="C41" s="237">
        <v>1374361</v>
      </c>
      <c r="D41" s="237">
        <v>8336</v>
      </c>
      <c r="E41" s="237">
        <f t="shared" si="4"/>
        <v>-1366025</v>
      </c>
      <c r="F41" s="238">
        <f t="shared" si="5"/>
        <v>-0.9939346358052943</v>
      </c>
    </row>
    <row r="42" spans="1:6" ht="20.25" customHeight="1">
      <c r="A42" s="235">
        <v>5</v>
      </c>
      <c r="B42" s="236" t="s">
        <v>488</v>
      </c>
      <c r="C42" s="239">
        <v>270</v>
      </c>
      <c r="D42" s="239">
        <v>0</v>
      </c>
      <c r="E42" s="239">
        <f t="shared" si="4"/>
        <v>-270</v>
      </c>
      <c r="F42" s="238">
        <f t="shared" si="5"/>
        <v>-1</v>
      </c>
    </row>
    <row r="43" spans="1:6" ht="20.25" customHeight="1">
      <c r="A43" s="235">
        <v>6</v>
      </c>
      <c r="B43" s="236" t="s">
        <v>487</v>
      </c>
      <c r="C43" s="239">
        <v>808</v>
      </c>
      <c r="D43" s="239">
        <v>0</v>
      </c>
      <c r="E43" s="239">
        <f t="shared" si="4"/>
        <v>-808</v>
      </c>
      <c r="F43" s="238">
        <f t="shared" si="5"/>
        <v>-1</v>
      </c>
    </row>
    <row r="44" spans="1:6" ht="20.25" customHeight="1">
      <c r="A44" s="235">
        <v>7</v>
      </c>
      <c r="B44" s="236" t="s">
        <v>553</v>
      </c>
      <c r="C44" s="239">
        <v>4370</v>
      </c>
      <c r="D44" s="239">
        <v>3</v>
      </c>
      <c r="E44" s="239">
        <f t="shared" si="4"/>
        <v>-4367</v>
      </c>
      <c r="F44" s="238">
        <f t="shared" si="5"/>
        <v>-0.9993135011441647</v>
      </c>
    </row>
    <row r="45" spans="1:6" ht="20.25" customHeight="1">
      <c r="A45" s="235">
        <v>8</v>
      </c>
      <c r="B45" s="236" t="s">
        <v>554</v>
      </c>
      <c r="C45" s="239">
        <v>1971</v>
      </c>
      <c r="D45" s="239">
        <v>1</v>
      </c>
      <c r="E45" s="239">
        <f t="shared" si="4"/>
        <v>-1970</v>
      </c>
      <c r="F45" s="238">
        <f t="shared" si="5"/>
        <v>-0.9994926433282597</v>
      </c>
    </row>
    <row r="46" spans="1:6" ht="20.25" customHeight="1">
      <c r="A46" s="235">
        <v>9</v>
      </c>
      <c r="B46" s="236" t="s">
        <v>555</v>
      </c>
      <c r="C46" s="239">
        <v>68</v>
      </c>
      <c r="D46" s="239">
        <v>1</v>
      </c>
      <c r="E46" s="239">
        <f t="shared" si="4"/>
        <v>-67</v>
      </c>
      <c r="F46" s="238">
        <f t="shared" si="5"/>
        <v>-0.9852941176470589</v>
      </c>
    </row>
    <row r="47" spans="1:6" s="240" customFormat="1" ht="39.75" customHeight="1">
      <c r="A47" s="245"/>
      <c r="B47" s="242" t="s">
        <v>556</v>
      </c>
      <c r="C47" s="243">
        <f>+C38+C40</f>
        <v>5951470</v>
      </c>
      <c r="D47" s="243">
        <f>+D38+D40</f>
        <v>8336</v>
      </c>
      <c r="E47" s="243">
        <f t="shared" si="4"/>
        <v>-5943134</v>
      </c>
      <c r="F47" s="244">
        <f t="shared" si="5"/>
        <v>-0.9985993376426329</v>
      </c>
    </row>
    <row r="48" spans="1:6" s="240" customFormat="1" ht="39.75" customHeight="1">
      <c r="A48" s="245"/>
      <c r="B48" s="242" t="s">
        <v>585</v>
      </c>
      <c r="C48" s="243">
        <f>+C39+C41</f>
        <v>2377899</v>
      </c>
      <c r="D48" s="243">
        <f>+D39+D41</f>
        <v>8336</v>
      </c>
      <c r="E48" s="243">
        <f t="shared" si="4"/>
        <v>-2369563</v>
      </c>
      <c r="F48" s="244">
        <f t="shared" si="5"/>
        <v>-0.9964943843283504</v>
      </c>
    </row>
    <row r="49" spans="1:6" ht="42" customHeight="1">
      <c r="A49" s="227" t="s">
        <v>286</v>
      </c>
      <c r="B49" s="261" t="s">
        <v>590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549</v>
      </c>
      <c r="C50" s="237">
        <v>2058764</v>
      </c>
      <c r="D50" s="237">
        <v>18361105</v>
      </c>
      <c r="E50" s="237">
        <f aca="true" t="shared" si="6" ref="E50:E60">D50-C50</f>
        <v>16302341</v>
      </c>
      <c r="F50" s="238">
        <f aca="true" t="shared" si="7" ref="F50:F60">IF(C50=0,0,E50/C50)</f>
        <v>7.918508872313679</v>
      </c>
    </row>
    <row r="51" spans="1:6" ht="20.25" customHeight="1">
      <c r="A51" s="235">
        <v>2</v>
      </c>
      <c r="B51" s="236" t="s">
        <v>550</v>
      </c>
      <c r="C51" s="237">
        <v>265113</v>
      </c>
      <c r="D51" s="237">
        <v>4341623</v>
      </c>
      <c r="E51" s="237">
        <f t="shared" si="6"/>
        <v>4076510</v>
      </c>
      <c r="F51" s="238">
        <f t="shared" si="7"/>
        <v>15.376499832147047</v>
      </c>
    </row>
    <row r="52" spans="1:6" ht="20.25" customHeight="1">
      <c r="A52" s="235">
        <v>3</v>
      </c>
      <c r="B52" s="236" t="s">
        <v>551</v>
      </c>
      <c r="C52" s="237">
        <v>1201034</v>
      </c>
      <c r="D52" s="237">
        <v>1530264</v>
      </c>
      <c r="E52" s="237">
        <f t="shared" si="6"/>
        <v>329230</v>
      </c>
      <c r="F52" s="238">
        <f t="shared" si="7"/>
        <v>0.2741221314300844</v>
      </c>
    </row>
    <row r="53" spans="1:6" ht="20.25" customHeight="1">
      <c r="A53" s="235">
        <v>4</v>
      </c>
      <c r="B53" s="236" t="s">
        <v>552</v>
      </c>
      <c r="C53" s="237">
        <v>198753</v>
      </c>
      <c r="D53" s="237">
        <v>400936</v>
      </c>
      <c r="E53" s="237">
        <f t="shared" si="6"/>
        <v>202183</v>
      </c>
      <c r="F53" s="238">
        <f t="shared" si="7"/>
        <v>1.0172576011431274</v>
      </c>
    </row>
    <row r="54" spans="1:6" ht="20.25" customHeight="1">
      <c r="A54" s="235">
        <v>5</v>
      </c>
      <c r="B54" s="236" t="s">
        <v>488</v>
      </c>
      <c r="C54" s="239">
        <v>153</v>
      </c>
      <c r="D54" s="239">
        <v>730</v>
      </c>
      <c r="E54" s="239">
        <f t="shared" si="6"/>
        <v>577</v>
      </c>
      <c r="F54" s="238">
        <f t="shared" si="7"/>
        <v>3.7712418300653594</v>
      </c>
    </row>
    <row r="55" spans="1:6" ht="20.25" customHeight="1">
      <c r="A55" s="235">
        <v>6</v>
      </c>
      <c r="B55" s="236" t="s">
        <v>487</v>
      </c>
      <c r="C55" s="239">
        <v>663</v>
      </c>
      <c r="D55" s="239">
        <v>7302</v>
      </c>
      <c r="E55" s="239">
        <f t="shared" si="6"/>
        <v>6639</v>
      </c>
      <c r="F55" s="238">
        <f t="shared" si="7"/>
        <v>10.013574660633484</v>
      </c>
    </row>
    <row r="56" spans="1:6" ht="20.25" customHeight="1">
      <c r="A56" s="235">
        <v>7</v>
      </c>
      <c r="B56" s="236" t="s">
        <v>553</v>
      </c>
      <c r="C56" s="239">
        <v>314</v>
      </c>
      <c r="D56" s="239">
        <v>622</v>
      </c>
      <c r="E56" s="239">
        <f t="shared" si="6"/>
        <v>308</v>
      </c>
      <c r="F56" s="238">
        <f t="shared" si="7"/>
        <v>0.9808917197452229</v>
      </c>
    </row>
    <row r="57" spans="1:6" ht="20.25" customHeight="1">
      <c r="A57" s="235">
        <v>8</v>
      </c>
      <c r="B57" s="236" t="s">
        <v>554</v>
      </c>
      <c r="C57" s="239">
        <v>797</v>
      </c>
      <c r="D57" s="239">
        <v>1081</v>
      </c>
      <c r="E57" s="239">
        <f t="shared" si="6"/>
        <v>284</v>
      </c>
      <c r="F57" s="238">
        <f t="shared" si="7"/>
        <v>0.35633626097867</v>
      </c>
    </row>
    <row r="58" spans="1:6" ht="20.25" customHeight="1">
      <c r="A58" s="235">
        <v>9</v>
      </c>
      <c r="B58" s="236" t="s">
        <v>555</v>
      </c>
      <c r="C58" s="239">
        <v>123</v>
      </c>
      <c r="D58" s="239">
        <v>349</v>
      </c>
      <c r="E58" s="239">
        <f t="shared" si="6"/>
        <v>226</v>
      </c>
      <c r="F58" s="238">
        <f t="shared" si="7"/>
        <v>1.8373983739837398</v>
      </c>
    </row>
    <row r="59" spans="1:6" s="240" customFormat="1" ht="39.75" customHeight="1">
      <c r="A59" s="245"/>
      <c r="B59" s="242" t="s">
        <v>556</v>
      </c>
      <c r="C59" s="243">
        <f>+C50+C52</f>
        <v>3259798</v>
      </c>
      <c r="D59" s="243">
        <f>+D50+D52</f>
        <v>19891369</v>
      </c>
      <c r="E59" s="243">
        <f t="shared" si="6"/>
        <v>16631571</v>
      </c>
      <c r="F59" s="244">
        <f t="shared" si="7"/>
        <v>5.1020250334529935</v>
      </c>
    </row>
    <row r="60" spans="1:6" s="240" customFormat="1" ht="39.75" customHeight="1">
      <c r="A60" s="245"/>
      <c r="B60" s="242" t="s">
        <v>585</v>
      </c>
      <c r="C60" s="243">
        <f>+C51+C53</f>
        <v>463866</v>
      </c>
      <c r="D60" s="243">
        <f>+D51+D53</f>
        <v>4742559</v>
      </c>
      <c r="E60" s="243">
        <f t="shared" si="6"/>
        <v>4278693</v>
      </c>
      <c r="F60" s="244">
        <f t="shared" si="7"/>
        <v>9.223984943927773</v>
      </c>
    </row>
    <row r="61" spans="1:6" ht="42" customHeight="1">
      <c r="A61" s="227" t="s">
        <v>291</v>
      </c>
      <c r="B61" s="261" t="s">
        <v>564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549</v>
      </c>
      <c r="C62" s="237">
        <v>0</v>
      </c>
      <c r="D62" s="237">
        <v>0</v>
      </c>
      <c r="E62" s="237">
        <f aca="true" t="shared" si="8" ref="E62:E72">D62-C62</f>
        <v>0</v>
      </c>
      <c r="F62" s="238">
        <f aca="true" t="shared" si="9" ref="F62:F72">IF(C62=0,0,E62/C62)</f>
        <v>0</v>
      </c>
    </row>
    <row r="63" spans="1:6" ht="20.25" customHeight="1">
      <c r="A63" s="235">
        <v>2</v>
      </c>
      <c r="B63" s="236" t="s">
        <v>550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>
      <c r="A64" s="235">
        <v>3</v>
      </c>
      <c r="B64" s="236" t="s">
        <v>551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>
      <c r="A65" s="235">
        <v>4</v>
      </c>
      <c r="B65" s="236" t="s">
        <v>552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>
      <c r="A66" s="235">
        <v>5</v>
      </c>
      <c r="B66" s="236" t="s">
        <v>488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>
      <c r="A67" s="235">
        <v>6</v>
      </c>
      <c r="B67" s="236" t="s">
        <v>487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>
      <c r="A68" s="235">
        <v>7</v>
      </c>
      <c r="B68" s="236" t="s">
        <v>553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>
      <c r="A69" s="235">
        <v>8</v>
      </c>
      <c r="B69" s="236" t="s">
        <v>554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>
      <c r="A70" s="235">
        <v>9</v>
      </c>
      <c r="B70" s="236" t="s">
        <v>555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75" customHeight="1">
      <c r="A71" s="245"/>
      <c r="B71" s="242" t="s">
        <v>556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75" customHeight="1">
      <c r="A72" s="245"/>
      <c r="B72" s="242" t="s">
        <v>585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>
      <c r="A73" s="227" t="s">
        <v>297</v>
      </c>
      <c r="B73" s="261" t="s">
        <v>591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549</v>
      </c>
      <c r="C74" s="237">
        <v>576521</v>
      </c>
      <c r="D74" s="237">
        <v>0</v>
      </c>
      <c r="E74" s="237">
        <f aca="true" t="shared" si="10" ref="E74:E84">D74-C74</f>
        <v>-576521</v>
      </c>
      <c r="F74" s="238">
        <f aca="true" t="shared" si="11" ref="F74:F84">IF(C74=0,0,E74/C74)</f>
        <v>-1</v>
      </c>
    </row>
    <row r="75" spans="1:6" ht="20.25" customHeight="1">
      <c r="A75" s="235">
        <v>2</v>
      </c>
      <c r="B75" s="236" t="s">
        <v>550</v>
      </c>
      <c r="C75" s="237">
        <v>205472</v>
      </c>
      <c r="D75" s="237">
        <v>0</v>
      </c>
      <c r="E75" s="237">
        <f t="shared" si="10"/>
        <v>-205472</v>
      </c>
      <c r="F75" s="238">
        <f t="shared" si="11"/>
        <v>-1</v>
      </c>
    </row>
    <row r="76" spans="1:6" ht="20.25" customHeight="1">
      <c r="A76" s="235">
        <v>3</v>
      </c>
      <c r="B76" s="236" t="s">
        <v>551</v>
      </c>
      <c r="C76" s="237">
        <v>728809</v>
      </c>
      <c r="D76" s="237">
        <v>2754</v>
      </c>
      <c r="E76" s="237">
        <f t="shared" si="10"/>
        <v>-726055</v>
      </c>
      <c r="F76" s="238">
        <f t="shared" si="11"/>
        <v>-0.996221232174685</v>
      </c>
    </row>
    <row r="77" spans="1:6" ht="20.25" customHeight="1">
      <c r="A77" s="235">
        <v>4</v>
      </c>
      <c r="B77" s="236" t="s">
        <v>552</v>
      </c>
      <c r="C77" s="237">
        <v>293152</v>
      </c>
      <c r="D77" s="237">
        <v>1634</v>
      </c>
      <c r="E77" s="237">
        <f t="shared" si="10"/>
        <v>-291518</v>
      </c>
      <c r="F77" s="238">
        <f t="shared" si="11"/>
        <v>-0.9944260997707673</v>
      </c>
    </row>
    <row r="78" spans="1:6" ht="20.25" customHeight="1">
      <c r="A78" s="235">
        <v>5</v>
      </c>
      <c r="B78" s="236" t="s">
        <v>488</v>
      </c>
      <c r="C78" s="239">
        <v>56</v>
      </c>
      <c r="D78" s="239">
        <v>0</v>
      </c>
      <c r="E78" s="239">
        <f t="shared" si="10"/>
        <v>-56</v>
      </c>
      <c r="F78" s="238">
        <f t="shared" si="11"/>
        <v>-1</v>
      </c>
    </row>
    <row r="79" spans="1:6" ht="20.25" customHeight="1">
      <c r="A79" s="235">
        <v>6</v>
      </c>
      <c r="B79" s="236" t="s">
        <v>487</v>
      </c>
      <c r="C79" s="239">
        <v>167</v>
      </c>
      <c r="D79" s="239">
        <v>0</v>
      </c>
      <c r="E79" s="239">
        <f t="shared" si="10"/>
        <v>-167</v>
      </c>
      <c r="F79" s="238">
        <f t="shared" si="11"/>
        <v>-1</v>
      </c>
    </row>
    <row r="80" spans="1:6" ht="20.25" customHeight="1">
      <c r="A80" s="235">
        <v>7</v>
      </c>
      <c r="B80" s="236" t="s">
        <v>553</v>
      </c>
      <c r="C80" s="239">
        <v>188</v>
      </c>
      <c r="D80" s="239">
        <v>0</v>
      </c>
      <c r="E80" s="239">
        <f t="shared" si="10"/>
        <v>-188</v>
      </c>
      <c r="F80" s="238">
        <f t="shared" si="11"/>
        <v>-1</v>
      </c>
    </row>
    <row r="81" spans="1:6" ht="20.25" customHeight="1">
      <c r="A81" s="235">
        <v>8</v>
      </c>
      <c r="B81" s="236" t="s">
        <v>554</v>
      </c>
      <c r="C81" s="239">
        <v>723</v>
      </c>
      <c r="D81" s="239">
        <v>2</v>
      </c>
      <c r="E81" s="239">
        <f t="shared" si="10"/>
        <v>-721</v>
      </c>
      <c r="F81" s="238">
        <f t="shared" si="11"/>
        <v>-0.9972337482710927</v>
      </c>
    </row>
    <row r="82" spans="1:6" ht="20.25" customHeight="1">
      <c r="A82" s="235">
        <v>9</v>
      </c>
      <c r="B82" s="236" t="s">
        <v>555</v>
      </c>
      <c r="C82" s="239">
        <v>22</v>
      </c>
      <c r="D82" s="239">
        <v>0</v>
      </c>
      <c r="E82" s="239">
        <f t="shared" si="10"/>
        <v>-22</v>
      </c>
      <c r="F82" s="238">
        <f t="shared" si="11"/>
        <v>-1</v>
      </c>
    </row>
    <row r="83" spans="1:6" s="240" customFormat="1" ht="39.75" customHeight="1">
      <c r="A83" s="245"/>
      <c r="B83" s="242" t="s">
        <v>556</v>
      </c>
      <c r="C83" s="243">
        <f>+C74+C76</f>
        <v>1305330</v>
      </c>
      <c r="D83" s="243">
        <f>+D74+D76</f>
        <v>2754</v>
      </c>
      <c r="E83" s="243">
        <f t="shared" si="10"/>
        <v>-1302576</v>
      </c>
      <c r="F83" s="244">
        <f t="shared" si="11"/>
        <v>-0.997890188687918</v>
      </c>
    </row>
    <row r="84" spans="1:6" s="240" customFormat="1" ht="39.75" customHeight="1">
      <c r="A84" s="245"/>
      <c r="B84" s="242" t="s">
        <v>585</v>
      </c>
      <c r="C84" s="243">
        <f>+C75+C77</f>
        <v>498624</v>
      </c>
      <c r="D84" s="243">
        <f>+D75+D77</f>
        <v>1634</v>
      </c>
      <c r="E84" s="243">
        <f t="shared" si="10"/>
        <v>-496990</v>
      </c>
      <c r="F84" s="244">
        <f t="shared" si="11"/>
        <v>-0.9967229816454883</v>
      </c>
    </row>
    <row r="85" spans="1:6" ht="42" customHeight="1">
      <c r="A85" s="227" t="s">
        <v>299</v>
      </c>
      <c r="B85" s="261" t="s">
        <v>592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549</v>
      </c>
      <c r="C86" s="237">
        <v>0</v>
      </c>
      <c r="D86" s="237">
        <v>0</v>
      </c>
      <c r="E86" s="237">
        <f aca="true" t="shared" si="12" ref="E86:E96">D86-C86</f>
        <v>0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550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>
      <c r="A88" s="235">
        <v>3</v>
      </c>
      <c r="B88" s="236" t="s">
        <v>551</v>
      </c>
      <c r="C88" s="237">
        <v>0</v>
      </c>
      <c r="D88" s="237">
        <v>0</v>
      </c>
      <c r="E88" s="237">
        <f t="shared" si="12"/>
        <v>0</v>
      </c>
      <c r="F88" s="238">
        <f t="shared" si="13"/>
        <v>0</v>
      </c>
    </row>
    <row r="89" spans="1:6" ht="20.25" customHeight="1">
      <c r="A89" s="235">
        <v>4</v>
      </c>
      <c r="B89" s="236" t="s">
        <v>552</v>
      </c>
      <c r="C89" s="237">
        <v>0</v>
      </c>
      <c r="D89" s="237">
        <v>0</v>
      </c>
      <c r="E89" s="237">
        <f t="shared" si="12"/>
        <v>0</v>
      </c>
      <c r="F89" s="238">
        <f t="shared" si="13"/>
        <v>0</v>
      </c>
    </row>
    <row r="90" spans="1:6" ht="20.25" customHeight="1">
      <c r="A90" s="235">
        <v>5</v>
      </c>
      <c r="B90" s="236" t="s">
        <v>488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>
      <c r="A91" s="235">
        <v>6</v>
      </c>
      <c r="B91" s="236" t="s">
        <v>487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>
      <c r="A92" s="235">
        <v>7</v>
      </c>
      <c r="B92" s="236" t="s">
        <v>553</v>
      </c>
      <c r="C92" s="239">
        <v>0</v>
      </c>
      <c r="D92" s="239">
        <v>0</v>
      </c>
      <c r="E92" s="239">
        <f t="shared" si="12"/>
        <v>0</v>
      </c>
      <c r="F92" s="238">
        <f t="shared" si="13"/>
        <v>0</v>
      </c>
    </row>
    <row r="93" spans="1:6" ht="20.25" customHeight="1">
      <c r="A93" s="235">
        <v>8</v>
      </c>
      <c r="B93" s="236" t="s">
        <v>554</v>
      </c>
      <c r="C93" s="239">
        <v>0</v>
      </c>
      <c r="D93" s="239">
        <v>0</v>
      </c>
      <c r="E93" s="239">
        <f t="shared" si="12"/>
        <v>0</v>
      </c>
      <c r="F93" s="238">
        <f t="shared" si="13"/>
        <v>0</v>
      </c>
    </row>
    <row r="94" spans="1:6" ht="20.25" customHeight="1">
      <c r="A94" s="235">
        <v>9</v>
      </c>
      <c r="B94" s="236" t="s">
        <v>555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75" customHeight="1">
      <c r="A95" s="245"/>
      <c r="B95" s="242" t="s">
        <v>556</v>
      </c>
      <c r="C95" s="243">
        <f>+C86+C88</f>
        <v>0</v>
      </c>
      <c r="D95" s="243">
        <f>+D86+D88</f>
        <v>0</v>
      </c>
      <c r="E95" s="243">
        <f t="shared" si="12"/>
        <v>0</v>
      </c>
      <c r="F95" s="244">
        <f t="shared" si="13"/>
        <v>0</v>
      </c>
    </row>
    <row r="96" spans="1:6" s="240" customFormat="1" ht="39.75" customHeight="1">
      <c r="A96" s="245"/>
      <c r="B96" s="242" t="s">
        <v>585</v>
      </c>
      <c r="C96" s="243">
        <f>+C87+C89</f>
        <v>0</v>
      </c>
      <c r="D96" s="243">
        <f>+D87+D89</f>
        <v>0</v>
      </c>
      <c r="E96" s="243">
        <f t="shared" si="12"/>
        <v>0</v>
      </c>
      <c r="F96" s="244">
        <f t="shared" si="13"/>
        <v>0</v>
      </c>
    </row>
    <row r="97" spans="1:6" ht="42" customHeight="1">
      <c r="A97" s="227" t="s">
        <v>302</v>
      </c>
      <c r="B97" s="261" t="s">
        <v>565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549</v>
      </c>
      <c r="C98" s="237">
        <v>0</v>
      </c>
      <c r="D98" s="237">
        <v>353837</v>
      </c>
      <c r="E98" s="237">
        <f aca="true" t="shared" si="14" ref="E98:E108">D98-C98</f>
        <v>353837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550</v>
      </c>
      <c r="C99" s="237">
        <v>0</v>
      </c>
      <c r="D99" s="237">
        <v>3483</v>
      </c>
      <c r="E99" s="237">
        <f t="shared" si="14"/>
        <v>3483</v>
      </c>
      <c r="F99" s="238">
        <f t="shared" si="15"/>
        <v>0</v>
      </c>
    </row>
    <row r="100" spans="1:6" ht="20.25" customHeight="1">
      <c r="A100" s="235">
        <v>3</v>
      </c>
      <c r="B100" s="236" t="s">
        <v>551</v>
      </c>
      <c r="C100" s="237">
        <v>0</v>
      </c>
      <c r="D100" s="237">
        <v>326556</v>
      </c>
      <c r="E100" s="237">
        <f t="shared" si="14"/>
        <v>326556</v>
      </c>
      <c r="F100" s="238">
        <f t="shared" si="15"/>
        <v>0</v>
      </c>
    </row>
    <row r="101" spans="1:6" ht="20.25" customHeight="1">
      <c r="A101" s="235">
        <v>4</v>
      </c>
      <c r="B101" s="236" t="s">
        <v>552</v>
      </c>
      <c r="C101" s="237">
        <v>0</v>
      </c>
      <c r="D101" s="237">
        <v>53635</v>
      </c>
      <c r="E101" s="237">
        <f t="shared" si="14"/>
        <v>53635</v>
      </c>
      <c r="F101" s="238">
        <f t="shared" si="15"/>
        <v>0</v>
      </c>
    </row>
    <row r="102" spans="1:6" ht="20.25" customHeight="1">
      <c r="A102" s="235">
        <v>5</v>
      </c>
      <c r="B102" s="236" t="s">
        <v>488</v>
      </c>
      <c r="C102" s="239">
        <v>0</v>
      </c>
      <c r="D102" s="239">
        <v>16</v>
      </c>
      <c r="E102" s="239">
        <f t="shared" si="14"/>
        <v>16</v>
      </c>
      <c r="F102" s="238">
        <f t="shared" si="15"/>
        <v>0</v>
      </c>
    </row>
    <row r="103" spans="1:6" ht="20.25" customHeight="1">
      <c r="A103" s="235">
        <v>6</v>
      </c>
      <c r="B103" s="236" t="s">
        <v>487</v>
      </c>
      <c r="C103" s="239">
        <v>0</v>
      </c>
      <c r="D103" s="239">
        <v>96</v>
      </c>
      <c r="E103" s="239">
        <f t="shared" si="14"/>
        <v>96</v>
      </c>
      <c r="F103" s="238">
        <f t="shared" si="15"/>
        <v>0</v>
      </c>
    </row>
    <row r="104" spans="1:6" ht="20.25" customHeight="1">
      <c r="A104" s="235">
        <v>7</v>
      </c>
      <c r="B104" s="236" t="s">
        <v>553</v>
      </c>
      <c r="C104" s="239">
        <v>0</v>
      </c>
      <c r="D104" s="239">
        <v>410</v>
      </c>
      <c r="E104" s="239">
        <f t="shared" si="14"/>
        <v>410</v>
      </c>
      <c r="F104" s="238">
        <f t="shared" si="15"/>
        <v>0</v>
      </c>
    </row>
    <row r="105" spans="1:6" ht="20.25" customHeight="1">
      <c r="A105" s="235">
        <v>8</v>
      </c>
      <c r="B105" s="236" t="s">
        <v>554</v>
      </c>
      <c r="C105" s="239">
        <v>0</v>
      </c>
      <c r="D105" s="239">
        <v>146</v>
      </c>
      <c r="E105" s="239">
        <f t="shared" si="14"/>
        <v>146</v>
      </c>
      <c r="F105" s="238">
        <f t="shared" si="15"/>
        <v>0</v>
      </c>
    </row>
    <row r="106" spans="1:6" ht="20.25" customHeight="1">
      <c r="A106" s="235">
        <v>9</v>
      </c>
      <c r="B106" s="236" t="s">
        <v>555</v>
      </c>
      <c r="C106" s="239">
        <v>0</v>
      </c>
      <c r="D106" s="239">
        <v>9</v>
      </c>
      <c r="E106" s="239">
        <f t="shared" si="14"/>
        <v>9</v>
      </c>
      <c r="F106" s="238">
        <f t="shared" si="15"/>
        <v>0</v>
      </c>
    </row>
    <row r="107" spans="1:6" s="240" customFormat="1" ht="39.75" customHeight="1">
      <c r="A107" s="245"/>
      <c r="B107" s="242" t="s">
        <v>556</v>
      </c>
      <c r="C107" s="243">
        <f>+C98+C100</f>
        <v>0</v>
      </c>
      <c r="D107" s="243">
        <f>+D98+D100</f>
        <v>680393</v>
      </c>
      <c r="E107" s="243">
        <f t="shared" si="14"/>
        <v>680393</v>
      </c>
      <c r="F107" s="244">
        <f t="shared" si="15"/>
        <v>0</v>
      </c>
    </row>
    <row r="108" spans="1:6" s="240" customFormat="1" ht="39.75" customHeight="1">
      <c r="A108" s="245"/>
      <c r="B108" s="242" t="s">
        <v>585</v>
      </c>
      <c r="C108" s="243">
        <f>+C99+C101</f>
        <v>0</v>
      </c>
      <c r="D108" s="243">
        <f>+D99+D101</f>
        <v>57118</v>
      </c>
      <c r="E108" s="243">
        <f t="shared" si="14"/>
        <v>57118</v>
      </c>
      <c r="F108" s="244">
        <f t="shared" si="15"/>
        <v>0</v>
      </c>
    </row>
    <row r="109" spans="1:7" s="240" customFormat="1" ht="20.25" customHeight="1">
      <c r="A109" s="688" t="s">
        <v>159</v>
      </c>
      <c r="B109" s="689" t="s">
        <v>593</v>
      </c>
      <c r="C109" s="691"/>
      <c r="D109" s="692"/>
      <c r="E109" s="692"/>
      <c r="F109" s="693"/>
      <c r="G109" s="212"/>
    </row>
    <row r="110" spans="1:6" ht="20.25" customHeight="1">
      <c r="A110" s="680"/>
      <c r="B110" s="690"/>
      <c r="C110" s="686"/>
      <c r="D110" s="660"/>
      <c r="E110" s="660"/>
      <c r="F110" s="661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575</v>
      </c>
      <c r="C112" s="243">
        <f aca="true" t="shared" si="16" ref="C112:D120">+C98+C86+C74+C62+C50+C38+C26+C14</f>
        <v>12065436</v>
      </c>
      <c r="D112" s="243">
        <f t="shared" si="16"/>
        <v>27827830</v>
      </c>
      <c r="E112" s="243">
        <f aca="true" t="shared" si="17" ref="E112:E122">D112-C112</f>
        <v>15762394</v>
      </c>
      <c r="F112" s="244">
        <f aca="true" t="shared" si="18" ref="F112:F122">IF(C112=0,0,E112/C112)</f>
        <v>1.3064089851373792</v>
      </c>
    </row>
    <row r="113" spans="1:6" ht="20.25" customHeight="1">
      <c r="A113" s="249"/>
      <c r="B113" s="250" t="s">
        <v>576</v>
      </c>
      <c r="C113" s="243">
        <f t="shared" si="16"/>
        <v>3171591</v>
      </c>
      <c r="D113" s="243">
        <f t="shared" si="16"/>
        <v>6684131</v>
      </c>
      <c r="E113" s="243">
        <f t="shared" si="17"/>
        <v>3512540</v>
      </c>
      <c r="F113" s="244">
        <f t="shared" si="18"/>
        <v>1.1075009356502776</v>
      </c>
    </row>
    <row r="114" spans="1:6" ht="20.25" customHeight="1">
      <c r="A114" s="249"/>
      <c r="B114" s="250" t="s">
        <v>577</v>
      </c>
      <c r="C114" s="243">
        <f t="shared" si="16"/>
        <v>12819765</v>
      </c>
      <c r="D114" s="243">
        <f t="shared" si="16"/>
        <v>13866694</v>
      </c>
      <c r="E114" s="243">
        <f t="shared" si="17"/>
        <v>1046929</v>
      </c>
      <c r="F114" s="244">
        <f t="shared" si="18"/>
        <v>0.08166522553260532</v>
      </c>
    </row>
    <row r="115" spans="1:6" ht="20.25" customHeight="1">
      <c r="A115" s="249"/>
      <c r="B115" s="250" t="s">
        <v>578</v>
      </c>
      <c r="C115" s="243">
        <f t="shared" si="16"/>
        <v>4144555</v>
      </c>
      <c r="D115" s="243">
        <f t="shared" si="16"/>
        <v>4751409</v>
      </c>
      <c r="E115" s="243">
        <f t="shared" si="17"/>
        <v>606854</v>
      </c>
      <c r="F115" s="244">
        <f t="shared" si="18"/>
        <v>0.14642199222835744</v>
      </c>
    </row>
    <row r="116" spans="1:6" ht="20.25" customHeight="1">
      <c r="A116" s="249"/>
      <c r="B116" s="250" t="s">
        <v>579</v>
      </c>
      <c r="C116" s="252">
        <f t="shared" si="16"/>
        <v>1095</v>
      </c>
      <c r="D116" s="252">
        <f t="shared" si="16"/>
        <v>1504</v>
      </c>
      <c r="E116" s="252">
        <f t="shared" si="17"/>
        <v>409</v>
      </c>
      <c r="F116" s="244">
        <f t="shared" si="18"/>
        <v>0.3735159817351598</v>
      </c>
    </row>
    <row r="117" spans="1:6" ht="20.25" customHeight="1">
      <c r="A117" s="249"/>
      <c r="B117" s="250" t="s">
        <v>580</v>
      </c>
      <c r="C117" s="252">
        <f t="shared" si="16"/>
        <v>3530</v>
      </c>
      <c r="D117" s="252">
        <f t="shared" si="16"/>
        <v>9659</v>
      </c>
      <c r="E117" s="252">
        <f t="shared" si="17"/>
        <v>6129</v>
      </c>
      <c r="F117" s="244">
        <f t="shared" si="18"/>
        <v>1.7362606232294617</v>
      </c>
    </row>
    <row r="118" spans="1:6" ht="39.75" customHeight="1">
      <c r="A118" s="249"/>
      <c r="B118" s="250" t="s">
        <v>581</v>
      </c>
      <c r="C118" s="252">
        <f t="shared" si="16"/>
        <v>12953</v>
      </c>
      <c r="D118" s="252">
        <f t="shared" si="16"/>
        <v>12671</v>
      </c>
      <c r="E118" s="252">
        <f t="shared" si="17"/>
        <v>-282</v>
      </c>
      <c r="F118" s="244">
        <f t="shared" si="18"/>
        <v>-0.02177101829691963</v>
      </c>
    </row>
    <row r="119" spans="1:6" ht="39.75" customHeight="1">
      <c r="A119" s="249"/>
      <c r="B119" s="250" t="s">
        <v>582</v>
      </c>
      <c r="C119" s="252">
        <f t="shared" si="16"/>
        <v>8465</v>
      </c>
      <c r="D119" s="252">
        <f t="shared" si="16"/>
        <v>7608</v>
      </c>
      <c r="E119" s="252">
        <f t="shared" si="17"/>
        <v>-857</v>
      </c>
      <c r="F119" s="244">
        <f t="shared" si="18"/>
        <v>-0.10124040165386887</v>
      </c>
    </row>
    <row r="120" spans="1:6" ht="39.75" customHeight="1">
      <c r="A120" s="249"/>
      <c r="B120" s="250" t="s">
        <v>583</v>
      </c>
      <c r="C120" s="252">
        <f t="shared" si="16"/>
        <v>367</v>
      </c>
      <c r="D120" s="252">
        <f t="shared" si="16"/>
        <v>572</v>
      </c>
      <c r="E120" s="252">
        <f t="shared" si="17"/>
        <v>205</v>
      </c>
      <c r="F120" s="244">
        <f t="shared" si="18"/>
        <v>0.55858310626703</v>
      </c>
    </row>
    <row r="121" spans="1:6" ht="39.75" customHeight="1">
      <c r="A121" s="249"/>
      <c r="B121" s="242" t="s">
        <v>556</v>
      </c>
      <c r="C121" s="243">
        <f>+C112+C114</f>
        <v>24885201</v>
      </c>
      <c r="D121" s="243">
        <f>+D112+D114</f>
        <v>41694524</v>
      </c>
      <c r="E121" s="243">
        <f t="shared" si="17"/>
        <v>16809323</v>
      </c>
      <c r="F121" s="244">
        <f t="shared" si="18"/>
        <v>0.6754746726779502</v>
      </c>
    </row>
    <row r="122" spans="1:6" ht="39.75" customHeight="1">
      <c r="A122" s="249"/>
      <c r="B122" s="242" t="s">
        <v>585</v>
      </c>
      <c r="C122" s="243">
        <f>+C113+C115</f>
        <v>7316146</v>
      </c>
      <c r="D122" s="243">
        <f>+D113+D115</f>
        <v>11435540</v>
      </c>
      <c r="E122" s="243">
        <f t="shared" si="17"/>
        <v>4119394</v>
      </c>
      <c r="F122" s="244">
        <f t="shared" si="18"/>
        <v>0.5630551932670562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/>
  <headerFooter alignWithMargins="0">
    <oddHeader>&amp;LOFFICE OF HEALTH CARE ACCESS&amp;CTWELVE MONTHS ACTUAL FILING&amp;RSAINT VINCENT`S MEDICAL CENTER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594</v>
      </c>
      <c r="C1" s="3"/>
      <c r="D1" s="3"/>
      <c r="E1" s="4"/>
      <c r="F1" s="5"/>
    </row>
    <row r="2" spans="1:6" ht="24" customHeight="1">
      <c r="A2" s="3"/>
      <c r="B2" s="3" t="s">
        <v>116</v>
      </c>
      <c r="C2" s="3"/>
      <c r="D2" s="3"/>
      <c r="E2" s="4"/>
      <c r="F2" s="5"/>
    </row>
    <row r="3" spans="1:6" ht="24" customHeight="1">
      <c r="A3" s="3"/>
      <c r="B3" s="3" t="s">
        <v>117</v>
      </c>
      <c r="C3" s="3"/>
      <c r="D3" s="3"/>
      <c r="E3" s="4"/>
      <c r="F3" s="5"/>
    </row>
    <row r="4" spans="1:6" ht="24" customHeight="1">
      <c r="A4" s="3"/>
      <c r="B4" s="3" t="s">
        <v>595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119</v>
      </c>
      <c r="D7" s="10" t="s">
        <v>120</v>
      </c>
      <c r="E7" s="11" t="s">
        <v>121</v>
      </c>
      <c r="F7" s="11" t="s">
        <v>122</v>
      </c>
      <c r="H7" s="12"/>
    </row>
    <row r="8" spans="1:6" s="6" customFormat="1" ht="15.75" customHeight="1">
      <c r="A8" s="13" t="s">
        <v>123</v>
      </c>
      <c r="B8" s="13" t="s">
        <v>124</v>
      </c>
      <c r="C8" s="14" t="s">
        <v>125</v>
      </c>
      <c r="D8" s="14" t="s">
        <v>125</v>
      </c>
      <c r="E8" s="15" t="s">
        <v>126</v>
      </c>
      <c r="F8" s="15" t="s">
        <v>126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127</v>
      </c>
      <c r="B10" s="16" t="s">
        <v>128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129</v>
      </c>
      <c r="B12" s="16" t="s">
        <v>130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131</v>
      </c>
      <c r="C13" s="23">
        <v>13867000</v>
      </c>
      <c r="D13" s="23">
        <v>12274000</v>
      </c>
      <c r="E13" s="23">
        <f aca="true" t="shared" si="0" ref="E13:E22">D13-C13</f>
        <v>-1593000</v>
      </c>
      <c r="F13" s="24">
        <f aca="true" t="shared" si="1" ref="F13:F22">IF(C13=0,0,E13/C13)</f>
        <v>-0.11487704622485037</v>
      </c>
    </row>
    <row r="14" spans="1:6" ht="24" customHeight="1">
      <c r="A14" s="21">
        <v>2</v>
      </c>
      <c r="B14" s="22" t="s">
        <v>132</v>
      </c>
      <c r="C14" s="23">
        <v>7859000</v>
      </c>
      <c r="D14" s="23">
        <v>11030000</v>
      </c>
      <c r="E14" s="23">
        <f t="shared" si="0"/>
        <v>3171000</v>
      </c>
      <c r="F14" s="24">
        <f t="shared" si="1"/>
        <v>0.40348644865759004</v>
      </c>
    </row>
    <row r="15" spans="1:6" ht="34.5" customHeight="1">
      <c r="A15" s="21">
        <v>3</v>
      </c>
      <c r="B15" s="22" t="s">
        <v>133</v>
      </c>
      <c r="C15" s="23">
        <v>44228000</v>
      </c>
      <c r="D15" s="23">
        <v>41629000</v>
      </c>
      <c r="E15" s="23">
        <f t="shared" si="0"/>
        <v>-2599000</v>
      </c>
      <c r="F15" s="24">
        <f t="shared" si="1"/>
        <v>-0.05876367911730126</v>
      </c>
    </row>
    <row r="16" spans="1:6" ht="34.5" customHeight="1">
      <c r="A16" s="21">
        <v>4</v>
      </c>
      <c r="B16" s="22" t="s">
        <v>134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6" ht="24" customHeight="1">
      <c r="A17" s="21">
        <v>5</v>
      </c>
      <c r="B17" s="22" t="s">
        <v>135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136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137</v>
      </c>
      <c r="C19" s="23">
        <v>5262000</v>
      </c>
      <c r="D19" s="23">
        <v>4070000</v>
      </c>
      <c r="E19" s="23">
        <f t="shared" si="0"/>
        <v>-1192000</v>
      </c>
      <c r="F19" s="24">
        <f t="shared" si="1"/>
        <v>-0.2265298365640441</v>
      </c>
    </row>
    <row r="20" spans="1:6" ht="24" customHeight="1">
      <c r="A20" s="21">
        <v>8</v>
      </c>
      <c r="B20" s="22" t="s">
        <v>138</v>
      </c>
      <c r="C20" s="23">
        <v>2706000</v>
      </c>
      <c r="D20" s="23">
        <v>2747000</v>
      </c>
      <c r="E20" s="23">
        <f t="shared" si="0"/>
        <v>41000</v>
      </c>
      <c r="F20" s="24">
        <f t="shared" si="1"/>
        <v>0.015151515151515152</v>
      </c>
    </row>
    <row r="21" spans="1:6" ht="24" customHeight="1">
      <c r="A21" s="21">
        <v>9</v>
      </c>
      <c r="B21" s="22" t="s">
        <v>139</v>
      </c>
      <c r="C21" s="23">
        <v>4502000</v>
      </c>
      <c r="D21" s="23">
        <v>4382000</v>
      </c>
      <c r="E21" s="23">
        <f t="shared" si="0"/>
        <v>-120000</v>
      </c>
      <c r="F21" s="24">
        <f t="shared" si="1"/>
        <v>-0.02665482007996446</v>
      </c>
    </row>
    <row r="22" spans="1:6" ht="24" customHeight="1">
      <c r="A22" s="25"/>
      <c r="B22" s="26" t="s">
        <v>140</v>
      </c>
      <c r="C22" s="27">
        <f>SUM(C13:C21)</f>
        <v>78424000</v>
      </c>
      <c r="D22" s="27">
        <f>SUM(D13:D21)</f>
        <v>76132000</v>
      </c>
      <c r="E22" s="27">
        <f t="shared" si="0"/>
        <v>-2292000</v>
      </c>
      <c r="F22" s="28">
        <f t="shared" si="1"/>
        <v>-0.029225747220238702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141</v>
      </c>
      <c r="B24" s="30" t="s">
        <v>142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143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144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145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34.5" customHeight="1">
      <c r="A28" s="21">
        <v>4</v>
      </c>
      <c r="B28" s="22" t="s">
        <v>146</v>
      </c>
      <c r="C28" s="23">
        <v>244935000</v>
      </c>
      <c r="D28" s="23">
        <v>234693000</v>
      </c>
      <c r="E28" s="23">
        <f>D28-C28</f>
        <v>-10242000</v>
      </c>
      <c r="F28" s="24">
        <f>IF(C28=0,0,E28/C28)</f>
        <v>-0.04181517545471247</v>
      </c>
    </row>
    <row r="29" spans="1:6" ht="34.5" customHeight="1">
      <c r="A29" s="25"/>
      <c r="B29" s="26" t="s">
        <v>147</v>
      </c>
      <c r="C29" s="27">
        <f>SUM(C25:C28)</f>
        <v>244935000</v>
      </c>
      <c r="D29" s="27">
        <f>SUM(D25:D28)</f>
        <v>234693000</v>
      </c>
      <c r="E29" s="27">
        <f>D29-C29</f>
        <v>-10242000</v>
      </c>
      <c r="F29" s="28">
        <f>IF(C29=0,0,E29/C29)</f>
        <v>-0.04181517545471247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148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149</v>
      </c>
      <c r="C32" s="23">
        <v>69565000</v>
      </c>
      <c r="D32" s="23">
        <v>55985000</v>
      </c>
      <c r="E32" s="23">
        <f>D32-C32</f>
        <v>-13580000</v>
      </c>
      <c r="F32" s="24">
        <f>IF(C32=0,0,E32/C32)</f>
        <v>-0.1952131100409689</v>
      </c>
    </row>
    <row r="33" spans="1:6" ht="24" customHeight="1">
      <c r="A33" s="21">
        <v>7</v>
      </c>
      <c r="B33" s="22" t="s">
        <v>150</v>
      </c>
      <c r="C33" s="23">
        <v>4305000</v>
      </c>
      <c r="D33" s="23">
        <v>4744000</v>
      </c>
      <c r="E33" s="23">
        <f>D33-C33</f>
        <v>439000</v>
      </c>
      <c r="F33" s="24">
        <f>IF(C33=0,0,E33/C33)</f>
        <v>0.10197444831591174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151</v>
      </c>
      <c r="B35" s="30" t="s">
        <v>152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153</v>
      </c>
      <c r="C36" s="23">
        <v>316854000</v>
      </c>
      <c r="D36" s="23">
        <v>337907000</v>
      </c>
      <c r="E36" s="23">
        <f>D36-C36</f>
        <v>21053000</v>
      </c>
      <c r="F36" s="24">
        <f>IF(C36=0,0,E36/C36)</f>
        <v>0.06644385111123735</v>
      </c>
    </row>
    <row r="37" spans="1:6" ht="24" customHeight="1">
      <c r="A37" s="21">
        <v>2</v>
      </c>
      <c r="B37" s="22" t="s">
        <v>154</v>
      </c>
      <c r="C37" s="23">
        <v>155746000</v>
      </c>
      <c r="D37" s="23">
        <v>175672000</v>
      </c>
      <c r="E37" s="23">
        <f>D37-C37</f>
        <v>19926000</v>
      </c>
      <c r="F37" s="23">
        <f>IF(C37=0,0,E37/C37)</f>
        <v>0.1279390802974073</v>
      </c>
    </row>
    <row r="38" spans="1:6" ht="24" customHeight="1">
      <c r="A38" s="25"/>
      <c r="B38" s="26" t="s">
        <v>155</v>
      </c>
      <c r="C38" s="27">
        <f>C36-C37</f>
        <v>161108000</v>
      </c>
      <c r="D38" s="27">
        <f>D36-D37</f>
        <v>162235000</v>
      </c>
      <c r="E38" s="27">
        <f>D38-C38</f>
        <v>1127000</v>
      </c>
      <c r="F38" s="28">
        <f>IF(C38=0,0,E38/C38)</f>
        <v>0.006995307495593018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156</v>
      </c>
      <c r="C40" s="23">
        <v>34374000</v>
      </c>
      <c r="D40" s="23">
        <v>68279000</v>
      </c>
      <c r="E40" s="23">
        <f>D40-C40</f>
        <v>33905000</v>
      </c>
      <c r="F40" s="24">
        <f>IF(C40=0,0,E40/C40)</f>
        <v>0.9863559667190318</v>
      </c>
    </row>
    <row r="41" spans="1:6" ht="24" customHeight="1">
      <c r="A41" s="25"/>
      <c r="B41" s="26" t="s">
        <v>157</v>
      </c>
      <c r="C41" s="27">
        <f>+C38+C40</f>
        <v>195482000</v>
      </c>
      <c r="D41" s="27">
        <f>+D38+D40</f>
        <v>230514000</v>
      </c>
      <c r="E41" s="27">
        <f>D41-C41</f>
        <v>35032000</v>
      </c>
      <c r="F41" s="28">
        <f>IF(C41=0,0,E41/C41)</f>
        <v>0.17920831585516825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158</v>
      </c>
      <c r="C43" s="27">
        <f>C22+C29+C31+C32+C33+C41</f>
        <v>592711000</v>
      </c>
      <c r="D43" s="27">
        <f>D22+D29+D31+D32+D33+D41</f>
        <v>602068000</v>
      </c>
      <c r="E43" s="27">
        <f>D43-C43</f>
        <v>9357000</v>
      </c>
      <c r="F43" s="28">
        <f>IF(C43=0,0,E43/C43)</f>
        <v>0.01578678310340115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159</v>
      </c>
      <c r="B46" s="16" t="s">
        <v>160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129</v>
      </c>
      <c r="B48" s="41" t="s">
        <v>161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162</v>
      </c>
      <c r="C49" s="23">
        <v>28837000</v>
      </c>
      <c r="D49" s="23">
        <v>28032000</v>
      </c>
      <c r="E49" s="23">
        <f aca="true" t="shared" si="2" ref="E49:E56">D49-C49</f>
        <v>-805000</v>
      </c>
      <c r="F49" s="24">
        <f aca="true" t="shared" si="3" ref="F49:F56">IF(C49=0,0,E49/C49)</f>
        <v>-0.027915525193328017</v>
      </c>
    </row>
    <row r="50" spans="1:6" ht="24" customHeight="1">
      <c r="A50" s="21">
        <f aca="true" t="shared" si="4" ref="A50:A55">1+A49</f>
        <v>2</v>
      </c>
      <c r="B50" s="22" t="s">
        <v>163</v>
      </c>
      <c r="C50" s="23">
        <v>17179000</v>
      </c>
      <c r="D50" s="23">
        <v>19641000</v>
      </c>
      <c r="E50" s="23">
        <f t="shared" si="2"/>
        <v>2462000</v>
      </c>
      <c r="F50" s="24">
        <f t="shared" si="3"/>
        <v>0.1433145119040689</v>
      </c>
    </row>
    <row r="51" spans="1:6" ht="24" customHeight="1">
      <c r="A51" s="21">
        <f t="shared" si="4"/>
        <v>3</v>
      </c>
      <c r="B51" s="22" t="s">
        <v>164</v>
      </c>
      <c r="C51" s="23">
        <v>9845000</v>
      </c>
      <c r="D51" s="23">
        <v>9131000</v>
      </c>
      <c r="E51" s="23">
        <f t="shared" si="2"/>
        <v>-714000</v>
      </c>
      <c r="F51" s="24">
        <f t="shared" si="3"/>
        <v>-0.07252412392077197</v>
      </c>
    </row>
    <row r="52" spans="1:6" ht="24" customHeight="1">
      <c r="A52" s="21">
        <f t="shared" si="4"/>
        <v>4</v>
      </c>
      <c r="B52" s="22" t="s">
        <v>165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166</v>
      </c>
      <c r="C53" s="23">
        <v>1557000</v>
      </c>
      <c r="D53" s="23">
        <v>1667000</v>
      </c>
      <c r="E53" s="23">
        <f t="shared" si="2"/>
        <v>110000</v>
      </c>
      <c r="F53" s="24">
        <f t="shared" si="3"/>
        <v>0.07064868336544637</v>
      </c>
    </row>
    <row r="54" spans="1:6" ht="24" customHeight="1">
      <c r="A54" s="21">
        <f t="shared" si="4"/>
        <v>6</v>
      </c>
      <c r="B54" s="22" t="s">
        <v>167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168</v>
      </c>
      <c r="C55" s="23">
        <v>228000</v>
      </c>
      <c r="D55" s="23">
        <v>2177000</v>
      </c>
      <c r="E55" s="23">
        <f t="shared" si="2"/>
        <v>1949000</v>
      </c>
      <c r="F55" s="24">
        <f t="shared" si="3"/>
        <v>8.548245614035087</v>
      </c>
    </row>
    <row r="56" spans="1:6" ht="24" customHeight="1">
      <c r="A56" s="25"/>
      <c r="B56" s="26" t="s">
        <v>169</v>
      </c>
      <c r="C56" s="27">
        <f>SUM(C49:C55)</f>
        <v>57646000</v>
      </c>
      <c r="D56" s="27">
        <f>SUM(D49:D55)</f>
        <v>60648000</v>
      </c>
      <c r="E56" s="27">
        <f t="shared" si="2"/>
        <v>3002000</v>
      </c>
      <c r="F56" s="28">
        <f t="shared" si="3"/>
        <v>0.05207646671061305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141</v>
      </c>
      <c r="B58" s="41" t="s">
        <v>170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171</v>
      </c>
      <c r="C59" s="23">
        <v>79993000</v>
      </c>
      <c r="D59" s="23">
        <v>78872000</v>
      </c>
      <c r="E59" s="23">
        <f>D59-C59</f>
        <v>-1121000</v>
      </c>
      <c r="F59" s="24">
        <f>IF(C59=0,0,E59/C59)</f>
        <v>-0.014013726201042591</v>
      </c>
    </row>
    <row r="60" spans="1:6" ht="24" customHeight="1">
      <c r="A60" s="21">
        <v>2</v>
      </c>
      <c r="B60" s="22" t="s">
        <v>172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>
      <c r="A61" s="25"/>
      <c r="B61" s="26" t="s">
        <v>173</v>
      </c>
      <c r="C61" s="27">
        <f>SUM(C59:C60)</f>
        <v>79993000</v>
      </c>
      <c r="D61" s="27">
        <f>SUM(D59:D60)</f>
        <v>78872000</v>
      </c>
      <c r="E61" s="27">
        <f>D61-C61</f>
        <v>-1121000</v>
      </c>
      <c r="F61" s="28">
        <f>IF(C61=0,0,E61/C61)</f>
        <v>-0.014013726201042591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174</v>
      </c>
      <c r="C63" s="23">
        <v>10762000</v>
      </c>
      <c r="D63" s="23">
        <v>40599000</v>
      </c>
      <c r="E63" s="23">
        <f>D63-C63</f>
        <v>29837000</v>
      </c>
      <c r="F63" s="24">
        <f>IF(C63=0,0,E63/C63)</f>
        <v>2.772440066902063</v>
      </c>
    </row>
    <row r="64" spans="1:6" ht="24" customHeight="1">
      <c r="A64" s="21">
        <v>4</v>
      </c>
      <c r="B64" s="22" t="s">
        <v>175</v>
      </c>
      <c r="C64" s="23">
        <v>10812000</v>
      </c>
      <c r="D64" s="23">
        <v>10664000</v>
      </c>
      <c r="E64" s="23">
        <f>D64-C64</f>
        <v>-148000</v>
      </c>
      <c r="F64" s="24">
        <f>IF(C64=0,0,E64/C64)</f>
        <v>-0.01368849426563078</v>
      </c>
    </row>
    <row r="65" spans="1:6" ht="24" customHeight="1">
      <c r="A65" s="25"/>
      <c r="B65" s="26" t="s">
        <v>176</v>
      </c>
      <c r="C65" s="27">
        <f>SUM(C61:C64)</f>
        <v>101567000</v>
      </c>
      <c r="D65" s="27">
        <f>SUM(D61:D64)</f>
        <v>130135000</v>
      </c>
      <c r="E65" s="27">
        <f>D65-C65</f>
        <v>28568000</v>
      </c>
      <c r="F65" s="28">
        <f>IF(C65=0,0,E65/C65)</f>
        <v>0.2812724605432867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177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151</v>
      </c>
      <c r="B69" s="41" t="s">
        <v>178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179</v>
      </c>
      <c r="C70" s="23">
        <v>380972000</v>
      </c>
      <c r="D70" s="23">
        <v>364490000</v>
      </c>
      <c r="E70" s="23">
        <f>D70-C70</f>
        <v>-16482000</v>
      </c>
      <c r="F70" s="24">
        <f>IF(C70=0,0,E70/C70)</f>
        <v>-0.04326302195436935</v>
      </c>
    </row>
    <row r="71" spans="1:6" ht="24" customHeight="1">
      <c r="A71" s="21">
        <v>2</v>
      </c>
      <c r="B71" s="22" t="s">
        <v>180</v>
      </c>
      <c r="C71" s="23">
        <v>42391000</v>
      </c>
      <c r="D71" s="23">
        <v>36582000</v>
      </c>
      <c r="E71" s="23">
        <f>D71-C71</f>
        <v>-5809000</v>
      </c>
      <c r="F71" s="24">
        <f>IF(C71=0,0,E71/C71)</f>
        <v>-0.13703380434526197</v>
      </c>
    </row>
    <row r="72" spans="1:6" ht="24" customHeight="1">
      <c r="A72" s="21">
        <v>3</v>
      </c>
      <c r="B72" s="22" t="s">
        <v>181</v>
      </c>
      <c r="C72" s="23">
        <v>10135000</v>
      </c>
      <c r="D72" s="23">
        <v>10213000</v>
      </c>
      <c r="E72" s="23">
        <f>D72-C72</f>
        <v>78000</v>
      </c>
      <c r="F72" s="24">
        <f>IF(C72=0,0,E72/C72)</f>
        <v>0.007696102614701529</v>
      </c>
    </row>
    <row r="73" spans="1:6" ht="24" customHeight="1">
      <c r="A73" s="21"/>
      <c r="B73" s="26" t="s">
        <v>182</v>
      </c>
      <c r="C73" s="27">
        <f>SUM(C70:C72)</f>
        <v>433498000</v>
      </c>
      <c r="D73" s="27">
        <f>SUM(D70:D72)</f>
        <v>411285000</v>
      </c>
      <c r="E73" s="27">
        <f>D73-C73</f>
        <v>-22213000</v>
      </c>
      <c r="F73" s="28">
        <f>IF(C73=0,0,E73/C73)</f>
        <v>-0.0512412975377049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183</v>
      </c>
      <c r="C75" s="27">
        <f>C56+C65+C67+C73</f>
        <v>592711000</v>
      </c>
      <c r="D75" s="27">
        <f>D56+D65+D67+D73</f>
        <v>602068000</v>
      </c>
      <c r="E75" s="27">
        <f>D75-C75</f>
        <v>9357000</v>
      </c>
      <c r="F75" s="28">
        <f>IF(C75=0,0,E75/C75)</f>
        <v>0.01578678310340115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/>
  <headerFooter alignWithMargins="0">
    <oddHeader>&amp;LOFFICE OF HEALTH CARE ACCESS&amp;CTWELVE MONTHS ACTUAL FILING&amp;RST VINCENTS HEALTH SERVICES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A1" sqref="A1:F1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594</v>
      </c>
      <c r="B1" s="696"/>
      <c r="C1" s="696"/>
      <c r="D1" s="696"/>
      <c r="E1" s="696"/>
      <c r="F1" s="697"/>
    </row>
    <row r="2" spans="1:6" ht="22.5" customHeight="1">
      <c r="A2" s="695" t="s">
        <v>116</v>
      </c>
      <c r="B2" s="696"/>
      <c r="C2" s="696"/>
      <c r="D2" s="696"/>
      <c r="E2" s="696"/>
      <c r="F2" s="697"/>
    </row>
    <row r="3" spans="1:6" ht="22.5" customHeight="1">
      <c r="A3" s="695" t="s">
        <v>117</v>
      </c>
      <c r="B3" s="696"/>
      <c r="C3" s="696"/>
      <c r="D3" s="696"/>
      <c r="E3" s="696"/>
      <c r="F3" s="697"/>
    </row>
    <row r="4" spans="1:6" ht="22.5" customHeight="1">
      <c r="A4" s="695" t="s">
        <v>596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119</v>
      </c>
      <c r="D6" s="10" t="s">
        <v>120</v>
      </c>
      <c r="E6" s="59" t="s">
        <v>121</v>
      </c>
      <c r="F6" s="59" t="s">
        <v>122</v>
      </c>
    </row>
    <row r="7" spans="1:8" ht="15.75" customHeight="1">
      <c r="A7" s="61" t="s">
        <v>123</v>
      </c>
      <c r="B7" s="62" t="s">
        <v>124</v>
      </c>
      <c r="C7" s="14" t="s">
        <v>125</v>
      </c>
      <c r="D7" s="14" t="s">
        <v>125</v>
      </c>
      <c r="E7" s="63" t="s">
        <v>126</v>
      </c>
      <c r="F7" s="63" t="s">
        <v>126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129</v>
      </c>
      <c r="B11" s="30" t="s">
        <v>185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186</v>
      </c>
      <c r="C12" s="51">
        <v>756569000</v>
      </c>
      <c r="D12" s="51">
        <v>862620000</v>
      </c>
      <c r="E12" s="51">
        <f aca="true" t="shared" si="0" ref="E12:E19">D12-C12</f>
        <v>106051000</v>
      </c>
      <c r="F12" s="70">
        <f aca="true" t="shared" si="1" ref="F12:F19">IF(C12=0,0,E12/C12)</f>
        <v>0.14017359949984734</v>
      </c>
    </row>
    <row r="13" spans="1:6" ht="22.5" customHeight="1">
      <c r="A13" s="25">
        <v>2</v>
      </c>
      <c r="B13" s="48" t="s">
        <v>187</v>
      </c>
      <c r="C13" s="51">
        <v>421468000</v>
      </c>
      <c r="D13" s="51">
        <v>507026000</v>
      </c>
      <c r="E13" s="51">
        <f t="shared" si="0"/>
        <v>85558000</v>
      </c>
      <c r="F13" s="70">
        <f t="shared" si="1"/>
        <v>0.20299999050936252</v>
      </c>
    </row>
    <row r="14" spans="1:6" ht="22.5" customHeight="1">
      <c r="A14" s="25">
        <v>3</v>
      </c>
      <c r="B14" s="48" t="s">
        <v>188</v>
      </c>
      <c r="C14" s="51">
        <v>6144000</v>
      </c>
      <c r="D14" s="51">
        <v>8900000</v>
      </c>
      <c r="E14" s="51">
        <f t="shared" si="0"/>
        <v>2756000</v>
      </c>
      <c r="F14" s="70">
        <f t="shared" si="1"/>
        <v>0.4485677083333333</v>
      </c>
    </row>
    <row r="15" spans="1:7" ht="22.5" customHeight="1">
      <c r="A15" s="25">
        <v>4</v>
      </c>
      <c r="B15" s="48" t="s">
        <v>189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190</v>
      </c>
      <c r="C16" s="27">
        <f>C12-C13-C14-C15</f>
        <v>328957000</v>
      </c>
      <c r="D16" s="27">
        <f>D12-D13-D14-D15</f>
        <v>346694000</v>
      </c>
      <c r="E16" s="27">
        <f t="shared" si="0"/>
        <v>17737000</v>
      </c>
      <c r="F16" s="28">
        <f t="shared" si="1"/>
        <v>0.053918901254571265</v>
      </c>
    </row>
    <row r="17" spans="1:7" ht="22.5" customHeight="1">
      <c r="A17" s="25">
        <v>5</v>
      </c>
      <c r="B17" s="48" t="s">
        <v>191</v>
      </c>
      <c r="C17" s="51">
        <v>41833000</v>
      </c>
      <c r="D17" s="51">
        <v>39313000</v>
      </c>
      <c r="E17" s="51">
        <f t="shared" si="0"/>
        <v>-2520000</v>
      </c>
      <c r="F17" s="70">
        <f t="shared" si="1"/>
        <v>-0.06023952382090694</v>
      </c>
      <c r="G17" s="64"/>
    </row>
    <row r="18" spans="1:7" ht="33" customHeight="1">
      <c r="A18" s="25">
        <v>6</v>
      </c>
      <c r="B18" s="45" t="s">
        <v>192</v>
      </c>
      <c r="C18" s="51">
        <v>1112000</v>
      </c>
      <c r="D18" s="51">
        <v>1045000</v>
      </c>
      <c r="E18" s="51">
        <f t="shared" si="0"/>
        <v>-67000</v>
      </c>
      <c r="F18" s="70">
        <f t="shared" si="1"/>
        <v>-0.06025179856115108</v>
      </c>
      <c r="G18" s="64"/>
    </row>
    <row r="19" spans="1:6" ht="22.5" customHeight="1">
      <c r="A19" s="29"/>
      <c r="B19" s="71" t="s">
        <v>193</v>
      </c>
      <c r="C19" s="27">
        <f>SUM(C16:C18)</f>
        <v>371902000</v>
      </c>
      <c r="D19" s="27">
        <f>SUM(D16:D18)</f>
        <v>387052000</v>
      </c>
      <c r="E19" s="27">
        <f t="shared" si="0"/>
        <v>15150000</v>
      </c>
      <c r="F19" s="28">
        <f t="shared" si="1"/>
        <v>0.04073653812025749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141</v>
      </c>
      <c r="B21" s="30" t="s">
        <v>194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195</v>
      </c>
      <c r="C22" s="51">
        <v>159107000</v>
      </c>
      <c r="D22" s="51">
        <v>164670000</v>
      </c>
      <c r="E22" s="51">
        <f aca="true" t="shared" si="2" ref="E22:E31">D22-C22</f>
        <v>5563000</v>
      </c>
      <c r="F22" s="70">
        <f aca="true" t="shared" si="3" ref="F22:F31">IF(C22=0,0,E22/C22)</f>
        <v>0.03496389222347226</v>
      </c>
    </row>
    <row r="23" spans="1:6" ht="22.5" customHeight="1">
      <c r="A23" s="25">
        <v>2</v>
      </c>
      <c r="B23" s="48" t="s">
        <v>196</v>
      </c>
      <c r="C23" s="51">
        <v>37145000</v>
      </c>
      <c r="D23" s="51">
        <v>38973000</v>
      </c>
      <c r="E23" s="51">
        <f t="shared" si="2"/>
        <v>1828000</v>
      </c>
      <c r="F23" s="70">
        <f t="shared" si="3"/>
        <v>0.04921254543007134</v>
      </c>
    </row>
    <row r="24" spans="1:7" ht="22.5" customHeight="1">
      <c r="A24" s="25">
        <v>3</v>
      </c>
      <c r="B24" s="48" t="s">
        <v>197</v>
      </c>
      <c r="C24" s="51">
        <v>1761000</v>
      </c>
      <c r="D24" s="51">
        <v>2300000</v>
      </c>
      <c r="E24" s="51">
        <f t="shared" si="2"/>
        <v>539000</v>
      </c>
      <c r="F24" s="70">
        <f t="shared" si="3"/>
        <v>0.30607609312890405</v>
      </c>
      <c r="G24" s="64"/>
    </row>
    <row r="25" spans="1:6" ht="22.5" customHeight="1">
      <c r="A25" s="25">
        <v>4</v>
      </c>
      <c r="B25" s="48" t="s">
        <v>198</v>
      </c>
      <c r="C25" s="51">
        <v>57995000</v>
      </c>
      <c r="D25" s="51">
        <v>51518000</v>
      </c>
      <c r="E25" s="51">
        <f t="shared" si="2"/>
        <v>-6477000</v>
      </c>
      <c r="F25" s="70">
        <f t="shared" si="3"/>
        <v>-0.11168204155530649</v>
      </c>
    </row>
    <row r="26" spans="1:6" ht="22.5" customHeight="1">
      <c r="A26" s="25">
        <v>5</v>
      </c>
      <c r="B26" s="48" t="s">
        <v>199</v>
      </c>
      <c r="C26" s="51">
        <v>18876000</v>
      </c>
      <c r="D26" s="51">
        <v>20021000</v>
      </c>
      <c r="E26" s="51">
        <f t="shared" si="2"/>
        <v>1145000</v>
      </c>
      <c r="F26" s="70">
        <f t="shared" si="3"/>
        <v>0.060659037931765206</v>
      </c>
    </row>
    <row r="27" spans="1:6" ht="22.5" customHeight="1">
      <c r="A27" s="25">
        <v>6</v>
      </c>
      <c r="B27" s="48" t="s">
        <v>200</v>
      </c>
      <c r="C27" s="51">
        <v>21098000</v>
      </c>
      <c r="D27" s="51">
        <v>22118000</v>
      </c>
      <c r="E27" s="51">
        <f t="shared" si="2"/>
        <v>1020000</v>
      </c>
      <c r="F27" s="70">
        <f t="shared" si="3"/>
        <v>0.048345814769172435</v>
      </c>
    </row>
    <row r="28" spans="1:6" ht="22.5" customHeight="1">
      <c r="A28" s="25">
        <v>7</v>
      </c>
      <c r="B28" s="48" t="s">
        <v>201</v>
      </c>
      <c r="C28" s="51">
        <v>2050000</v>
      </c>
      <c r="D28" s="51">
        <v>924000</v>
      </c>
      <c r="E28" s="51">
        <f t="shared" si="2"/>
        <v>-1126000</v>
      </c>
      <c r="F28" s="70">
        <f t="shared" si="3"/>
        <v>-0.5492682926829269</v>
      </c>
    </row>
    <row r="29" spans="1:6" ht="22.5" customHeight="1">
      <c r="A29" s="25">
        <v>8</v>
      </c>
      <c r="B29" s="48" t="s">
        <v>202</v>
      </c>
      <c r="C29" s="51">
        <v>2467000</v>
      </c>
      <c r="D29" s="51">
        <v>5093000</v>
      </c>
      <c r="E29" s="51">
        <f t="shared" si="2"/>
        <v>2626000</v>
      </c>
      <c r="F29" s="70">
        <f t="shared" si="3"/>
        <v>1.0644507498986624</v>
      </c>
    </row>
    <row r="30" spans="1:6" ht="22.5" customHeight="1">
      <c r="A30" s="25">
        <v>9</v>
      </c>
      <c r="B30" s="48" t="s">
        <v>203</v>
      </c>
      <c r="C30" s="51">
        <v>52014000</v>
      </c>
      <c r="D30" s="51">
        <v>70011000</v>
      </c>
      <c r="E30" s="51">
        <f t="shared" si="2"/>
        <v>17997000</v>
      </c>
      <c r="F30" s="70">
        <f t="shared" si="3"/>
        <v>0.3460029991925251</v>
      </c>
    </row>
    <row r="31" spans="1:6" ht="22.5" customHeight="1">
      <c r="A31" s="29"/>
      <c r="B31" s="71" t="s">
        <v>204</v>
      </c>
      <c r="C31" s="27">
        <f>SUM(C22:C30)</f>
        <v>352513000</v>
      </c>
      <c r="D31" s="27">
        <f>SUM(D22:D30)</f>
        <v>375628000</v>
      </c>
      <c r="E31" s="27">
        <f t="shared" si="2"/>
        <v>23115000</v>
      </c>
      <c r="F31" s="28">
        <f t="shared" si="3"/>
        <v>0.06557204982511283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205</v>
      </c>
      <c r="C33" s="27">
        <f>+C19-C31</f>
        <v>19389000</v>
      </c>
      <c r="D33" s="27">
        <f>+D19-D31</f>
        <v>11424000</v>
      </c>
      <c r="E33" s="27">
        <f>D33-C33</f>
        <v>-7965000</v>
      </c>
      <c r="F33" s="28">
        <f>IF(C33=0,0,E33/C33)</f>
        <v>-0.4107999381092372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151</v>
      </c>
      <c r="B35" s="30" t="s">
        <v>206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207</v>
      </c>
      <c r="C36" s="51">
        <v>-37455000</v>
      </c>
      <c r="D36" s="51">
        <v>-5153000</v>
      </c>
      <c r="E36" s="51">
        <f>D36-C36</f>
        <v>32302000</v>
      </c>
      <c r="F36" s="70">
        <f>IF(C36=0,0,E36/C36)</f>
        <v>-0.8624215725537312</v>
      </c>
    </row>
    <row r="37" spans="1:6" ht="22.5" customHeight="1">
      <c r="A37" s="44">
        <v>2</v>
      </c>
      <c r="B37" s="48" t="s">
        <v>208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209</v>
      </c>
      <c r="C38" s="51">
        <v>-1844000</v>
      </c>
      <c r="D38" s="51">
        <v>-1134000</v>
      </c>
      <c r="E38" s="51">
        <f>D38-C38</f>
        <v>710000</v>
      </c>
      <c r="F38" s="70">
        <f>IF(C38=0,0,E38/C38)</f>
        <v>-0.38503253796095444</v>
      </c>
    </row>
    <row r="39" spans="1:6" ht="22.5" customHeight="1">
      <c r="A39" s="20"/>
      <c r="B39" s="71" t="s">
        <v>210</v>
      </c>
      <c r="C39" s="27">
        <f>SUM(C36:C38)</f>
        <v>-39299000</v>
      </c>
      <c r="D39" s="27">
        <f>SUM(D36:D38)</f>
        <v>-6287000</v>
      </c>
      <c r="E39" s="27">
        <f>D39-C39</f>
        <v>33012000</v>
      </c>
      <c r="F39" s="28">
        <f>IF(C39=0,0,E39/C39)</f>
        <v>-0.8400213745896842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211</v>
      </c>
      <c r="C41" s="27">
        <f>C33+C39</f>
        <v>-19910000</v>
      </c>
      <c r="D41" s="27">
        <f>D33+D39</f>
        <v>5137000</v>
      </c>
      <c r="E41" s="27">
        <f>D41-C41</f>
        <v>25047000</v>
      </c>
      <c r="F41" s="28">
        <f>IF(C41=0,0,E41/C41)</f>
        <v>-1.2580110497237569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212</v>
      </c>
      <c r="C43" s="27"/>
      <c r="D43" s="27"/>
      <c r="E43" s="27"/>
      <c r="F43" s="28"/>
    </row>
    <row r="44" spans="1:6" ht="22.5" customHeight="1">
      <c r="A44" s="44"/>
      <c r="B44" s="48" t="s">
        <v>213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214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215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216</v>
      </c>
      <c r="C48" s="27">
        <f>C41+C46</f>
        <v>-19910000</v>
      </c>
      <c r="D48" s="27">
        <f>D41+D46</f>
        <v>5137000</v>
      </c>
      <c r="E48" s="27">
        <f>D48-C48</f>
        <v>25047000</v>
      </c>
      <c r="F48" s="28">
        <f>IF(C48=0,0,E48/C48)</f>
        <v>-1.2580110497237569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/>
  <headerFooter alignWithMargins="0">
    <oddHeader>&amp;L&amp;8OFFICE OF HEALTH CARE ACCESS&amp;C&amp;8TWELVE MONTHS ACTUAL FILING&amp;R&amp;8ST VINCENTS HEALTH SERVICES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2010-08-11T14:00:17Z</cp:lastPrinted>
  <dcterms:created xsi:type="dcterms:W3CDTF">2006-08-03T13:49:12Z</dcterms:created>
  <dcterms:modified xsi:type="dcterms:W3CDTF">2010-08-11T14:00:27Z</dcterms:modified>
  <cp:category/>
  <cp:version/>
  <cp:contentType/>
  <cp:contentStatus/>
</cp:coreProperties>
</file>