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<sst xmlns="http://schemas.openxmlformats.org/spreadsheetml/2006/main" count="2300" uniqueCount="978">
  <si>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</si>
  <si>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</si>
  <si>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</si>
  <si>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</si>
  <si>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</si>
  <si>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</si>
  <si>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</si>
  <si>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</si>
  <si>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</si>
  <si>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</si>
  <si>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</si>
  <si>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</si>
  <si>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</si>
  <si>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</si>
  <si>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</si>
  <si>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</si>
  <si>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</si>
  <si>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</si>
  <si>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</si>
  <si>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</si>
  <si>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</si>
  <si>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</si>
  <si>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</si>
  <si>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</si>
  <si>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</si>
  <si>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</si>
  <si>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</si>
  <si>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</si>
  <si>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</si>
  <si>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</si>
  <si>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</si>
  <si>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</si>
  <si>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</si>
  <si>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</si>
  <si>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</si>
  <si>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</si>
  <si>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</si>
  <si>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</si>
  <si>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</si>
  <si>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</si>
  <si>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</si>
  <si>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</si>
  <si>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</si>
  <si>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</si>
  <si>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</si>
  <si>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</si>
  <si>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</si>
  <si>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</si>
  <si>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</si>
  <si>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</si>
  <si>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</si>
  <si>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</si>
  <si>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</si>
  <si>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</si>
  <si>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</si>
  <si>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</si>
  <si>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</si>
  <si>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</si>
  <si>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</si>
  <si>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</si>
  <si>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</si>
  <si>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</si>
  <si>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</si>
  <si>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</si>
  <si>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</si>
  <si>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</si>
  <si>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</si>
  <si>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</si>
  <si>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</si>
  <si>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</si>
  <si>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</si>
  <si>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</si>
  <si>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</si>
  <si>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</si>
  <si>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</si>
  <si>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</si>
  <si>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</si>
  <si>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</si>
  <si>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</si>
  <si>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</si>
  <si>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</si>
  <si>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</si>
  <si>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</si>
  <si>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</si>
  <si>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</si>
  <si>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</si>
  <si>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</si>
  <si>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</si>
  <si>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</si>
  <si>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</si>
  <si>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</si>
  <si>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</si>
  <si>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</si>
  <si>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</si>
  <si>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</si>
  <si>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</si>
  <si>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</si>
  <si>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</si>
  <si>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</si>
  <si>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</si>
  <si>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</si>
  <si>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</si>
  <si>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</si>
  <si>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</si>
  <si>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</si>
  <si>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</si>
  <si>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</si>
  <si>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</si>
  <si>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</si>
  <si>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</si>
  <si>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</si>
  <si>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</si>
  <si>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</si>
  <si>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</si>
  <si>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</si>
  <si>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NEW MILFORD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</si>
  <si>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</si>
  <si>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</si>
  <si>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</si>
  <si>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</si>
  <si>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</si>
  <si>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</si>
  <si>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</si>
  <si>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</si>
  <si>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</si>
  <si>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</si>
  <si>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</si>
  <si>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</si>
  <si>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</si>
  <si>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</si>
  <si>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</si>
  <si>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</si>
  <si>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</si>
  <si>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</si>
  <si>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</si>
  <si>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</si>
  <si>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</si>
  <si>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</si>
  <si>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</si>
  <si>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</si>
  <si>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</si>
  <si>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</si>
  <si>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</si>
  <si>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</si>
  <si>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</si>
  <si>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</si>
  <si>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</si>
  <si>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</si>
  <si>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</si>
  <si>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</si>
  <si>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</si>
  <si>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</si>
  <si>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</si>
  <si>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</si>
  <si>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</si>
  <si>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</si>
  <si>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</si>
  <si>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</si>
  <si>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</si>
  <si>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</si>
  <si>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</si>
  <si>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</si>
  <si>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</si>
  <si>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</si>
  <si>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</si>
  <si>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</si>
  <si>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</si>
  <si>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</si>
  <si>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</si>
  <si>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</si>
  <si>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</si>
  <si>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</si>
  <si>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</si>
  <si>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</si>
  <si>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</si>
  <si>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</si>
  <si>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</si>
  <si>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</si>
  <si>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</si>
  <si>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</si>
  <si>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</si>
  <si>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</si>
  <si>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</si>
  <si>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</si>
  <si>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</si>
  <si>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</si>
  <si>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</si>
  <si>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</si>
  <si>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</si>
  <si>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</si>
  <si>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</si>
  <si>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</si>
  <si>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</si>
  <si>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</si>
  <si>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</si>
  <si>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</si>
  <si>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</si>
  <si>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</si>
  <si>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</si>
  <si>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</si>
  <si>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</si>
  <si>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</si>
  <si>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</si>
  <si>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</si>
  <si>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</si>
  <si>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</si>
  <si>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</si>
  <si>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</si>
  <si>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</si>
  <si>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</si>
  <si>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</si>
  <si>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</si>
  <si>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</si>
  <si>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</si>
  <si>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</si>
  <si>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</si>
  <si>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</si>
  <si>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</si>
  <si>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</si>
  <si>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</si>
  <si>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</si>
  <si>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</si>
  <si>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</si>
  <si>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</si>
  <si>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</si>
  <si>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</si>
  <si>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</si>
  <si>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</si>
  <si>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</si>
  <si>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</si>
  <si>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</si>
  <si>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</si>
  <si>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</si>
  <si>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</si>
  <si>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</si>
  <si>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</si>
  <si>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</si>
  <si>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</si>
  <si>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</si>
  <si>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</si>
  <si>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</si>
  <si>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</si>
  <si>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</si>
  <si>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</si>
  <si>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</si>
  <si>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</si>
  <si>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</si>
  <si>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</si>
  <si>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</si>
  <si>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</si>
  <si>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</si>
  <si>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</si>
  <si>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</si>
  <si>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</si>
  <si>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</si>
  <si>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</si>
  <si>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</si>
  <si>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</si>
  <si>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</si>
  <si>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</si>
  <si>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</si>
  <si>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</si>
  <si>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</si>
  <si>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</si>
  <si>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</si>
  <si>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</si>
  <si>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</si>
  <si>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</si>
  <si>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</si>
  <si>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</si>
  <si>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</si>
  <si>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</si>
  <si>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</si>
  <si>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</si>
  <si>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</si>
  <si>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</si>
  <si>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</si>
  <si>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</si>
  <si>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</si>
  <si>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</si>
  <si>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</si>
  <si>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</si>
  <si>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</si>
  <si>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</si>
  <si>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</si>
  <si>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</si>
  <si>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</si>
  <si>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</si>
  <si>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</si>
  <si>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</si>
  <si>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</si>
  <si>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</si>
  <si>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</si>
  <si>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</si>
  <si>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</si>
  <si>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</si>
  <si>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</si>
  <si>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</si>
  <si>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</si>
  <si>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</si>
  <si>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</si>
  <si>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</si>
  <si>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</si>
  <si>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</si>
  <si>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</si>
  <si>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</si>
  <si>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</si>
  <si>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</si>
  <si>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</si>
  <si>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</si>
  <si>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</si>
  <si>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</si>
  <si>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</si>
  <si>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</si>
  <si>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</si>
  <si>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</si>
  <si>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</si>
  <si>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</si>
  <si>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</si>
  <si>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</si>
  <si>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</si>
  <si>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</si>
  <si>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</si>
  <si>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</si>
  <si>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</si>
  <si>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</si>
  <si>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</si>
  <si>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</si>
  <si>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</si>
  <si>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</si>
  <si>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</si>
  <si>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</si>
  <si>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</si>
  <si>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</si>
  <si>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</si>
  <si>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</si>
  <si>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</si>
  <si>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</si>
  <si>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</si>
  <si>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</si>
  <si>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</si>
  <si>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</si>
  <si>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</si>
  <si>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</si>
  <si>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</si>
  <si>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</si>
  <si>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</si>
  <si>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</si>
  <si>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</si>
  <si>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</si>
  <si>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</si>
  <si>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</si>
  <si>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</si>
  <si>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</si>
  <si>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</si>
  <si>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</si>
  <si>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</si>
  <si>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</si>
  <si>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</si>
  <si>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</si>
  <si>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</si>
  <si>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</si>
  <si>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</si>
  <si>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</si>
  <si>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</si>
  <si>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</si>
  <si>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</si>
  <si>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</si>
  <si>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</si>
  <si>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</si>
  <si>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</si>
  <si>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</si>
  <si>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</si>
  <si>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</si>
  <si>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</si>
  <si>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</si>
  <si>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</si>
  <si>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</si>
  <si>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</si>
  <si>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</si>
  <si>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</si>
  <si>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</si>
  <si>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</si>
  <si>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</si>
  <si>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</si>
  <si>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</si>
  <si>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</si>
  <si>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</si>
  <si>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</si>
  <si>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</si>
  <si>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</si>
  <si>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</si>
  <si>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</si>
  <si>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</si>
  <si>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</si>
  <si>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</si>
  <si>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</si>
  <si>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</si>
  <si>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</si>
  <si>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</si>
  <si>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</si>
  <si>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</si>
  <si>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</si>
  <si>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</si>
  <si>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</si>
  <si>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</si>
  <si>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</si>
  <si>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</si>
  <si>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</si>
  <si>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</si>
  <si>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</si>
  <si>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</si>
  <si>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</si>
  <si>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</si>
  <si>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</si>
  <si>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</si>
  <si>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</si>
  <si>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</si>
  <si>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</si>
  <si>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</si>
  <si>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</si>
  <si>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</si>
  <si>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</si>
  <si>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</si>
  <si>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</si>
  <si>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</si>
  <si>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</si>
  <si>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</si>
  <si>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</si>
  <si>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</si>
  <si>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</si>
  <si>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</si>
  <si>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</si>
  <si>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</si>
  <si>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</si>
  <si>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</si>
  <si>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</si>
  <si>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</si>
  <si>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</si>
  <si>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</si>
  <si>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</si>
  <si>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</si>
  <si>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</si>
  <si>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</si>
  <si>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</si>
  <si>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</si>
  <si>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</si>
  <si>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</si>
  <si>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</si>
  <si>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</si>
  <si>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</si>
  <si>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</si>
  <si>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</si>
  <si>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</si>
  <si>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</si>
  <si>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</si>
  <si>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</si>
  <si>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</si>
  <si>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</si>
  <si>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</si>
  <si>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</si>
  <si>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</si>
  <si>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</si>
  <si>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</si>
  <si>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</si>
  <si>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</si>
  <si>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</si>
  <si>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</si>
  <si>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</si>
  <si>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</si>
  <si>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</si>
  <si>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</si>
  <si>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</si>
  <si>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</si>
  <si>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</si>
  <si>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</si>
  <si>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</si>
  <si>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</si>
  <si>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</si>
  <si>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</si>
  <si>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</si>
  <si>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</si>
  <si>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</si>
  <si>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</si>
  <si>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</si>
  <si>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</si>
  <si>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</si>
  <si>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</si>
  <si>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</si>
  <si>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</si>
  <si>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</si>
  <si>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</si>
  <si>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</si>
  <si>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</si>
  <si>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</si>
  <si>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</si>
  <si>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</si>
  <si>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</si>
  <si>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</si>
  <si>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</si>
  <si>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</si>
  <si>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</si>
  <si>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</si>
  <si>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</si>
  <si>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</si>
  <si>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</si>
  <si>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</si>
  <si>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</si>
  <si>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</si>
  <si>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</si>
  <si>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</si>
  <si>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</si>
  <si>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</si>
  <si>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</si>
  <si>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</si>
  <si>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</si>
  <si>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</si>
  <si>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</si>
  <si>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</si>
  <si>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</si>
  <si>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</si>
  <si>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</si>
  <si>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</si>
  <si>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</si>
  <si>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</si>
  <si>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</si>
  <si>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</si>
  <si>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</si>
  <si>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</si>
  <si>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</si>
  <si>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</si>
  <si>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</si>
  <si>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</si>
  <si>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</si>
  <si>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</si>
  <si>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</si>
  <si>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</si>
  <si>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</si>
  <si>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</si>
  <si>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</si>
  <si>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</si>
  <si>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</si>
  <si>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</si>
  <si>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</si>
  <si>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</si>
  <si>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</si>
  <si>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</si>
  <si>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</si>
  <si>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</si>
  <si>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</si>
  <si>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</si>
  <si>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</si>
  <si>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</si>
  <si>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</si>
  <si>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</si>
  <si>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</si>
  <si>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</si>
  <si>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</si>
  <si>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</si>
  <si>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</si>
  <si>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</si>
  <si>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</si>
  <si>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</si>
  <si>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</si>
  <si>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</si>
  <si>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</si>
  <si>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</si>
  <si>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</si>
  <si>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</si>
  <si>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</si>
  <si>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</si>
  <si>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</si>
  <si>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</si>
  <si>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</si>
  <si>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</si>
  <si>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</si>
  <si>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</si>
  <si>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</si>
  <si>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</si>
  <si>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</si>
  <si>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</si>
  <si>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</si>
  <si>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</si>
  <si>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</si>
  <si>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</si>
  <si>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</si>
  <si>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</si>
  <si>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</si>
  <si>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</si>
  <si>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</si>
  <si>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</si>
  <si>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</si>
  <si>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</si>
  <si>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</si>
  <si>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THE NEW MILFORD HOSPITAL, INC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</si>
  <si>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</si>
  <si>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</si>
  <si>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</si>
  <si>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</si>
  <si>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</si>
  <si>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</si>
  <si>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</si>
  <si>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</si>
  <si>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</si>
  <si>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</si>
  <si>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</si>
  <si>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</si>
  <si>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</si>
  <si>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</si>
  <si>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</si>
  <si>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</si>
  <si>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</si>
  <si>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</si>
  <si>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</si>
  <si>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</si>
  <si>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</si>
  <si>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</si>
  <si>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</si>
  <si>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</si>
  <si>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</si>
  <si>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</si>
  <si>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</si>
  <si>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</si>
  <si>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</si>
  <si>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</si>
  <si>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</si>
  <si>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</si>
  <si>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</si>
  <si>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</si>
  <si>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</si>
  <si>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</si>
  <si>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</si>
  <si>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</si>
  <si>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</si>
  <si>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</si>
  <si>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</si>
  <si>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</si>
  <si>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</si>
  <si>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</si>
  <si>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</si>
  <si>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</si>
  <si>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</si>
  <si>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</si>
  <si>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</si>
  <si>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</si>
  <si>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</si>
  <si>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</si>
  <si>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</si>
  <si>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</si>
  <si>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</si>
  <si>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</si>
  <si>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</si>
  <si>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</si>
  <si>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</si>
  <si>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</si>
  <si>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</si>
  <si>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</si>
  <si>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</si>
  <si>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</si>
  <si>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</si>
  <si>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</si>
  <si>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</si>
  <si>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</si>
  <si>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</si>
  <si>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</si>
  <si>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</si>
  <si>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</si>
  <si>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</si>
  <si>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</si>
  <si>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</si>
  <si>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</si>
  <si>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</si>
  <si>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</si>
  <si>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</si>
  <si>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</si>
  <si>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</si>
  <si>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</si>
  <si>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</si>
  <si>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</si>
  <si>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</si>
  <si>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</si>
  <si>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</si>
  <si>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</si>
  <si>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</si>
  <si>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</si>
  <si>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</si>
  <si>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</si>
  <si>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</si>
  <si>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</si>
  <si>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</si>
  <si>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</si>
  <si>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</si>
  <si>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</si>
  <si>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</si>
  <si>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</si>
  <si>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</si>
  <si>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</si>
  <si>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</si>
  <si>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The New Milford Hospital Inc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</si>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</sst>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5" xfId="0" applyNumberFormat="1" applyFont="1" applyBorder="1" applyAlignment="1">
      <alignment horizontal="center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23" fillId="20" borderId="38" xfId="0" applyNumberFormat="1" applyFont="1" applyFill="1" applyBorder="1" applyAlignment="1">
      <alignment horizontal="center" wrapText="1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5" xfId="0" applyNumberFormat="1" applyFont="1" applyBorder="1" applyAlignment="1">
      <alignment horizontal="center" wrapText="1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115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118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2003448</v>
      </c>
      <c r="D13" s="23">
        <v>2513911</v>
      </c>
      <c r="E13" s="23">
        <f aca="true" t="shared" si="0" ref="E13:E22">D13-C13</f>
        <v>510463</v>
      </c>
      <c r="F13" s="24">
        <f aca="true" t="shared" si="1" ref="F13:F22">IF(C13=0,0,E13/C13)</f>
        <v>0.2547922381813753</v>
      </c>
    </row>
    <row r="14" spans="1:6" ht="24" customHeight="1">
      <c r="A14" s="21">
        <v>2</v>
      </c>
      <c r="B14" s="22" t="s">
        <v>132</v>
      </c>
      <c r="C14" s="23">
        <v>830159</v>
      </c>
      <c r="D14" s="23">
        <v>195420</v>
      </c>
      <c r="E14" s="23">
        <f t="shared" si="0"/>
        <v>-634739</v>
      </c>
      <c r="F14" s="24">
        <f t="shared" si="1"/>
        <v>-0.7645993116981205</v>
      </c>
    </row>
    <row r="15" spans="1:6" ht="30" customHeight="1">
      <c r="A15" s="21">
        <v>3</v>
      </c>
      <c r="B15" s="22" t="s">
        <v>133</v>
      </c>
      <c r="C15" s="23">
        <v>10991250</v>
      </c>
      <c r="D15" s="23">
        <v>10792628</v>
      </c>
      <c r="E15" s="23">
        <f t="shared" si="0"/>
        <v>-198622</v>
      </c>
      <c r="F15" s="24">
        <f t="shared" si="1"/>
        <v>-0.018070920050039803</v>
      </c>
    </row>
    <row r="16" spans="1:6" ht="24" customHeight="1">
      <c r="A16" s="21">
        <v>4</v>
      </c>
      <c r="B16" s="22" t="s">
        <v>134</v>
      </c>
      <c r="C16" s="23">
        <v>1135356</v>
      </c>
      <c r="D16" s="23">
        <v>1095852</v>
      </c>
      <c r="E16" s="23">
        <f t="shared" si="0"/>
        <v>-39504</v>
      </c>
      <c r="F16" s="24">
        <f t="shared" si="1"/>
        <v>-0.034794372866308015</v>
      </c>
    </row>
    <row r="17" spans="1:6" ht="24" customHeight="1">
      <c r="A17" s="21">
        <v>5</v>
      </c>
      <c r="B17" s="22" t="s">
        <v>135</v>
      </c>
      <c r="C17" s="23">
        <v>1352988</v>
      </c>
      <c r="D17" s="23">
        <v>46292</v>
      </c>
      <c r="E17" s="23">
        <f t="shared" si="0"/>
        <v>-1306696</v>
      </c>
      <c r="F17" s="24">
        <f t="shared" si="1"/>
        <v>-0.965785358037174</v>
      </c>
    </row>
    <row r="18" spans="1:6" ht="24" customHeight="1">
      <c r="A18" s="21">
        <v>6</v>
      </c>
      <c r="B18" s="22" t="s">
        <v>136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137</v>
      </c>
      <c r="C19" s="23">
        <v>2090275</v>
      </c>
      <c r="D19" s="23">
        <v>2035077</v>
      </c>
      <c r="E19" s="23">
        <f t="shared" si="0"/>
        <v>-55198</v>
      </c>
      <c r="F19" s="24">
        <f t="shared" si="1"/>
        <v>-0.026407051703723195</v>
      </c>
    </row>
    <row r="20" spans="1:6" ht="24" customHeight="1">
      <c r="A20" s="21">
        <v>8</v>
      </c>
      <c r="B20" s="22" t="s">
        <v>138</v>
      </c>
      <c r="C20" s="23">
        <v>2261301</v>
      </c>
      <c r="D20" s="23">
        <v>2935422</v>
      </c>
      <c r="E20" s="23">
        <f t="shared" si="0"/>
        <v>674121</v>
      </c>
      <c r="F20" s="24">
        <f t="shared" si="1"/>
        <v>0.2981120160473993</v>
      </c>
    </row>
    <row r="21" spans="1:6" ht="24" customHeight="1">
      <c r="A21" s="21">
        <v>9</v>
      </c>
      <c r="B21" s="22" t="s">
        <v>139</v>
      </c>
      <c r="C21" s="23">
        <v>871559</v>
      </c>
      <c r="D21" s="23">
        <v>515117</v>
      </c>
      <c r="E21" s="23">
        <f t="shared" si="0"/>
        <v>-356442</v>
      </c>
      <c r="F21" s="24">
        <f t="shared" si="1"/>
        <v>-0.40897059177864037</v>
      </c>
    </row>
    <row r="22" spans="1:6" ht="24" customHeight="1">
      <c r="A22" s="25"/>
      <c r="B22" s="26" t="s">
        <v>140</v>
      </c>
      <c r="C22" s="27">
        <f>SUM(C13:C21)</f>
        <v>21536336</v>
      </c>
      <c r="D22" s="27">
        <f>SUM(D13:D21)</f>
        <v>20129719</v>
      </c>
      <c r="E22" s="27">
        <f t="shared" si="0"/>
        <v>-1406617</v>
      </c>
      <c r="F22" s="28">
        <f t="shared" si="1"/>
        <v>-0.06531366338266639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24" customHeight="1">
      <c r="A28" s="21">
        <v>4</v>
      </c>
      <c r="B28" s="22" t="s">
        <v>146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6" ht="24" customHeight="1">
      <c r="A29" s="25"/>
      <c r="B29" s="26" t="s">
        <v>147</v>
      </c>
      <c r="C29" s="27">
        <f>SUM(C25:C28)</f>
        <v>0</v>
      </c>
      <c r="D29" s="27">
        <f>SUM(D25:D28)</f>
        <v>0</v>
      </c>
      <c r="E29" s="27">
        <f>D29-C29</f>
        <v>0</v>
      </c>
      <c r="F29" s="28">
        <f>IF(C29=0,0,E29/C29)</f>
        <v>0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148</v>
      </c>
      <c r="C31" s="23">
        <v>14320874</v>
      </c>
      <c r="D31" s="23">
        <v>14189069</v>
      </c>
      <c r="E31" s="23">
        <f>D31-C31</f>
        <v>-131805</v>
      </c>
      <c r="F31" s="24">
        <f>IF(C31=0,0,E31/C31)</f>
        <v>-0.009203698042451879</v>
      </c>
    </row>
    <row r="32" spans="1:6" ht="24" customHeight="1">
      <c r="A32" s="21">
        <v>6</v>
      </c>
      <c r="B32" s="22" t="s">
        <v>149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6" ht="24" customHeight="1">
      <c r="A33" s="21">
        <v>7</v>
      </c>
      <c r="B33" s="22" t="s">
        <v>150</v>
      </c>
      <c r="C33" s="23">
        <v>4271517</v>
      </c>
      <c r="D33" s="23">
        <v>3686428</v>
      </c>
      <c r="E33" s="23">
        <f>D33-C33</f>
        <v>-585089</v>
      </c>
      <c r="F33" s="24">
        <f>IF(C33=0,0,E33/C33)</f>
        <v>-0.13697452216624678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151</v>
      </c>
      <c r="B35" s="30" t="s">
        <v>152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153</v>
      </c>
      <c r="C36" s="23">
        <v>89669560</v>
      </c>
      <c r="D36" s="23">
        <v>91528719</v>
      </c>
      <c r="E36" s="23">
        <f>D36-C36</f>
        <v>1859159</v>
      </c>
      <c r="F36" s="24">
        <f>IF(C36=0,0,E36/C36)</f>
        <v>0.020733446221883993</v>
      </c>
    </row>
    <row r="37" spans="1:6" ht="24" customHeight="1">
      <c r="A37" s="21">
        <v>2</v>
      </c>
      <c r="B37" s="22" t="s">
        <v>154</v>
      </c>
      <c r="C37" s="23">
        <v>55543307</v>
      </c>
      <c r="D37" s="23">
        <v>60489384</v>
      </c>
      <c r="E37" s="23">
        <f>D37-C37</f>
        <v>4946077</v>
      </c>
      <c r="F37" s="24">
        <f>IF(C37=0,0,E37/C37)</f>
        <v>0.08904901899341355</v>
      </c>
    </row>
    <row r="38" spans="1:6" ht="24" customHeight="1">
      <c r="A38" s="25"/>
      <c r="B38" s="26" t="s">
        <v>155</v>
      </c>
      <c r="C38" s="27">
        <f>C36-C37</f>
        <v>34126253</v>
      </c>
      <c r="D38" s="27">
        <f>D36-D37</f>
        <v>31039335</v>
      </c>
      <c r="E38" s="27">
        <f>D38-C38</f>
        <v>-3086918</v>
      </c>
      <c r="F38" s="28">
        <f>IF(C38=0,0,E38/C38)</f>
        <v>-0.09045581417918926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156</v>
      </c>
      <c r="C40" s="23">
        <v>0</v>
      </c>
      <c r="D40" s="23">
        <v>668678</v>
      </c>
      <c r="E40" s="23">
        <f>D40-C40</f>
        <v>668678</v>
      </c>
      <c r="F40" s="24">
        <f>IF(C40=0,0,E40/C40)</f>
        <v>0</v>
      </c>
    </row>
    <row r="41" spans="1:6" ht="24" customHeight="1">
      <c r="A41" s="25"/>
      <c r="B41" s="26" t="s">
        <v>157</v>
      </c>
      <c r="C41" s="27">
        <f>+C38+C40</f>
        <v>34126253</v>
      </c>
      <c r="D41" s="27">
        <f>+D38+D40</f>
        <v>31708013</v>
      </c>
      <c r="E41" s="27">
        <f>D41-C41</f>
        <v>-2418240</v>
      </c>
      <c r="F41" s="28">
        <f>IF(C41=0,0,E41/C41)</f>
        <v>-0.0708615739325381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158</v>
      </c>
      <c r="C43" s="27">
        <f>C22+C29+C31+C32+C33+C41</f>
        <v>74254980</v>
      </c>
      <c r="D43" s="27">
        <f>D22+D29+D31+D32+D33+D41</f>
        <v>69713229</v>
      </c>
      <c r="E43" s="27">
        <f>D43-C43</f>
        <v>-4541751</v>
      </c>
      <c r="F43" s="28">
        <f>IF(C43=0,0,E43/C43)</f>
        <v>-0.06116426130611038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162</v>
      </c>
      <c r="C49" s="23">
        <v>6624895</v>
      </c>
      <c r="D49" s="23">
        <v>7756646</v>
      </c>
      <c r="E49" s="23">
        <f aca="true" t="shared" si="2" ref="E49:E56">D49-C49</f>
        <v>1131751</v>
      </c>
      <c r="F49" s="24">
        <f aca="true" t="shared" si="3" ref="F49:F56">IF(C49=0,0,E49/C49)</f>
        <v>0.17083304716527584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2694149</v>
      </c>
      <c r="D50" s="23">
        <v>2869848</v>
      </c>
      <c r="E50" s="23">
        <f t="shared" si="2"/>
        <v>175699</v>
      </c>
      <c r="F50" s="24">
        <f t="shared" si="3"/>
        <v>0.06521502708276343</v>
      </c>
    </row>
    <row r="51" spans="1:6" ht="24" customHeight="1">
      <c r="A51" s="21">
        <f t="shared" si="4"/>
        <v>3</v>
      </c>
      <c r="B51" s="22" t="s">
        <v>164</v>
      </c>
      <c r="C51" s="23">
        <v>1217686</v>
      </c>
      <c r="D51" s="23">
        <v>2305128</v>
      </c>
      <c r="E51" s="23">
        <f t="shared" si="2"/>
        <v>1087442</v>
      </c>
      <c r="F51" s="24">
        <f t="shared" si="3"/>
        <v>0.8930397491635774</v>
      </c>
    </row>
    <row r="52" spans="1:6" ht="24" customHeight="1">
      <c r="A52" s="21">
        <f t="shared" si="4"/>
        <v>4</v>
      </c>
      <c r="B52" s="22" t="s">
        <v>165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166</v>
      </c>
      <c r="C53" s="23">
        <v>1332761</v>
      </c>
      <c r="D53" s="23">
        <v>1662730</v>
      </c>
      <c r="E53" s="23">
        <f t="shared" si="2"/>
        <v>329969</v>
      </c>
      <c r="F53" s="24">
        <f t="shared" si="3"/>
        <v>0.24758302501348703</v>
      </c>
    </row>
    <row r="54" spans="1:6" ht="24" customHeight="1">
      <c r="A54" s="21">
        <f t="shared" si="4"/>
        <v>6</v>
      </c>
      <c r="B54" s="22" t="s">
        <v>167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168</v>
      </c>
      <c r="C55" s="23">
        <v>3205356</v>
      </c>
      <c r="D55" s="23">
        <v>1095852</v>
      </c>
      <c r="E55" s="23">
        <f t="shared" si="2"/>
        <v>-2109504</v>
      </c>
      <c r="F55" s="24">
        <f t="shared" si="3"/>
        <v>-0.6581184742038014</v>
      </c>
    </row>
    <row r="56" spans="1:6" ht="24" customHeight="1">
      <c r="A56" s="25"/>
      <c r="B56" s="26" t="s">
        <v>169</v>
      </c>
      <c r="C56" s="27">
        <f>SUM(C49:C55)</f>
        <v>15074847</v>
      </c>
      <c r="D56" s="27">
        <f>SUM(D49:D55)</f>
        <v>15690204</v>
      </c>
      <c r="E56" s="27">
        <f t="shared" si="2"/>
        <v>615357</v>
      </c>
      <c r="F56" s="28">
        <f t="shared" si="3"/>
        <v>0.04082011578624977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171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>
      <c r="A60" s="21">
        <v>2</v>
      </c>
      <c r="B60" s="22" t="s">
        <v>172</v>
      </c>
      <c r="C60" s="23">
        <v>9206726</v>
      </c>
      <c r="D60" s="23">
        <v>7543997</v>
      </c>
      <c r="E60" s="23">
        <f>D60-C60</f>
        <v>-1662729</v>
      </c>
      <c r="F60" s="24">
        <f>IF(C60=0,0,E60/C60)</f>
        <v>-0.18059937919299435</v>
      </c>
    </row>
    <row r="61" spans="1:6" ht="24" customHeight="1">
      <c r="A61" s="25"/>
      <c r="B61" s="26" t="s">
        <v>173</v>
      </c>
      <c r="C61" s="27">
        <f>SUM(C59:C60)</f>
        <v>9206726</v>
      </c>
      <c r="D61" s="27">
        <f>SUM(D59:D60)</f>
        <v>7543997</v>
      </c>
      <c r="E61" s="27">
        <f>D61-C61</f>
        <v>-1662729</v>
      </c>
      <c r="F61" s="28">
        <f>IF(C61=0,0,E61/C61)</f>
        <v>-0.18059937919299435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174</v>
      </c>
      <c r="C63" s="23">
        <v>4845380</v>
      </c>
      <c r="D63" s="23">
        <v>20426162</v>
      </c>
      <c r="E63" s="23">
        <f>D63-C63</f>
        <v>15580782</v>
      </c>
      <c r="F63" s="24">
        <f>IF(C63=0,0,E63/C63)</f>
        <v>3.2155954744519524</v>
      </c>
    </row>
    <row r="64" spans="1:6" ht="24" customHeight="1">
      <c r="A64" s="21">
        <v>4</v>
      </c>
      <c r="B64" s="22" t="s">
        <v>175</v>
      </c>
      <c r="C64" s="23">
        <v>1563146</v>
      </c>
      <c r="D64" s="23">
        <v>2284464</v>
      </c>
      <c r="E64" s="23">
        <f>D64-C64</f>
        <v>721318</v>
      </c>
      <c r="F64" s="24">
        <f>IF(C64=0,0,E64/C64)</f>
        <v>0.46145273698042283</v>
      </c>
    </row>
    <row r="65" spans="1:6" ht="24" customHeight="1">
      <c r="A65" s="25"/>
      <c r="B65" s="26" t="s">
        <v>176</v>
      </c>
      <c r="C65" s="27">
        <f>SUM(C61:C64)</f>
        <v>15615252</v>
      </c>
      <c r="D65" s="27">
        <f>SUM(D61:D64)</f>
        <v>30254623</v>
      </c>
      <c r="E65" s="27">
        <f>D65-C65</f>
        <v>14639371</v>
      </c>
      <c r="F65" s="28">
        <f>IF(C65=0,0,E65/C65)</f>
        <v>0.937504626886585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151</v>
      </c>
      <c r="B69" s="41" t="s">
        <v>178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179</v>
      </c>
      <c r="C70" s="23">
        <v>29244007</v>
      </c>
      <c r="D70" s="23">
        <v>13080008</v>
      </c>
      <c r="E70" s="23">
        <f>D70-C70</f>
        <v>-16163999</v>
      </c>
      <c r="F70" s="24">
        <f>IF(C70=0,0,E70/C70)</f>
        <v>-0.5527285983757287</v>
      </c>
    </row>
    <row r="71" spans="1:6" ht="24" customHeight="1">
      <c r="A71" s="21">
        <v>2</v>
      </c>
      <c r="B71" s="22" t="s">
        <v>180</v>
      </c>
      <c r="C71" s="23">
        <v>10559944</v>
      </c>
      <c r="D71" s="23">
        <v>7033945</v>
      </c>
      <c r="E71" s="23">
        <f>D71-C71</f>
        <v>-3525999</v>
      </c>
      <c r="F71" s="24">
        <f>IF(C71=0,0,E71/C71)</f>
        <v>-0.3339031911532864</v>
      </c>
    </row>
    <row r="72" spans="1:6" ht="24" customHeight="1">
      <c r="A72" s="21">
        <v>3</v>
      </c>
      <c r="B72" s="22" t="s">
        <v>181</v>
      </c>
      <c r="C72" s="23">
        <v>3760930</v>
      </c>
      <c r="D72" s="23">
        <v>3654449</v>
      </c>
      <c r="E72" s="23">
        <f>D72-C72</f>
        <v>-106481</v>
      </c>
      <c r="F72" s="24">
        <f>IF(C72=0,0,E72/C72)</f>
        <v>-0.028312412089562953</v>
      </c>
    </row>
    <row r="73" spans="1:6" ht="24" customHeight="1">
      <c r="A73" s="21"/>
      <c r="B73" s="26" t="s">
        <v>182</v>
      </c>
      <c r="C73" s="27">
        <f>SUM(C70:C72)</f>
        <v>43564881</v>
      </c>
      <c r="D73" s="27">
        <f>SUM(D70:D72)</f>
        <v>23768402</v>
      </c>
      <c r="E73" s="27">
        <f>D73-C73</f>
        <v>-19796479</v>
      </c>
      <c r="F73" s="28">
        <f>IF(C73=0,0,E73/C73)</f>
        <v>-0.45441370538806247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183</v>
      </c>
      <c r="C75" s="27">
        <f>C56+C65+C67+C73</f>
        <v>74254980</v>
      </c>
      <c r="D75" s="27">
        <f>D56+D65+D67+D73</f>
        <v>69713229</v>
      </c>
      <c r="E75" s="27">
        <f>D75-C75</f>
        <v>-4541751</v>
      </c>
      <c r="F75" s="28">
        <f>IF(C75=0,0,E75/C75)</f>
        <v>-0.06116426130611038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FILING&amp;RNEW MILFORD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594</v>
      </c>
      <c r="B1" s="696"/>
      <c r="C1" s="696"/>
      <c r="D1" s="696"/>
      <c r="E1" s="697"/>
    </row>
    <row r="2" spans="1:5" ht="24" customHeight="1">
      <c r="A2" s="695" t="s">
        <v>116</v>
      </c>
      <c r="B2" s="696"/>
      <c r="C2" s="696"/>
      <c r="D2" s="696"/>
      <c r="E2" s="697"/>
    </row>
    <row r="3" spans="1:5" ht="24" customHeight="1">
      <c r="A3" s="695" t="s">
        <v>117</v>
      </c>
      <c r="B3" s="696"/>
      <c r="C3" s="696"/>
      <c r="D3" s="696"/>
      <c r="E3" s="697"/>
    </row>
    <row r="4" spans="1:5" ht="24" customHeight="1">
      <c r="A4" s="695" t="s">
        <v>597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125</v>
      </c>
      <c r="D7" s="59" t="s">
        <v>125</v>
      </c>
      <c r="E7" s="59" t="s">
        <v>125</v>
      </c>
      <c r="F7" s="59"/>
    </row>
    <row r="8" spans="1:6" ht="24" customHeight="1">
      <c r="A8" s="61" t="s">
        <v>123</v>
      </c>
      <c r="B8" s="62" t="s">
        <v>124</v>
      </c>
      <c r="C8" s="264" t="s">
        <v>422</v>
      </c>
      <c r="D8" s="264" t="s">
        <v>119</v>
      </c>
      <c r="E8" s="264" t="s">
        <v>120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129</v>
      </c>
      <c r="B10" s="187" t="s">
        <v>598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599</v>
      </c>
      <c r="C11" s="51">
        <v>87023873</v>
      </c>
      <c r="D11" s="51">
        <v>91810616</v>
      </c>
      <c r="E11" s="51">
        <v>92587250</v>
      </c>
      <c r="F11" s="28"/>
    </row>
    <row r="12" spans="1:6" ht="24" customHeight="1">
      <c r="A12" s="44">
        <v>2</v>
      </c>
      <c r="B12" s="48" t="s">
        <v>191</v>
      </c>
      <c r="C12" s="49">
        <v>5075018</v>
      </c>
      <c r="D12" s="49">
        <v>6781593</v>
      </c>
      <c r="E12" s="49">
        <v>5129602</v>
      </c>
      <c r="F12" s="28"/>
    </row>
    <row r="13" spans="1:6" s="56" customFormat="1" ht="24" customHeight="1">
      <c r="A13" s="44">
        <v>3</v>
      </c>
      <c r="B13" s="48" t="s">
        <v>193</v>
      </c>
      <c r="C13" s="51">
        <f>+C11+C12</f>
        <v>92098891</v>
      </c>
      <c r="D13" s="51">
        <f>+D11+D12</f>
        <v>98592209</v>
      </c>
      <c r="E13" s="51">
        <f>+E11+E12</f>
        <v>97716852</v>
      </c>
      <c r="F13" s="70"/>
    </row>
    <row r="14" spans="1:6" s="56" customFormat="1" ht="24" customHeight="1">
      <c r="A14" s="44">
        <v>4</v>
      </c>
      <c r="B14" s="48" t="s">
        <v>204</v>
      </c>
      <c r="C14" s="49">
        <v>91556804</v>
      </c>
      <c r="D14" s="49">
        <v>100248158</v>
      </c>
      <c r="E14" s="49">
        <v>103217073</v>
      </c>
      <c r="F14" s="70"/>
    </row>
    <row r="15" spans="1:6" s="56" customFormat="1" ht="24" customHeight="1">
      <c r="A15" s="44">
        <v>5</v>
      </c>
      <c r="B15" s="48" t="s">
        <v>205</v>
      </c>
      <c r="C15" s="51">
        <f>+C13-C14</f>
        <v>542087</v>
      </c>
      <c r="D15" s="51">
        <f>+D13-D14</f>
        <v>-1655949</v>
      </c>
      <c r="E15" s="51">
        <f>+E13-E14</f>
        <v>-5500221</v>
      </c>
      <c r="F15" s="70"/>
    </row>
    <row r="16" spans="1:6" s="56" customFormat="1" ht="24" customHeight="1">
      <c r="A16" s="44">
        <v>6</v>
      </c>
      <c r="B16" s="48" t="s">
        <v>210</v>
      </c>
      <c r="C16" s="49">
        <v>357187</v>
      </c>
      <c r="D16" s="49">
        <v>505004</v>
      </c>
      <c r="E16" s="49">
        <v>335151</v>
      </c>
      <c r="F16" s="70"/>
    </row>
    <row r="17" spans="1:6" s="56" customFormat="1" ht="24" customHeight="1">
      <c r="A17" s="44">
        <v>7</v>
      </c>
      <c r="B17" s="45" t="s">
        <v>425</v>
      </c>
      <c r="C17" s="51">
        <f>C15+C16</f>
        <v>899274</v>
      </c>
      <c r="D17" s="51">
        <f>D15+D16</f>
        <v>-1150945</v>
      </c>
      <c r="E17" s="51">
        <f>E15+E16</f>
        <v>-5165070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141</v>
      </c>
      <c r="B19" s="30" t="s">
        <v>600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601</v>
      </c>
      <c r="C20" s="169">
        <f>IF(+C27=0,0,+C24/+C27)</f>
        <v>0.005863184029934733</v>
      </c>
      <c r="D20" s="169">
        <f>IF(+D27=0,0,+D24/+D27)</f>
        <v>-0.01671034885713688</v>
      </c>
      <c r="E20" s="169">
        <f>IF(+E27=0,0,+E24/+E27)</f>
        <v>-0.056094937703618356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602</v>
      </c>
      <c r="C21" s="169">
        <f>IF(+C27=0,0,+C26/+C27)</f>
        <v>0.0038633155085812747</v>
      </c>
      <c r="D21" s="169">
        <f>IF(+D27=0,0,+D26/+D27)</f>
        <v>0.005096046444817777</v>
      </c>
      <c r="E21" s="169">
        <f>IF(+E27=0,0,+E26/+E27)</f>
        <v>0.0034180943758996946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603</v>
      </c>
      <c r="C22" s="169">
        <f>IF(+C27=0,0,+C28/+C27)</f>
        <v>0.009726499538516007</v>
      </c>
      <c r="D22" s="169">
        <f>IF(+D27=0,0,+D28/+D27)</f>
        <v>-0.011614302412319102</v>
      </c>
      <c r="E22" s="169">
        <f>IF(+E27=0,0,+E28/+E27)</f>
        <v>-0.05267684332771866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205</v>
      </c>
      <c r="C24" s="51">
        <f>+C15</f>
        <v>542087</v>
      </c>
      <c r="D24" s="51">
        <f>+D15</f>
        <v>-1655949</v>
      </c>
      <c r="E24" s="51">
        <f>+E15</f>
        <v>-5500221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193</v>
      </c>
      <c r="C25" s="51">
        <f>+C13</f>
        <v>92098891</v>
      </c>
      <c r="D25" s="51">
        <f>+D13</f>
        <v>98592209</v>
      </c>
      <c r="E25" s="51">
        <f>+E13</f>
        <v>97716852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210</v>
      </c>
      <c r="C26" s="51">
        <f>+C16</f>
        <v>357187</v>
      </c>
      <c r="D26" s="51">
        <f>+D16</f>
        <v>505004</v>
      </c>
      <c r="E26" s="51">
        <f>+E16</f>
        <v>335151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430</v>
      </c>
      <c r="C27" s="51">
        <f>SUM(C25:C26)</f>
        <v>92456078</v>
      </c>
      <c r="D27" s="51">
        <f>SUM(D25:D26)</f>
        <v>99097213</v>
      </c>
      <c r="E27" s="51">
        <f>SUM(E25:E26)</f>
        <v>98052003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425</v>
      </c>
      <c r="C28" s="51">
        <f>+C17</f>
        <v>899274</v>
      </c>
      <c r="D28" s="51">
        <f>+D17</f>
        <v>-1150945</v>
      </c>
      <c r="E28" s="51">
        <f>+E17</f>
        <v>-5165070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151</v>
      </c>
      <c r="B30" s="41" t="s">
        <v>604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605</v>
      </c>
      <c r="C31" s="51">
        <v>33871710</v>
      </c>
      <c r="D31" s="51">
        <v>29244007</v>
      </c>
      <c r="E31" s="52">
        <v>9579333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606</v>
      </c>
      <c r="C32" s="51">
        <v>47477655</v>
      </c>
      <c r="D32" s="51">
        <v>43564881</v>
      </c>
      <c r="E32" s="51">
        <v>23768402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607</v>
      </c>
      <c r="C33" s="51">
        <v>47477655</v>
      </c>
      <c r="D33" s="51">
        <f>+D32-C32</f>
        <v>-3912774</v>
      </c>
      <c r="E33" s="51">
        <f>+E32-D32</f>
        <v>-19796479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608</v>
      </c>
      <c r="C34" s="171">
        <v>0</v>
      </c>
      <c r="D34" s="171">
        <f>IF(C32=0,0,+D33/C32)</f>
        <v>-0.08241295826426137</v>
      </c>
      <c r="E34" s="171">
        <f>IF(D32=0,0,+E33/D32)</f>
        <v>-0.45441370538806247</v>
      </c>
      <c r="F34" s="28"/>
    </row>
    <row r="35" spans="5:6" ht="24" customHeight="1">
      <c r="E35" s="55"/>
      <c r="F35" s="28"/>
    </row>
    <row r="36" spans="1:6" ht="15.75" customHeight="1">
      <c r="A36" s="20" t="s">
        <v>436</v>
      </c>
      <c r="B36" s="16" t="s">
        <v>458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459</v>
      </c>
      <c r="C38" s="269">
        <f>IF(+C40=0,0,+C39/+C40)</f>
        <v>1.5882553654730935</v>
      </c>
      <c r="D38" s="269">
        <f>IF(+D40=0,0,+D39/+D40)</f>
        <v>1.7708900120364328</v>
      </c>
      <c r="E38" s="269">
        <f>IF(+E40=0,0,+E39/+E40)</f>
        <v>1.4730902244573718</v>
      </c>
      <c r="F38" s="28"/>
    </row>
    <row r="39" spans="1:6" ht="24" customHeight="1">
      <c r="A39" s="17">
        <v>2</v>
      </c>
      <c r="B39" s="45" t="s">
        <v>140</v>
      </c>
      <c r="C39" s="270">
        <v>21020771</v>
      </c>
      <c r="D39" s="270">
        <v>27392194</v>
      </c>
      <c r="E39" s="270">
        <v>23502253</v>
      </c>
      <c r="F39" s="28"/>
    </row>
    <row r="40" spans="1:5" ht="24" customHeight="1">
      <c r="A40" s="17">
        <v>3</v>
      </c>
      <c r="B40" s="45" t="s">
        <v>169</v>
      </c>
      <c r="C40" s="270">
        <v>13235133</v>
      </c>
      <c r="D40" s="270">
        <v>15468038</v>
      </c>
      <c r="E40" s="270">
        <v>15954388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460</v>
      </c>
      <c r="C42" s="271">
        <f>IF((C48/365)=0,0,+C45/(C48/365))</f>
        <v>23.842561401573537</v>
      </c>
      <c r="D42" s="271">
        <f>IF((D48/365)=0,0,+D45/(D48/365))</f>
        <v>24.82684000428305</v>
      </c>
      <c r="E42" s="271">
        <f>IF((E48/365)=0,0,+E45/(E48/365))</f>
        <v>13.622485482861292</v>
      </c>
    </row>
    <row r="43" spans="1:5" ht="24" customHeight="1">
      <c r="A43" s="17">
        <v>5</v>
      </c>
      <c r="B43" s="188" t="s">
        <v>131</v>
      </c>
      <c r="C43" s="272">
        <v>4863680</v>
      </c>
      <c r="D43" s="272">
        <v>5649889</v>
      </c>
      <c r="E43" s="272">
        <v>3470654</v>
      </c>
    </row>
    <row r="44" spans="1:5" ht="24" customHeight="1">
      <c r="A44" s="17">
        <v>6</v>
      </c>
      <c r="B44" s="273" t="s">
        <v>132</v>
      </c>
      <c r="C44" s="274">
        <v>796347</v>
      </c>
      <c r="D44" s="274">
        <v>830159</v>
      </c>
      <c r="E44" s="274">
        <v>195420</v>
      </c>
    </row>
    <row r="45" spans="1:5" ht="24" customHeight="1">
      <c r="A45" s="17">
        <v>7</v>
      </c>
      <c r="B45" s="45" t="s">
        <v>461</v>
      </c>
      <c r="C45" s="270">
        <f>+C43+C44</f>
        <v>5660027</v>
      </c>
      <c r="D45" s="270">
        <f>+D43+D44</f>
        <v>6480048</v>
      </c>
      <c r="E45" s="270">
        <f>+E43+E44</f>
        <v>3666074</v>
      </c>
    </row>
    <row r="46" spans="1:5" ht="24" customHeight="1">
      <c r="A46" s="17">
        <v>8</v>
      </c>
      <c r="B46" s="45" t="s">
        <v>439</v>
      </c>
      <c r="C46" s="270">
        <f>+C14</f>
        <v>91556804</v>
      </c>
      <c r="D46" s="270">
        <f>+D14</f>
        <v>100248158</v>
      </c>
      <c r="E46" s="270">
        <f>+E14</f>
        <v>103217073</v>
      </c>
    </row>
    <row r="47" spans="1:5" ht="24" customHeight="1">
      <c r="A47" s="17">
        <v>9</v>
      </c>
      <c r="B47" s="45" t="s">
        <v>462</v>
      </c>
      <c r="C47" s="270">
        <v>4908821</v>
      </c>
      <c r="D47" s="270">
        <v>4979589</v>
      </c>
      <c r="E47" s="270">
        <v>4988522</v>
      </c>
    </row>
    <row r="48" spans="1:5" ht="24" customHeight="1">
      <c r="A48" s="17">
        <v>10</v>
      </c>
      <c r="B48" s="45" t="s">
        <v>463</v>
      </c>
      <c r="C48" s="270">
        <f>+C46-C47</f>
        <v>86647983</v>
      </c>
      <c r="D48" s="270">
        <f>+D46-D47</f>
        <v>95268569</v>
      </c>
      <c r="E48" s="270">
        <f>+E46-E47</f>
        <v>98228551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464</v>
      </c>
      <c r="C50" s="278">
        <f>IF((C55/365)=0,0,+C54/(C55/365))</f>
        <v>36.74631454290709</v>
      </c>
      <c r="D50" s="278">
        <f>IF((D55/365)=0,0,+D54/(D55/365))</f>
        <v>41.23699077457448</v>
      </c>
      <c r="E50" s="278">
        <f>IF((E55/365)=0,0,+E54/(E55/365))</f>
        <v>35.241234943256224</v>
      </c>
    </row>
    <row r="51" spans="1:5" ht="24" customHeight="1">
      <c r="A51" s="17">
        <v>12</v>
      </c>
      <c r="B51" s="188" t="s">
        <v>465</v>
      </c>
      <c r="C51" s="279">
        <v>10557397</v>
      </c>
      <c r="D51" s="279">
        <v>11674918</v>
      </c>
      <c r="E51" s="279">
        <v>11329197</v>
      </c>
    </row>
    <row r="52" spans="1:5" ht="24" customHeight="1">
      <c r="A52" s="17">
        <v>13</v>
      </c>
      <c r="B52" s="188" t="s">
        <v>136</v>
      </c>
      <c r="C52" s="270">
        <v>0</v>
      </c>
      <c r="D52" s="270">
        <v>0</v>
      </c>
      <c r="E52" s="270">
        <v>0</v>
      </c>
    </row>
    <row r="53" spans="1:5" ht="24" customHeight="1">
      <c r="A53" s="17">
        <v>14</v>
      </c>
      <c r="B53" s="188" t="s">
        <v>164</v>
      </c>
      <c r="C53" s="270">
        <v>1796283</v>
      </c>
      <c r="D53" s="270">
        <v>1302333</v>
      </c>
      <c r="E53" s="270">
        <v>2389775</v>
      </c>
    </row>
    <row r="54" spans="1:5" ht="32.25" customHeight="1">
      <c r="A54" s="17">
        <v>15</v>
      </c>
      <c r="B54" s="45" t="s">
        <v>466</v>
      </c>
      <c r="C54" s="280">
        <f>+C51+C52-C53</f>
        <v>8761114</v>
      </c>
      <c r="D54" s="280">
        <f>+D51+D52-D53</f>
        <v>10372585</v>
      </c>
      <c r="E54" s="280">
        <f>+E51+E52-E53</f>
        <v>8939422</v>
      </c>
    </row>
    <row r="55" spans="1:5" ht="24" customHeight="1">
      <c r="A55" s="17">
        <v>16</v>
      </c>
      <c r="B55" s="45" t="s">
        <v>190</v>
      </c>
      <c r="C55" s="270">
        <f>+C11</f>
        <v>87023873</v>
      </c>
      <c r="D55" s="270">
        <f>+D11</f>
        <v>91810616</v>
      </c>
      <c r="E55" s="270">
        <f>+E11</f>
        <v>92587250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467</v>
      </c>
      <c r="C57" s="283">
        <f>IF((C61/365)=0,0,+C58/(C61/365))</f>
        <v>55.75229079481285</v>
      </c>
      <c r="D57" s="283">
        <f>IF((D61/365)=0,0,+D58/(D61/365))</f>
        <v>59.262293212360525</v>
      </c>
      <c r="E57" s="283">
        <f>IF((E61/365)=0,0,+E58/(E61/365))</f>
        <v>59.28369665149596</v>
      </c>
    </row>
    <row r="58" spans="1:5" ht="24" customHeight="1">
      <c r="A58" s="17">
        <v>18</v>
      </c>
      <c r="B58" s="45" t="s">
        <v>169</v>
      </c>
      <c r="C58" s="281">
        <f>+C40</f>
        <v>13235133</v>
      </c>
      <c r="D58" s="281">
        <f>+D40</f>
        <v>15468038</v>
      </c>
      <c r="E58" s="281">
        <f>+E40</f>
        <v>15954388</v>
      </c>
    </row>
    <row r="59" spans="1:5" ht="24" customHeight="1">
      <c r="A59" s="17">
        <v>19</v>
      </c>
      <c r="B59" s="45" t="s">
        <v>439</v>
      </c>
      <c r="C59" s="281">
        <f aca="true" t="shared" si="0" ref="C59:E60">+C46</f>
        <v>91556804</v>
      </c>
      <c r="D59" s="281">
        <f t="shared" si="0"/>
        <v>100248158</v>
      </c>
      <c r="E59" s="281">
        <f t="shared" si="0"/>
        <v>103217073</v>
      </c>
    </row>
    <row r="60" spans="1:5" ht="24" customHeight="1">
      <c r="A60" s="17">
        <v>20</v>
      </c>
      <c r="B60" s="45" t="s">
        <v>462</v>
      </c>
      <c r="C60" s="176">
        <f t="shared" si="0"/>
        <v>4908821</v>
      </c>
      <c r="D60" s="176">
        <f t="shared" si="0"/>
        <v>4979589</v>
      </c>
      <c r="E60" s="176">
        <f t="shared" si="0"/>
        <v>4988522</v>
      </c>
    </row>
    <row r="61" spans="1:5" ht="24" customHeight="1">
      <c r="A61" s="17">
        <v>21</v>
      </c>
      <c r="B61" s="45" t="s">
        <v>468</v>
      </c>
      <c r="C61" s="281">
        <f>+C59-C60</f>
        <v>86647983</v>
      </c>
      <c r="D61" s="281">
        <f>+D59-D60</f>
        <v>95268569</v>
      </c>
      <c r="E61" s="281">
        <f>+E59-E60</f>
        <v>98228551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457</v>
      </c>
      <c r="B63" s="16" t="s">
        <v>470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471</v>
      </c>
      <c r="C65" s="284">
        <f>IF(C67=0,0,(C66/C67)*100)</f>
        <v>65.75727536036295</v>
      </c>
      <c r="D65" s="284">
        <f>IF(D67=0,0,(D66/D67)*100)</f>
        <v>58.36027918219189</v>
      </c>
      <c r="E65" s="284">
        <f>IF(E67=0,0,(E66/E67)*100)</f>
        <v>33.965819799597334</v>
      </c>
    </row>
    <row r="66" spans="1:5" ht="24" customHeight="1">
      <c r="A66" s="17">
        <v>2</v>
      </c>
      <c r="B66" s="45" t="s">
        <v>182</v>
      </c>
      <c r="C66" s="281">
        <f>+C32</f>
        <v>47477655</v>
      </c>
      <c r="D66" s="281">
        <f>+D32</f>
        <v>43564881</v>
      </c>
      <c r="E66" s="281">
        <f>+E32</f>
        <v>23768402</v>
      </c>
    </row>
    <row r="67" spans="1:5" ht="24" customHeight="1">
      <c r="A67" s="17">
        <v>3</v>
      </c>
      <c r="B67" s="45" t="s">
        <v>158</v>
      </c>
      <c r="C67" s="281">
        <v>72201372</v>
      </c>
      <c r="D67" s="281">
        <v>74648171</v>
      </c>
      <c r="E67" s="281">
        <v>69977413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472</v>
      </c>
      <c r="C69" s="284">
        <f>IF(C75=0,0,(C72/C75)*100)</f>
        <v>24.431419334560943</v>
      </c>
      <c r="D69" s="284">
        <f>IF(D75=0,0,(D72/D75)*100)</f>
        <v>15.516436145042764</v>
      </c>
      <c r="E69" s="284">
        <f>IF(E75=0,0,(E72/E75)*100)</f>
        <v>-0.7513197183551125</v>
      </c>
    </row>
    <row r="70" spans="1:5" ht="24" customHeight="1">
      <c r="A70" s="17">
        <v>5</v>
      </c>
      <c r="B70" s="45" t="s">
        <v>473</v>
      </c>
      <c r="C70" s="281">
        <f>+C28</f>
        <v>899274</v>
      </c>
      <c r="D70" s="281">
        <f>+D28</f>
        <v>-1150945</v>
      </c>
      <c r="E70" s="281">
        <f>+E28</f>
        <v>-5165070</v>
      </c>
    </row>
    <row r="71" spans="1:5" ht="24" customHeight="1">
      <c r="A71" s="17">
        <v>6</v>
      </c>
      <c r="B71" s="45" t="s">
        <v>462</v>
      </c>
      <c r="C71" s="176">
        <f>+C47</f>
        <v>4908821</v>
      </c>
      <c r="D71" s="176">
        <f>+D47</f>
        <v>4979589</v>
      </c>
      <c r="E71" s="176">
        <f>+E47</f>
        <v>4988522</v>
      </c>
    </row>
    <row r="72" spans="1:5" ht="24" customHeight="1">
      <c r="A72" s="17">
        <v>7</v>
      </c>
      <c r="B72" s="45" t="s">
        <v>474</v>
      </c>
      <c r="C72" s="281">
        <f>+C70+C71</f>
        <v>5808095</v>
      </c>
      <c r="D72" s="281">
        <f>+D70+D71</f>
        <v>3828644</v>
      </c>
      <c r="E72" s="281">
        <f>+E70+E71</f>
        <v>-176548</v>
      </c>
    </row>
    <row r="73" spans="1:5" ht="24" customHeight="1">
      <c r="A73" s="17">
        <v>8</v>
      </c>
      <c r="B73" s="45" t="s">
        <v>169</v>
      </c>
      <c r="C73" s="270">
        <f>+C40</f>
        <v>13235133</v>
      </c>
      <c r="D73" s="270">
        <f>+D40</f>
        <v>15468038</v>
      </c>
      <c r="E73" s="270">
        <f>+E40</f>
        <v>15954388</v>
      </c>
    </row>
    <row r="74" spans="1:5" ht="24" customHeight="1">
      <c r="A74" s="17">
        <v>9</v>
      </c>
      <c r="B74" s="45" t="s">
        <v>173</v>
      </c>
      <c r="C74" s="281">
        <v>10537923</v>
      </c>
      <c r="D74" s="281">
        <v>9206726</v>
      </c>
      <c r="E74" s="281">
        <v>7543997</v>
      </c>
    </row>
    <row r="75" spans="1:5" ht="24" customHeight="1">
      <c r="A75" s="17">
        <v>10</v>
      </c>
      <c r="B75" s="285" t="s">
        <v>475</v>
      </c>
      <c r="C75" s="270">
        <f>+C73+C74</f>
        <v>23773056</v>
      </c>
      <c r="D75" s="270">
        <f>+D73+D74</f>
        <v>24674764</v>
      </c>
      <c r="E75" s="270">
        <f>+E73+E74</f>
        <v>23498385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476</v>
      </c>
      <c r="C77" s="286">
        <f>IF(C80=0,0,(C78/C80)*100)</f>
        <v>18.16395417106764</v>
      </c>
      <c r="D77" s="286">
        <f>IF(D80=0,0,(D78/D80)*100)</f>
        <v>17.446362776104205</v>
      </c>
      <c r="E77" s="286">
        <f>IF(E80=0,0,(E78/E80)*100)</f>
        <v>24.092682901747644</v>
      </c>
    </row>
    <row r="78" spans="1:5" ht="24" customHeight="1">
      <c r="A78" s="17">
        <v>12</v>
      </c>
      <c r="B78" s="45" t="s">
        <v>173</v>
      </c>
      <c r="C78" s="270">
        <f>+C74</f>
        <v>10537923</v>
      </c>
      <c r="D78" s="270">
        <f>+D74</f>
        <v>9206726</v>
      </c>
      <c r="E78" s="270">
        <f>+E74</f>
        <v>7543997</v>
      </c>
    </row>
    <row r="79" spans="1:5" ht="24" customHeight="1">
      <c r="A79" s="17">
        <v>13</v>
      </c>
      <c r="B79" s="45" t="s">
        <v>182</v>
      </c>
      <c r="C79" s="270">
        <f>+C32</f>
        <v>47477655</v>
      </c>
      <c r="D79" s="270">
        <f>+D32</f>
        <v>43564881</v>
      </c>
      <c r="E79" s="270">
        <f>+E32</f>
        <v>23768402</v>
      </c>
    </row>
    <row r="80" spans="1:5" ht="24" customHeight="1">
      <c r="A80" s="17">
        <v>14</v>
      </c>
      <c r="B80" s="45" t="s">
        <v>477</v>
      </c>
      <c r="C80" s="270">
        <f>+C78+C79</f>
        <v>58015578</v>
      </c>
      <c r="D80" s="270">
        <f>+D78+D79</f>
        <v>52771607</v>
      </c>
      <c r="E80" s="270">
        <f>+E78+E79</f>
        <v>31312399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FILING&amp;R&amp;8THE NEW MILFORD HOSPITAL, INC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4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115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116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117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609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610</v>
      </c>
      <c r="G7" s="126" t="s">
        <v>610</v>
      </c>
      <c r="H7" s="125"/>
      <c r="I7" s="289"/>
    </row>
    <row r="8" spans="1:9" ht="15.75" customHeight="1">
      <c r="A8" s="287"/>
      <c r="B8" s="126"/>
      <c r="C8" s="126" t="s">
        <v>611</v>
      </c>
      <c r="D8" s="126" t="s">
        <v>612</v>
      </c>
      <c r="E8" s="126" t="s">
        <v>613</v>
      </c>
      <c r="F8" s="126" t="s">
        <v>614</v>
      </c>
      <c r="G8" s="126" t="s">
        <v>615</v>
      </c>
      <c r="H8" s="125"/>
      <c r="I8" s="289"/>
    </row>
    <row r="9" spans="1:9" ht="15.75" customHeight="1">
      <c r="A9" s="290" t="s">
        <v>123</v>
      </c>
      <c r="B9" s="291" t="s">
        <v>124</v>
      </c>
      <c r="C9" s="292" t="s">
        <v>616</v>
      </c>
      <c r="D9" s="292" t="s">
        <v>617</v>
      </c>
      <c r="E9" s="292" t="s">
        <v>618</v>
      </c>
      <c r="F9" s="292" t="s">
        <v>617</v>
      </c>
      <c r="G9" s="292" t="s">
        <v>618</v>
      </c>
      <c r="H9" s="125"/>
      <c r="I9" s="56"/>
    </row>
    <row r="10" spans="1:9" ht="15.75" customHeight="1">
      <c r="A10" s="293" t="s">
        <v>619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620</v>
      </c>
      <c r="C11" s="296">
        <v>7202</v>
      </c>
      <c r="D11" s="297">
        <v>21</v>
      </c>
      <c r="E11" s="297">
        <v>63</v>
      </c>
      <c r="F11" s="298">
        <f>IF(D11=0,0,$C11/(D11*365))</f>
        <v>0.9395955642530985</v>
      </c>
      <c r="G11" s="298">
        <f>IF(E11=0,0,$C11/(E11*365))</f>
        <v>0.3131985214176995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621</v>
      </c>
      <c r="C13" s="296">
        <v>1040</v>
      </c>
      <c r="D13" s="297">
        <v>4</v>
      </c>
      <c r="E13" s="297">
        <v>8</v>
      </c>
      <c r="F13" s="298">
        <f>IF(D13=0,0,$C13/(D13*365))</f>
        <v>0.7123287671232876</v>
      </c>
      <c r="G13" s="298">
        <f>IF(E13=0,0,$C13/(E13*365))</f>
        <v>0.3561643835616438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622</v>
      </c>
      <c r="C15" s="296">
        <v>0</v>
      </c>
      <c r="D15" s="297">
        <v>0</v>
      </c>
      <c r="E15" s="297">
        <v>0</v>
      </c>
      <c r="F15" s="298">
        <f aca="true" t="shared" si="0" ref="F15:G17">IF(D15=0,0,$C15/(D15*365))</f>
        <v>0</v>
      </c>
      <c r="G15" s="298">
        <f t="shared" si="0"/>
        <v>0</v>
      </c>
      <c r="H15" s="125"/>
      <c r="I15" s="299"/>
    </row>
    <row r="16" spans="1:9" ht="15" customHeight="1">
      <c r="A16" s="294">
        <v>4</v>
      </c>
      <c r="B16" s="295" t="s">
        <v>623</v>
      </c>
      <c r="C16" s="296">
        <v>0</v>
      </c>
      <c r="D16" s="297">
        <v>0</v>
      </c>
      <c r="E16" s="297">
        <v>0</v>
      </c>
      <c r="F16" s="298">
        <f t="shared" si="0"/>
        <v>0</v>
      </c>
      <c r="G16" s="298">
        <f t="shared" si="0"/>
        <v>0</v>
      </c>
      <c r="H16" s="125"/>
      <c r="I16" s="299"/>
    </row>
    <row r="17" spans="1:9" ht="15.75" customHeight="1">
      <c r="A17" s="293"/>
      <c r="B17" s="135" t="s">
        <v>624</v>
      </c>
      <c r="C17" s="300">
        <f>SUM(C15:C16)</f>
        <v>0</v>
      </c>
      <c r="D17" s="300">
        <f>SUM(D15:D16)</f>
        <v>0</v>
      </c>
      <c r="E17" s="300">
        <f>SUM(E15:E16)</f>
        <v>0</v>
      </c>
      <c r="F17" s="301">
        <f t="shared" si="0"/>
        <v>0</v>
      </c>
      <c r="G17" s="301">
        <f t="shared" si="0"/>
        <v>0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625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626</v>
      </c>
      <c r="C21" s="296">
        <v>836</v>
      </c>
      <c r="D21" s="297">
        <v>3</v>
      </c>
      <c r="E21" s="297">
        <v>8</v>
      </c>
      <c r="F21" s="298">
        <f>IF(D21=0,0,$C21/(D21*365))</f>
        <v>0.7634703196347032</v>
      </c>
      <c r="G21" s="298">
        <f>IF(E21=0,0,$C21/(E21*365))</f>
        <v>0.2863013698630137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627</v>
      </c>
      <c r="C23" s="296">
        <v>717</v>
      </c>
      <c r="D23" s="297">
        <v>3</v>
      </c>
      <c r="E23" s="297">
        <v>10</v>
      </c>
      <c r="F23" s="298">
        <f>IF(D23=0,0,$C23/(D23*365))</f>
        <v>0.6547945205479452</v>
      </c>
      <c r="G23" s="298">
        <f>IF(E23=0,0,$C23/(E23*365))</f>
        <v>0.19643835616438357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410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628</v>
      </c>
      <c r="C27" s="296">
        <v>79</v>
      </c>
      <c r="D27" s="297">
        <v>1</v>
      </c>
      <c r="E27" s="297">
        <v>6</v>
      </c>
      <c r="F27" s="298">
        <f>IF(D27=0,0,$C27/(D27*365))</f>
        <v>0.21643835616438356</v>
      </c>
      <c r="G27" s="298">
        <f>IF(E27=0,0,$C27/(E27*365))</f>
        <v>0.036073059360730596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629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630</v>
      </c>
      <c r="C31" s="300">
        <f>SUM(C10:C29)-C17-C23</f>
        <v>9157</v>
      </c>
      <c r="D31" s="300">
        <f>SUM(D10:D29)-D17-D23</f>
        <v>29</v>
      </c>
      <c r="E31" s="300">
        <f>SUM(E10:E29)-E17-E23</f>
        <v>85</v>
      </c>
      <c r="F31" s="301">
        <f>IF(D31=0,0,$C31/(D31*365))</f>
        <v>0.8650921114785073</v>
      </c>
      <c r="G31" s="301">
        <f>IF(E31=0,0,$C31/(E31*365))</f>
        <v>0.2951490733279613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631</v>
      </c>
      <c r="C33" s="300">
        <f>SUM(C10:C29)-C17</f>
        <v>9874</v>
      </c>
      <c r="D33" s="300">
        <f>SUM(D10:D29)-D17</f>
        <v>32</v>
      </c>
      <c r="E33" s="300">
        <f>SUM(E10:E29)-E17</f>
        <v>95</v>
      </c>
      <c r="F33" s="301">
        <f>IF(D33=0,0,$C33/(D33*365))</f>
        <v>0.8453767123287671</v>
      </c>
      <c r="G33" s="301">
        <f>IF(E33=0,0,$C33/(E33*365))</f>
        <v>0.28475847152126893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632</v>
      </c>
      <c r="C36" s="300">
        <f>+C33</f>
        <v>9874</v>
      </c>
      <c r="D36" s="300">
        <f>+D33</f>
        <v>32</v>
      </c>
      <c r="E36" s="300">
        <f>+E33</f>
        <v>95</v>
      </c>
      <c r="F36" s="301">
        <f>+F33</f>
        <v>0.8453767123287671</v>
      </c>
      <c r="G36" s="301">
        <f>+G33</f>
        <v>0.28475847152126893</v>
      </c>
      <c r="H36" s="125"/>
      <c r="I36" s="299"/>
    </row>
    <row r="37" spans="1:9" ht="15.75" customHeight="1">
      <c r="A37" s="293"/>
      <c r="B37" s="135" t="s">
        <v>633</v>
      </c>
      <c r="C37" s="300">
        <v>11785</v>
      </c>
      <c r="D37" s="302">
        <v>37</v>
      </c>
      <c r="E37" s="302">
        <v>95</v>
      </c>
      <c r="F37" s="301">
        <f>IF(D37=0,0,$C37/(D37*365))</f>
        <v>0.872639763050722</v>
      </c>
      <c r="G37" s="301">
        <f>IF(E37=0,0,$C37/(E37*365))</f>
        <v>0.3398702235039654</v>
      </c>
      <c r="H37" s="125"/>
      <c r="I37" s="299"/>
    </row>
    <row r="38" spans="1:9" ht="15.75" customHeight="1">
      <c r="A38" s="293"/>
      <c r="B38" s="135" t="s">
        <v>634</v>
      </c>
      <c r="C38" s="300">
        <f>+C36-C37</f>
        <v>-1911</v>
      </c>
      <c r="D38" s="300">
        <f>+D36-D37</f>
        <v>-5</v>
      </c>
      <c r="E38" s="300">
        <f>+E36-E37</f>
        <v>0</v>
      </c>
      <c r="F38" s="301">
        <f>+F36-F37</f>
        <v>-0.027263050721954896</v>
      </c>
      <c r="G38" s="301">
        <f>+G36-G37</f>
        <v>-0.055111751982696466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635</v>
      </c>
      <c r="C40" s="148">
        <f>IF(C37=0,0,C38/C37)</f>
        <v>-0.1621552821383114</v>
      </c>
      <c r="D40" s="148">
        <f>IF(D37=0,0,D38/D37)</f>
        <v>-0.13513513513513514</v>
      </c>
      <c r="E40" s="148">
        <f>IF(E37=0,0,E38/E37)</f>
        <v>0</v>
      </c>
      <c r="F40" s="148">
        <f>IF(F37=0,0,F38/F37)</f>
        <v>-0.031242044972422642</v>
      </c>
      <c r="G40" s="148">
        <f>IF(G37=0,0,G38/G37)</f>
        <v>-0.1621552821383114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636</v>
      </c>
      <c r="C42" s="295">
        <v>95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637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619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/>
  <headerFooter alignWithMargins="0">
    <oddHeader>&amp;LOFFICE OF HEALTH CARE ACCESS&amp;CTWELVE MONTHS ACTUAL FILING&amp;RNEW MILFORD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638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129</v>
      </c>
      <c r="B11" s="291" t="s">
        <v>639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640</v>
      </c>
      <c r="C12" s="296">
        <v>1717</v>
      </c>
      <c r="D12" s="296">
        <v>1452</v>
      </c>
      <c r="E12" s="296">
        <f>+D12-C12</f>
        <v>-265</v>
      </c>
      <c r="F12" s="316">
        <f>IF(C12=0,0,+E12/C12)</f>
        <v>-0.15433896330809552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641</v>
      </c>
      <c r="C13" s="296">
        <v>4701</v>
      </c>
      <c r="D13" s="296">
        <v>4922</v>
      </c>
      <c r="E13" s="296">
        <f>+D13-C13</f>
        <v>221</v>
      </c>
      <c r="F13" s="316">
        <f>IF(C13=0,0,+E13/C13)</f>
        <v>0.04701127419697937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642</v>
      </c>
      <c r="C14" s="296">
        <v>2290</v>
      </c>
      <c r="D14" s="296">
        <v>2293</v>
      </c>
      <c r="E14" s="296">
        <f>+D14-C14</f>
        <v>3</v>
      </c>
      <c r="F14" s="316">
        <f>IF(C14=0,0,+E14/C14)</f>
        <v>0.0013100436681222707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643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644</v>
      </c>
      <c r="C16" s="300">
        <f>SUM(C12:C15)</f>
        <v>8708</v>
      </c>
      <c r="D16" s="300">
        <f>SUM(D12:D15)</f>
        <v>8667</v>
      </c>
      <c r="E16" s="300">
        <f>+D16-C16</f>
        <v>-41</v>
      </c>
      <c r="F16" s="309">
        <f>IF(C16=0,0,+E16/C16)</f>
        <v>-0.0047083141938447405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141</v>
      </c>
      <c r="B18" s="291" t="s">
        <v>645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640</v>
      </c>
      <c r="C19" s="296">
        <v>164</v>
      </c>
      <c r="D19" s="296">
        <v>178</v>
      </c>
      <c r="E19" s="296">
        <f>+D19-C19</f>
        <v>14</v>
      </c>
      <c r="F19" s="316">
        <f>IF(C19=0,0,+E19/C19)</f>
        <v>0.08536585365853659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641</v>
      </c>
      <c r="C20" s="296">
        <v>2121</v>
      </c>
      <c r="D20" s="296">
        <v>2074</v>
      </c>
      <c r="E20" s="296">
        <f>+D20-C20</f>
        <v>-47</v>
      </c>
      <c r="F20" s="316">
        <f>IF(C20=0,0,+E20/C20)</f>
        <v>-0.02215935879302216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642</v>
      </c>
      <c r="C21" s="296">
        <v>32</v>
      </c>
      <c r="D21" s="296">
        <v>9</v>
      </c>
      <c r="E21" s="296">
        <f>+D21-C21</f>
        <v>-23</v>
      </c>
      <c r="F21" s="316">
        <f>IF(C21=0,0,+E21/C21)</f>
        <v>-0.71875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643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646</v>
      </c>
      <c r="C23" s="300">
        <f>SUM(C19:C22)</f>
        <v>2317</v>
      </c>
      <c r="D23" s="300">
        <f>SUM(D19:D22)</f>
        <v>2261</v>
      </c>
      <c r="E23" s="300">
        <f>+D23-C23</f>
        <v>-56</v>
      </c>
      <c r="F23" s="309">
        <f>IF(C23=0,0,+E23/C23)</f>
        <v>-0.02416918429003021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151</v>
      </c>
      <c r="B25" s="291" t="s">
        <v>647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640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641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642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643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648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436</v>
      </c>
      <c r="B32" s="291" t="s">
        <v>649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640</v>
      </c>
      <c r="C33" s="296">
        <v>1</v>
      </c>
      <c r="D33" s="296">
        <v>0</v>
      </c>
      <c r="E33" s="296">
        <f>+D33-C33</f>
        <v>-1</v>
      </c>
      <c r="F33" s="316">
        <f>IF(C33=0,0,+E33/C33)</f>
        <v>-1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641</v>
      </c>
      <c r="C34" s="296">
        <v>285</v>
      </c>
      <c r="D34" s="296">
        <v>305</v>
      </c>
      <c r="E34" s="296">
        <f>+D34-C34</f>
        <v>20</v>
      </c>
      <c r="F34" s="316">
        <f>IF(C34=0,0,+E34/C34)</f>
        <v>0.07017543859649122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642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643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650</v>
      </c>
      <c r="C37" s="300">
        <f>SUM(C33:C36)</f>
        <v>286</v>
      </c>
      <c r="D37" s="300">
        <f>SUM(D33:D36)</f>
        <v>305</v>
      </c>
      <c r="E37" s="300">
        <f>+D37-C37</f>
        <v>19</v>
      </c>
      <c r="F37" s="309">
        <f>IF(C37=0,0,+E37/C37)</f>
        <v>0.06643356643356643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651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652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457</v>
      </c>
      <c r="B42" s="291" t="s">
        <v>653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654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655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656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469</v>
      </c>
      <c r="B47" s="291" t="s">
        <v>657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654</v>
      </c>
      <c r="C48" s="296">
        <v>68</v>
      </c>
      <c r="D48" s="296">
        <v>35</v>
      </c>
      <c r="E48" s="296">
        <f>+D48-C48</f>
        <v>-33</v>
      </c>
      <c r="F48" s="316">
        <f>IF(C48=0,0,+E48/C48)</f>
        <v>-0.4852941176470588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655</v>
      </c>
      <c r="C49" s="296">
        <v>75</v>
      </c>
      <c r="D49" s="296">
        <v>33</v>
      </c>
      <c r="E49" s="296">
        <f>+D49-C49</f>
        <v>-42</v>
      </c>
      <c r="F49" s="316">
        <f>IF(C49=0,0,+E49/C49)</f>
        <v>-0.56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658</v>
      </c>
      <c r="C50" s="300">
        <f>SUM(C48:C49)</f>
        <v>143</v>
      </c>
      <c r="D50" s="300">
        <f>SUM(D48:D49)</f>
        <v>68</v>
      </c>
      <c r="E50" s="300">
        <f>+D50-C50</f>
        <v>-75</v>
      </c>
      <c r="F50" s="309">
        <f>IF(C50=0,0,+E50/C50)</f>
        <v>-0.5244755244755245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481</v>
      </c>
      <c r="B52" s="291" t="s">
        <v>659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660</v>
      </c>
      <c r="C53" s="296">
        <v>10</v>
      </c>
      <c r="D53" s="296">
        <v>10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661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662</v>
      </c>
      <c r="C55" s="300">
        <f>SUM(C53:C54)</f>
        <v>10</v>
      </c>
      <c r="D55" s="300">
        <f>SUM(D53:D54)</f>
        <v>10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485</v>
      </c>
      <c r="B57" s="291" t="s">
        <v>663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664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665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666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127</v>
      </c>
      <c r="B62" s="291" t="s">
        <v>667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668</v>
      </c>
      <c r="C63" s="296">
        <v>1003</v>
      </c>
      <c r="D63" s="296">
        <v>881</v>
      </c>
      <c r="E63" s="296">
        <f>+D63-C63</f>
        <v>-122</v>
      </c>
      <c r="F63" s="316">
        <f>IF(C63=0,0,+E63/C63)</f>
        <v>-0.12163509471585245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669</v>
      </c>
      <c r="C64" s="296">
        <v>2335</v>
      </c>
      <c r="D64" s="296">
        <v>2461</v>
      </c>
      <c r="E64" s="296">
        <f>+D64-C64</f>
        <v>126</v>
      </c>
      <c r="F64" s="316">
        <f>IF(C64=0,0,+E64/C64)</f>
        <v>0.053961456102783724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670</v>
      </c>
      <c r="C65" s="300">
        <f>SUM(C63:C64)</f>
        <v>3338</v>
      </c>
      <c r="D65" s="300">
        <f>SUM(D63:D64)</f>
        <v>3342</v>
      </c>
      <c r="E65" s="300">
        <f>+D65-C65</f>
        <v>4</v>
      </c>
      <c r="F65" s="309">
        <f>IF(C65=0,0,+E65/C65)</f>
        <v>0.0011983223487118035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511</v>
      </c>
      <c r="B67" s="291" t="s">
        <v>671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672</v>
      </c>
      <c r="C68" s="296">
        <v>95</v>
      </c>
      <c r="D68" s="296">
        <v>121</v>
      </c>
      <c r="E68" s="296">
        <f>+D68-C68</f>
        <v>26</v>
      </c>
      <c r="F68" s="316">
        <f>IF(C68=0,0,+E68/C68)</f>
        <v>0.2736842105263158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673</v>
      </c>
      <c r="C69" s="296">
        <v>2345</v>
      </c>
      <c r="D69" s="296">
        <v>2364</v>
      </c>
      <c r="E69" s="296">
        <f>+D69-C69</f>
        <v>19</v>
      </c>
      <c r="F69" s="318">
        <f>IF(C69=0,0,+E69/C69)</f>
        <v>0.00810234541577825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674</v>
      </c>
      <c r="C70" s="300">
        <f>SUM(C68:C69)</f>
        <v>2440</v>
      </c>
      <c r="D70" s="300">
        <f>SUM(D68:D69)</f>
        <v>2485</v>
      </c>
      <c r="E70" s="300">
        <f>+D70-C70</f>
        <v>45</v>
      </c>
      <c r="F70" s="309">
        <f>IF(C70=0,0,+E70/C70)</f>
        <v>0.018442622950819672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527</v>
      </c>
      <c r="B72" s="291" t="s">
        <v>675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676</v>
      </c>
      <c r="C73" s="319">
        <v>1794</v>
      </c>
      <c r="D73" s="319">
        <v>1957</v>
      </c>
      <c r="E73" s="296">
        <f>+D73-C73</f>
        <v>163</v>
      </c>
      <c r="F73" s="316">
        <f>IF(C73=0,0,+E73/C73)</f>
        <v>0.09085841694537347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677</v>
      </c>
      <c r="C74" s="319">
        <v>17759</v>
      </c>
      <c r="D74" s="319">
        <v>17189</v>
      </c>
      <c r="E74" s="296">
        <f>+D74-C74</f>
        <v>-570</v>
      </c>
      <c r="F74" s="316">
        <f>IF(C74=0,0,+E74/C74)</f>
        <v>-0.03209640182442705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543</v>
      </c>
      <c r="C75" s="300">
        <f>SUM(C73:C74)</f>
        <v>19553</v>
      </c>
      <c r="D75" s="300">
        <f>SUM(D73:D74)</f>
        <v>19146</v>
      </c>
      <c r="E75" s="300">
        <f>SUM(E73:E74)</f>
        <v>-407</v>
      </c>
      <c r="F75" s="309">
        <f>IF(C75=0,0,+E75/C75)</f>
        <v>-0.02081522017081778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536</v>
      </c>
      <c r="B78" s="291" t="s">
        <v>678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679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680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681</v>
      </c>
      <c r="C81" s="319">
        <v>5686</v>
      </c>
      <c r="D81" s="319">
        <v>7012</v>
      </c>
      <c r="E81" s="296">
        <f t="shared" si="0"/>
        <v>1326</v>
      </c>
      <c r="F81" s="316">
        <f t="shared" si="1"/>
        <v>0.23320436158986985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682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683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684</v>
      </c>
      <c r="C84" s="320">
        <f>SUM(C79:C83)</f>
        <v>5686</v>
      </c>
      <c r="D84" s="320">
        <f>SUM(D79:D83)</f>
        <v>7012</v>
      </c>
      <c r="E84" s="300">
        <f t="shared" si="0"/>
        <v>1326</v>
      </c>
      <c r="F84" s="309">
        <f t="shared" si="1"/>
        <v>0.23320436158986985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539</v>
      </c>
      <c r="B86" s="291" t="s">
        <v>685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686</v>
      </c>
      <c r="C87" s="322">
        <v>723</v>
      </c>
      <c r="D87" s="322">
        <v>767</v>
      </c>
      <c r="E87" s="323">
        <f aca="true" t="shared" si="2" ref="E87:E92">+D87-C87</f>
        <v>44</v>
      </c>
      <c r="F87" s="318">
        <f aca="true" t="shared" si="3" ref="F87:F92">IF(C87=0,0,+E87/C87)</f>
        <v>0.06085753803596127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378</v>
      </c>
      <c r="C88" s="322">
        <v>830</v>
      </c>
      <c r="D88" s="322">
        <v>723</v>
      </c>
      <c r="E88" s="296">
        <f t="shared" si="2"/>
        <v>-107</v>
      </c>
      <c r="F88" s="316">
        <f t="shared" si="3"/>
        <v>-0.12891566265060242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687</v>
      </c>
      <c r="C89" s="322">
        <v>1685</v>
      </c>
      <c r="D89" s="322">
        <v>1600</v>
      </c>
      <c r="E89" s="296">
        <f t="shared" si="2"/>
        <v>-85</v>
      </c>
      <c r="F89" s="316">
        <f t="shared" si="3"/>
        <v>-0.050445103857566766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688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689</v>
      </c>
      <c r="C91" s="322">
        <v>77633</v>
      </c>
      <c r="D91" s="322">
        <v>82539</v>
      </c>
      <c r="E91" s="296">
        <f t="shared" si="2"/>
        <v>4906</v>
      </c>
      <c r="F91" s="316">
        <f t="shared" si="3"/>
        <v>0.06319477541767032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690</v>
      </c>
      <c r="C92" s="320">
        <f>SUM(C87:C91)</f>
        <v>80871</v>
      </c>
      <c r="D92" s="320">
        <f>SUM(D87:D91)</f>
        <v>85629</v>
      </c>
      <c r="E92" s="300">
        <f t="shared" si="2"/>
        <v>4758</v>
      </c>
      <c r="F92" s="309">
        <f t="shared" si="3"/>
        <v>0.058834440034128424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691</v>
      </c>
      <c r="B95" s="291" t="s">
        <v>692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693</v>
      </c>
      <c r="C96" s="325">
        <v>160.9</v>
      </c>
      <c r="D96" s="325">
        <v>154.5</v>
      </c>
      <c r="E96" s="326">
        <f>+D96-C96</f>
        <v>-6.400000000000006</v>
      </c>
      <c r="F96" s="316">
        <f>IF(C96=0,0,+E96/C96)</f>
        <v>-0.03977625854568058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694</v>
      </c>
      <c r="C97" s="325">
        <v>20.7</v>
      </c>
      <c r="D97" s="325">
        <v>24.4</v>
      </c>
      <c r="E97" s="326">
        <f>+D97-C97</f>
        <v>3.6999999999999993</v>
      </c>
      <c r="F97" s="316">
        <f>IF(C97=0,0,+E97/C97)</f>
        <v>0.17874396135265697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695</v>
      </c>
      <c r="C98" s="325">
        <v>306.5</v>
      </c>
      <c r="D98" s="325">
        <v>309.9</v>
      </c>
      <c r="E98" s="326">
        <f>+D98-C98</f>
        <v>3.3999999999999773</v>
      </c>
      <c r="F98" s="316">
        <f>IF(C98=0,0,+E98/C98)</f>
        <v>0.011092985318107594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696</v>
      </c>
      <c r="C99" s="327">
        <f>SUM(C96:C98)</f>
        <v>488.1</v>
      </c>
      <c r="D99" s="327">
        <f>SUM(D96:D98)</f>
        <v>488.79999999999995</v>
      </c>
      <c r="E99" s="327">
        <f>+D99-C99</f>
        <v>0.6999999999999318</v>
      </c>
      <c r="F99" s="309">
        <f>IF(C99=0,0,+E99/C99)</f>
        <v>0.0014341323499281536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 r:id="rId1"/>
  <headerFooter alignWithMargins="0">
    <oddHeader>&amp;LOFFICE OF HEALTH CARE ACCESS&amp;CTWELVE MONTHS ACTUAL FILING&amp;RNEW MILFORD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SheetLayoutView="90" zoomScalePageLayoutView="0" workbookViewId="0" topLeftCell="A4">
      <selection activeCell="B29" sqref="B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697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225</v>
      </c>
      <c r="B11" s="291" t="s">
        <v>669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698</v>
      </c>
      <c r="C12" s="296">
        <v>2335</v>
      </c>
      <c r="D12" s="296">
        <v>2461</v>
      </c>
      <c r="E12" s="296">
        <f>+D12-C12</f>
        <v>126</v>
      </c>
      <c r="F12" s="316">
        <f>IF(C12=0,0,+E12/C12)</f>
        <v>0.053961456102783724</v>
      </c>
    </row>
    <row r="13" spans="1:6" ht="15.75" customHeight="1">
      <c r="A13" s="294"/>
      <c r="B13" s="135" t="s">
        <v>699</v>
      </c>
      <c r="C13" s="300">
        <f>SUM(C11:C12)</f>
        <v>2335</v>
      </c>
      <c r="D13" s="300">
        <f>SUM(D11:D12)</f>
        <v>2461</v>
      </c>
      <c r="E13" s="300">
        <f>+D13-C13</f>
        <v>126</v>
      </c>
      <c r="F13" s="309">
        <f>IF(C13=0,0,+E13/C13)</f>
        <v>0.053961456102783724</v>
      </c>
    </row>
    <row r="14" spans="1:6" ht="15.75" customHeight="1">
      <c r="A14" s="293"/>
      <c r="B14" s="135"/>
      <c r="C14" s="300"/>
      <c r="D14" s="300"/>
      <c r="E14" s="300"/>
      <c r="F14" s="309"/>
    </row>
    <row r="15" spans="1:6" ht="15.75" customHeight="1">
      <c r="A15" s="293" t="s">
        <v>239</v>
      </c>
      <c r="B15" s="291" t="s">
        <v>673</v>
      </c>
      <c r="C15" s="296"/>
      <c r="D15" s="296"/>
      <c r="E15" s="296"/>
      <c r="F15" s="316"/>
    </row>
    <row r="16" spans="1:6" ht="15.75" customHeight="1">
      <c r="A16" s="294">
        <v>1</v>
      </c>
      <c r="B16" s="295" t="s">
        <v>698</v>
      </c>
      <c r="C16" s="296">
        <v>2345</v>
      </c>
      <c r="D16" s="296">
        <v>2364</v>
      </c>
      <c r="E16" s="296">
        <f>+D16-C16</f>
        <v>19</v>
      </c>
      <c r="F16" s="316">
        <f>IF(C16=0,0,+E16/C16)</f>
        <v>0.00810234541577825</v>
      </c>
    </row>
    <row r="17" spans="1:6" ht="15.75" customHeight="1">
      <c r="A17" s="294"/>
      <c r="B17" s="135" t="s">
        <v>700</v>
      </c>
      <c r="C17" s="300">
        <f>SUM(C15:C16)</f>
        <v>2345</v>
      </c>
      <c r="D17" s="300">
        <f>SUM(D15:D16)</f>
        <v>2364</v>
      </c>
      <c r="E17" s="300">
        <f>+D17-C17</f>
        <v>19</v>
      </c>
      <c r="F17" s="309">
        <f>IF(C17=0,0,+E17/C17)</f>
        <v>0.00810234541577825</v>
      </c>
    </row>
    <row r="18" spans="1:6" ht="15.75" customHeight="1">
      <c r="A18" s="293"/>
      <c r="B18" s="135"/>
      <c r="C18" s="300"/>
      <c r="D18" s="300"/>
      <c r="E18" s="300"/>
      <c r="F18" s="309"/>
    </row>
    <row r="19" spans="1:6" ht="15.75" customHeight="1">
      <c r="A19" s="293" t="s">
        <v>256</v>
      </c>
      <c r="B19" s="291" t="s">
        <v>701</v>
      </c>
      <c r="C19" s="296"/>
      <c r="D19" s="296"/>
      <c r="E19" s="296"/>
      <c r="F19" s="316"/>
    </row>
    <row r="20" spans="1:6" ht="15.75" customHeight="1">
      <c r="A20" s="294">
        <v>1</v>
      </c>
      <c r="B20" s="295" t="s">
        <v>698</v>
      </c>
      <c r="C20" s="296">
        <v>17759</v>
      </c>
      <c r="D20" s="296">
        <v>17189</v>
      </c>
      <c r="E20" s="296">
        <f>+D20-C20</f>
        <v>-570</v>
      </c>
      <c r="F20" s="316">
        <f>IF(C20=0,0,+E20/C20)</f>
        <v>-0.03209640182442705</v>
      </c>
    </row>
    <row r="21" spans="1:6" ht="15.75" customHeight="1">
      <c r="A21" s="294"/>
      <c r="B21" s="135" t="s">
        <v>702</v>
      </c>
      <c r="C21" s="300">
        <f>SUM(C19:C20)</f>
        <v>17759</v>
      </c>
      <c r="D21" s="300">
        <f>SUM(D19:D20)</f>
        <v>17189</v>
      </c>
      <c r="E21" s="300">
        <f>+D21-C21</f>
        <v>-570</v>
      </c>
      <c r="F21" s="309">
        <f>IF(C21=0,0,+E21/C21)</f>
        <v>-0.03209640182442705</v>
      </c>
    </row>
    <row r="22" spans="1:6" ht="15.75" customHeight="1">
      <c r="A22" s="293"/>
      <c r="B22" s="135"/>
      <c r="C22" s="300"/>
      <c r="D22" s="300"/>
      <c r="E22" s="300"/>
      <c r="F22" s="309"/>
    </row>
    <row r="23" spans="2:6" ht="15.75" customHeight="1">
      <c r="B23" s="699" t="s">
        <v>703</v>
      </c>
      <c r="C23" s="700"/>
      <c r="D23" s="700"/>
      <c r="E23" s="700"/>
      <c r="F23" s="701"/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704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705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</sheetData>
  <sheetProtection/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FILING&amp;RNEW MILFORD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305">
      <selection activeCell="B329" sqref="B329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115</v>
      </c>
      <c r="B1" s="705"/>
      <c r="C1" s="705"/>
      <c r="D1" s="705"/>
      <c r="E1" s="705"/>
      <c r="F1" s="705"/>
    </row>
    <row r="2" spans="1:6" ht="15.75" customHeight="1">
      <c r="A2" s="706" t="s">
        <v>706</v>
      </c>
      <c r="B2" s="707"/>
      <c r="C2" s="707"/>
      <c r="D2" s="707"/>
      <c r="E2" s="707"/>
      <c r="F2" s="708"/>
    </row>
    <row r="3" spans="1:6" ht="15.75" customHeight="1">
      <c r="A3" s="706" t="s">
        <v>707</v>
      </c>
      <c r="B3" s="707"/>
      <c r="C3" s="707"/>
      <c r="D3" s="707"/>
      <c r="E3" s="707"/>
      <c r="F3" s="708"/>
    </row>
    <row r="4" spans="1:6" ht="15.75" customHeight="1">
      <c r="A4" s="702" t="s">
        <v>708</v>
      </c>
      <c r="B4" s="703"/>
      <c r="C4" s="703"/>
      <c r="D4" s="703"/>
      <c r="E4" s="703"/>
      <c r="F4" s="704"/>
    </row>
    <row r="5" spans="1:6" ht="15.75" customHeight="1">
      <c r="A5" s="702" t="s">
        <v>709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710</v>
      </c>
      <c r="D7" s="341" t="s">
        <v>710</v>
      </c>
      <c r="E7" s="341" t="s">
        <v>711</v>
      </c>
      <c r="F7" s="341" t="s">
        <v>122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123</v>
      </c>
      <c r="B8" s="343" t="s">
        <v>124</v>
      </c>
      <c r="C8" s="344" t="s">
        <v>712</v>
      </c>
      <c r="D8" s="344" t="s">
        <v>713</v>
      </c>
      <c r="E8" s="344" t="s">
        <v>126</v>
      </c>
      <c r="F8" s="344" t="s">
        <v>126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127</v>
      </c>
      <c r="B10" s="349" t="s">
        <v>714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129</v>
      </c>
      <c r="B12" s="356" t="s">
        <v>715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716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717</v>
      </c>
      <c r="C15" s="361">
        <v>40621318</v>
      </c>
      <c r="D15" s="361">
        <v>40456850</v>
      </c>
      <c r="E15" s="361">
        <f aca="true" t="shared" si="0" ref="E15:E24">D15-C15</f>
        <v>-164468</v>
      </c>
      <c r="F15" s="362">
        <f aca="true" t="shared" si="1" ref="F15:F24">IF(C15=0,0,E15/C15)</f>
        <v>-0.0040488100361489995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718</v>
      </c>
      <c r="C16" s="361">
        <v>14281920</v>
      </c>
      <c r="D16" s="361">
        <v>13356718</v>
      </c>
      <c r="E16" s="361">
        <f t="shared" si="0"/>
        <v>-925202</v>
      </c>
      <c r="F16" s="362">
        <f t="shared" si="1"/>
        <v>-0.06478134592547781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719</v>
      </c>
      <c r="C17" s="366">
        <f>IF(C15=0,0,C16/C15)</f>
        <v>0.3515868195118632</v>
      </c>
      <c r="D17" s="366">
        <f>IF(LN_IA1=0,0,LN_IA2/LN_IA1)</f>
        <v>0.33014725565633507</v>
      </c>
      <c r="E17" s="367">
        <f t="shared" si="0"/>
        <v>-0.021439563855528143</v>
      </c>
      <c r="F17" s="362">
        <f t="shared" si="1"/>
        <v>-0.0609794300175827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252</v>
      </c>
      <c r="C18" s="369">
        <v>1290</v>
      </c>
      <c r="D18" s="369">
        <v>1248</v>
      </c>
      <c r="E18" s="369">
        <f t="shared" si="0"/>
        <v>-42</v>
      </c>
      <c r="F18" s="362">
        <f t="shared" si="1"/>
        <v>-0.03255813953488372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720</v>
      </c>
      <c r="C19" s="372">
        <v>1.5251</v>
      </c>
      <c r="D19" s="372">
        <v>1.5634</v>
      </c>
      <c r="E19" s="373">
        <f t="shared" si="0"/>
        <v>0.0383</v>
      </c>
      <c r="F19" s="362">
        <f t="shared" si="1"/>
        <v>0.02511310733722379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721</v>
      </c>
      <c r="C20" s="376">
        <f>C18*C19</f>
        <v>1967.379</v>
      </c>
      <c r="D20" s="376">
        <f>LN_IA4*LN_IA5</f>
        <v>1951.1231999999998</v>
      </c>
      <c r="E20" s="376">
        <f t="shared" si="0"/>
        <v>-16.255800000000136</v>
      </c>
      <c r="F20" s="362">
        <f t="shared" si="1"/>
        <v>-0.008262668250499846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722</v>
      </c>
      <c r="C21" s="378">
        <f>IF(C20=0,0,C16/C20)</f>
        <v>7259.363854143</v>
      </c>
      <c r="D21" s="378">
        <f>IF(LN_IA6=0,0,LN_IA2/LN_IA6)</f>
        <v>6845.655876574068</v>
      </c>
      <c r="E21" s="378">
        <f t="shared" si="0"/>
        <v>-413.7079775689317</v>
      </c>
      <c r="F21" s="362">
        <f t="shared" si="1"/>
        <v>-0.056989563532185254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254</v>
      </c>
      <c r="C22" s="369">
        <v>6267</v>
      </c>
      <c r="D22" s="369">
        <v>5370</v>
      </c>
      <c r="E22" s="369">
        <f t="shared" si="0"/>
        <v>-897</v>
      </c>
      <c r="F22" s="362">
        <f t="shared" si="1"/>
        <v>-0.1431306845380565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723</v>
      </c>
      <c r="C23" s="378">
        <f>IF(C22=0,0,C16/C22)</f>
        <v>2278.9085686931544</v>
      </c>
      <c r="D23" s="378">
        <f>IF(LN_IA8=0,0,LN_IA2/LN_IA8)</f>
        <v>2487.284543761639</v>
      </c>
      <c r="E23" s="378">
        <f t="shared" si="0"/>
        <v>208.37597506848442</v>
      </c>
      <c r="F23" s="362">
        <f t="shared" si="1"/>
        <v>0.09143674210149559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724</v>
      </c>
      <c r="C24" s="379">
        <f>IF(C18=0,0,C22/C18)</f>
        <v>4.858139534883721</v>
      </c>
      <c r="D24" s="379">
        <f>IF(LN_IA4=0,0,LN_IA8/LN_IA4)</f>
        <v>4.302884615384615</v>
      </c>
      <c r="E24" s="379">
        <f t="shared" si="0"/>
        <v>-0.5552549194991059</v>
      </c>
      <c r="F24" s="362">
        <f t="shared" si="1"/>
        <v>-0.11429373642154884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725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726</v>
      </c>
      <c r="C27" s="361">
        <v>56413656</v>
      </c>
      <c r="D27" s="361">
        <v>63948287</v>
      </c>
      <c r="E27" s="361">
        <f aca="true" t="shared" si="2" ref="E27:E32">D27-C27</f>
        <v>7534631</v>
      </c>
      <c r="F27" s="362">
        <f aca="true" t="shared" si="3" ref="F27:F32">IF(C27=0,0,E27/C27)</f>
        <v>0.13356040955757237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727</v>
      </c>
      <c r="C28" s="361">
        <v>14177872</v>
      </c>
      <c r="D28" s="361">
        <v>13673687</v>
      </c>
      <c r="E28" s="361">
        <f t="shared" si="2"/>
        <v>-504185</v>
      </c>
      <c r="F28" s="362">
        <f t="shared" si="3"/>
        <v>-0.035561401598208815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728</v>
      </c>
      <c r="C29" s="366">
        <f>IF(C27=0,0,C28/C27)</f>
        <v>0.2513198577309012</v>
      </c>
      <c r="D29" s="366">
        <f>IF(LN_IA11=0,0,LN_IA12/LN_IA11)</f>
        <v>0.21382413261515512</v>
      </c>
      <c r="E29" s="367">
        <f t="shared" si="2"/>
        <v>-0.03749572511574609</v>
      </c>
      <c r="F29" s="362">
        <f t="shared" si="3"/>
        <v>-0.14919523452816189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729</v>
      </c>
      <c r="C30" s="366">
        <f>IF(C15=0,0,C27/C15)</f>
        <v>1.3887697095401976</v>
      </c>
      <c r="D30" s="366">
        <f>IF(LN_IA1=0,0,LN_IA11/LN_IA1)</f>
        <v>1.5806541290288294</v>
      </c>
      <c r="E30" s="367">
        <f t="shared" si="2"/>
        <v>0.19188441948863177</v>
      </c>
      <c r="F30" s="362">
        <f t="shared" si="3"/>
        <v>0.13816863816259503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730</v>
      </c>
      <c r="C31" s="376">
        <f>C30*C18</f>
        <v>1791.5129253068549</v>
      </c>
      <c r="D31" s="376">
        <f>LN_IA14*LN_IA4</f>
        <v>1972.656353027979</v>
      </c>
      <c r="E31" s="376">
        <f t="shared" si="2"/>
        <v>181.14342772112423</v>
      </c>
      <c r="F31" s="362">
        <f t="shared" si="3"/>
        <v>0.10111198482706873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731</v>
      </c>
      <c r="C32" s="378">
        <f>IF(C31=0,0,C28/C31)</f>
        <v>7913.9099694586785</v>
      </c>
      <c r="D32" s="378">
        <f>IF(LN_IA15=0,0,LN_IA12/LN_IA15)</f>
        <v>6931.611265698269</v>
      </c>
      <c r="E32" s="378">
        <f t="shared" si="2"/>
        <v>-982.2987037604098</v>
      </c>
      <c r="F32" s="362">
        <f t="shared" si="3"/>
        <v>-0.12412305769857024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732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733</v>
      </c>
      <c r="C35" s="361">
        <f>C15+C27</f>
        <v>97034974</v>
      </c>
      <c r="D35" s="361">
        <f>LN_IA1+LN_IA11</f>
        <v>104405137</v>
      </c>
      <c r="E35" s="361">
        <f>D35-C35</f>
        <v>7370163</v>
      </c>
      <c r="F35" s="362">
        <f>IF(C35=0,0,E35/C35)</f>
        <v>0.07595367624873069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734</v>
      </c>
      <c r="C36" s="361">
        <f>C16+C28</f>
        <v>28459792</v>
      </c>
      <c r="D36" s="361">
        <f>LN_IA2+LN_IA12</f>
        <v>27030405</v>
      </c>
      <c r="E36" s="361">
        <f>D36-C36</f>
        <v>-1429387</v>
      </c>
      <c r="F36" s="362">
        <f>IF(C36=0,0,E36/C36)</f>
        <v>-0.050224787306948696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735</v>
      </c>
      <c r="C37" s="361">
        <f>C35-C36</f>
        <v>68575182</v>
      </c>
      <c r="D37" s="361">
        <f>LN_IA17-LN_IA18</f>
        <v>77374732</v>
      </c>
      <c r="E37" s="361">
        <f>D37-C37</f>
        <v>8799550</v>
      </c>
      <c r="F37" s="362">
        <f>IF(C37=0,0,E37/C37)</f>
        <v>0.1283197469311857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141</v>
      </c>
      <c r="B39" s="356" t="s">
        <v>736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737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717</v>
      </c>
      <c r="C42" s="361">
        <v>31498384</v>
      </c>
      <c r="D42" s="361">
        <v>29547592</v>
      </c>
      <c r="E42" s="361">
        <f aca="true" t="shared" si="4" ref="E42:E53">D42-C42</f>
        <v>-1950792</v>
      </c>
      <c r="F42" s="362">
        <f aca="true" t="shared" si="5" ref="F42:F53">IF(C42=0,0,E42/C42)</f>
        <v>-0.061933082027319245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718</v>
      </c>
      <c r="C43" s="361">
        <v>13164078</v>
      </c>
      <c r="D43" s="361">
        <v>11969482</v>
      </c>
      <c r="E43" s="361">
        <f t="shared" si="4"/>
        <v>-1194596</v>
      </c>
      <c r="F43" s="362">
        <f t="shared" si="5"/>
        <v>-0.09074665160750339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719</v>
      </c>
      <c r="C44" s="366">
        <f>IF(C42=0,0,C43/C42)</f>
        <v>0.417928678499824</v>
      </c>
      <c r="D44" s="366">
        <f>IF(LN_IB1=0,0,LN_IB2/LN_IB1)</f>
        <v>0.40509162303310536</v>
      </c>
      <c r="E44" s="367">
        <f t="shared" si="4"/>
        <v>-0.01283705546671865</v>
      </c>
      <c r="F44" s="362">
        <f t="shared" si="5"/>
        <v>-0.030715899930097896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252</v>
      </c>
      <c r="C45" s="369">
        <v>1513</v>
      </c>
      <c r="D45" s="369">
        <v>1285</v>
      </c>
      <c r="E45" s="369">
        <f t="shared" si="4"/>
        <v>-228</v>
      </c>
      <c r="F45" s="362">
        <f t="shared" si="5"/>
        <v>-0.15069398545935228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720</v>
      </c>
      <c r="C46" s="372">
        <v>1.1242</v>
      </c>
      <c r="D46" s="372">
        <v>1.1383</v>
      </c>
      <c r="E46" s="373">
        <f t="shared" si="4"/>
        <v>0.014100000000000001</v>
      </c>
      <c r="F46" s="362">
        <f t="shared" si="5"/>
        <v>0.012542252268279666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721</v>
      </c>
      <c r="C47" s="376">
        <f>C45*C46</f>
        <v>1700.9146</v>
      </c>
      <c r="D47" s="376">
        <f>LN_IB4*LN_IB5</f>
        <v>1462.7155</v>
      </c>
      <c r="E47" s="376">
        <f t="shared" si="4"/>
        <v>-238.19910000000004</v>
      </c>
      <c r="F47" s="362">
        <f t="shared" si="5"/>
        <v>-0.1400417751720163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722</v>
      </c>
      <c r="C48" s="378">
        <f>IF(C47=0,0,C43/C47)</f>
        <v>7739.411490735631</v>
      </c>
      <c r="D48" s="378">
        <f>IF(LN_IB6=0,0,LN_IB2/LN_IB6)</f>
        <v>8183.055419868047</v>
      </c>
      <c r="E48" s="378">
        <f t="shared" si="4"/>
        <v>443.6439291324159</v>
      </c>
      <c r="F48" s="362">
        <f t="shared" si="5"/>
        <v>0.057322695616259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738</v>
      </c>
      <c r="C49" s="378">
        <f>C21-C48</f>
        <v>-480.0476365926306</v>
      </c>
      <c r="D49" s="378">
        <f>LN_IA7-LN_IB7</f>
        <v>-1337.3995432939782</v>
      </c>
      <c r="E49" s="378">
        <f t="shared" si="4"/>
        <v>-857.3519067013476</v>
      </c>
      <c r="F49" s="362">
        <f t="shared" si="5"/>
        <v>1.7859725605292338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739</v>
      </c>
      <c r="C50" s="391">
        <f>C49*C47</f>
        <v>-816520.0337758997</v>
      </c>
      <c r="D50" s="391">
        <f>LN_IB8*LN_IB6</f>
        <v>-1956235.041669023</v>
      </c>
      <c r="E50" s="391">
        <f t="shared" si="4"/>
        <v>-1139715.0078931232</v>
      </c>
      <c r="F50" s="362">
        <f t="shared" si="5"/>
        <v>1.3958200175721922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254</v>
      </c>
      <c r="C51" s="369">
        <v>4657</v>
      </c>
      <c r="D51" s="369">
        <v>3858</v>
      </c>
      <c r="E51" s="369">
        <f t="shared" si="4"/>
        <v>-799</v>
      </c>
      <c r="F51" s="362">
        <f t="shared" si="5"/>
        <v>-0.17156968005153533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723</v>
      </c>
      <c r="C52" s="378">
        <f>IF(C51=0,0,C43/C51)</f>
        <v>2826.7292248228473</v>
      </c>
      <c r="D52" s="378">
        <f>IF(LN_IB10=0,0,LN_IB2/LN_IB10)</f>
        <v>3102.509590461379</v>
      </c>
      <c r="E52" s="378">
        <f t="shared" si="4"/>
        <v>275.78036563853175</v>
      </c>
      <c r="F52" s="362">
        <f t="shared" si="5"/>
        <v>0.09756164942038799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724</v>
      </c>
      <c r="C53" s="379">
        <f>IF(C45=0,0,C51/C45)</f>
        <v>3.077990746860542</v>
      </c>
      <c r="D53" s="379">
        <f>IF(LN_IB4=0,0,LN_IB10/LN_IB4)</f>
        <v>3.0023346303501945</v>
      </c>
      <c r="E53" s="379">
        <f t="shared" si="4"/>
        <v>-0.07565611651034754</v>
      </c>
      <c r="F53" s="362">
        <f t="shared" si="5"/>
        <v>-0.024579708885582096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740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726</v>
      </c>
      <c r="C56" s="361">
        <v>76089652</v>
      </c>
      <c r="D56" s="361">
        <v>85651437</v>
      </c>
      <c r="E56" s="361">
        <f aca="true" t="shared" si="6" ref="E56:E63">D56-C56</f>
        <v>9561785</v>
      </c>
      <c r="F56" s="362">
        <f aca="true" t="shared" si="7" ref="F56:F63">IF(C56=0,0,E56/C56)</f>
        <v>0.12566472245135252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727</v>
      </c>
      <c r="C57" s="361">
        <v>40383198</v>
      </c>
      <c r="D57" s="361">
        <v>43892276</v>
      </c>
      <c r="E57" s="361">
        <f t="shared" si="6"/>
        <v>3509078</v>
      </c>
      <c r="F57" s="362">
        <f t="shared" si="7"/>
        <v>0.08689450498695027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728</v>
      </c>
      <c r="C58" s="366">
        <f>IF(C56=0,0,C57/C56)</f>
        <v>0.5307318004293147</v>
      </c>
      <c r="D58" s="366">
        <f>IF(LN_IB13=0,0,LN_IB14/LN_IB13)</f>
        <v>0.5124523012964745</v>
      </c>
      <c r="E58" s="367">
        <f t="shared" si="6"/>
        <v>-0.018279499132840216</v>
      </c>
      <c r="F58" s="362">
        <f t="shared" si="7"/>
        <v>-0.0344420649338399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729</v>
      </c>
      <c r="C59" s="366">
        <f>IF(C42=0,0,C56/C42)</f>
        <v>2.4156684355616465</v>
      </c>
      <c r="D59" s="366">
        <f>IF(LN_IB1=0,0,LN_IB13/LN_IB1)</f>
        <v>2.8987620040238813</v>
      </c>
      <c r="E59" s="367">
        <f t="shared" si="6"/>
        <v>0.48309356846223483</v>
      </c>
      <c r="F59" s="362">
        <f t="shared" si="7"/>
        <v>0.1999833923192836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730</v>
      </c>
      <c r="C60" s="376">
        <f>C59*C45</f>
        <v>3654.906343004771</v>
      </c>
      <c r="D60" s="376">
        <f>LN_IB16*LN_IB4</f>
        <v>3724.9091751706874</v>
      </c>
      <c r="E60" s="376">
        <f t="shared" si="6"/>
        <v>70.00283216591652</v>
      </c>
      <c r="F60" s="362">
        <f t="shared" si="7"/>
        <v>0.01915311244565731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731</v>
      </c>
      <c r="C61" s="378">
        <f>IF(C60=0,0,C57/C60)</f>
        <v>11049.037707160554</v>
      </c>
      <c r="D61" s="378">
        <f>IF(LN_IB17=0,0,LN_IB14/LN_IB17)</f>
        <v>11783.448652271827</v>
      </c>
      <c r="E61" s="378">
        <f t="shared" si="6"/>
        <v>734.4109451112727</v>
      </c>
      <c r="F61" s="362">
        <f t="shared" si="7"/>
        <v>0.06646831738435671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741</v>
      </c>
      <c r="C62" s="378">
        <f>C32-C61</f>
        <v>-3135.127737701876</v>
      </c>
      <c r="D62" s="378">
        <f>LN_IA16-LN_IB18</f>
        <v>-4851.837386573558</v>
      </c>
      <c r="E62" s="378">
        <f t="shared" si="6"/>
        <v>-1716.7096488716825</v>
      </c>
      <c r="F62" s="362">
        <f t="shared" si="7"/>
        <v>0.5475724731171789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742</v>
      </c>
      <c r="C63" s="361">
        <f>C62*C60</f>
        <v>-11458598.254656784</v>
      </c>
      <c r="D63" s="361">
        <f>LN_IB19*LN_IB17</f>
        <v>-18072653.59768402</v>
      </c>
      <c r="E63" s="361">
        <f t="shared" si="6"/>
        <v>-6614055.343027234</v>
      </c>
      <c r="F63" s="362">
        <f t="shared" si="7"/>
        <v>0.5772133027125963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743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733</v>
      </c>
      <c r="C66" s="361">
        <f>C42+C56</f>
        <v>107588036</v>
      </c>
      <c r="D66" s="361">
        <f>LN_IB1+LN_IB13</f>
        <v>115199029</v>
      </c>
      <c r="E66" s="361">
        <f>D66-C66</f>
        <v>7610993</v>
      </c>
      <c r="F66" s="362">
        <f>IF(C66=0,0,E66/C66)</f>
        <v>0.07074200146194694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734</v>
      </c>
      <c r="C67" s="361">
        <f>C43+C57</f>
        <v>53547276</v>
      </c>
      <c r="D67" s="361">
        <f>LN_IB2+LN_IB14</f>
        <v>55861758</v>
      </c>
      <c r="E67" s="361">
        <f>D67-C67</f>
        <v>2314482</v>
      </c>
      <c r="F67" s="362">
        <f>IF(C67=0,0,E67/C67)</f>
        <v>0.043223151071214154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735</v>
      </c>
      <c r="C68" s="361">
        <f>C66-C67</f>
        <v>54040760</v>
      </c>
      <c r="D68" s="361">
        <f>LN_IB21-LN_IB22</f>
        <v>59337271</v>
      </c>
      <c r="E68" s="361">
        <f>D68-C68</f>
        <v>5296511</v>
      </c>
      <c r="F68" s="362">
        <f>IF(C68=0,0,E68/C68)</f>
        <v>0.0980095579706873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744</v>
      </c>
      <c r="C70" s="353">
        <f>C50+C63</f>
        <v>-12275118.288432684</v>
      </c>
      <c r="D70" s="353">
        <f>LN_IB9+LN_IB20</f>
        <v>-20028888.63935304</v>
      </c>
      <c r="E70" s="361">
        <f>D70-C70</f>
        <v>-7753770.350920357</v>
      </c>
      <c r="F70" s="362">
        <f>IF(C70=0,0,E70/C70)</f>
        <v>0.6316656319497168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745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746</v>
      </c>
      <c r="C73" s="400">
        <v>102378537</v>
      </c>
      <c r="D73" s="400">
        <v>110596764</v>
      </c>
      <c r="E73" s="400">
        <f>D73-C73</f>
        <v>8218227</v>
      </c>
      <c r="F73" s="401">
        <f>IF(C73=0,0,E73/C73)</f>
        <v>0.08027294822546643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747</v>
      </c>
      <c r="C74" s="400">
        <v>55727275</v>
      </c>
      <c r="D74" s="400">
        <v>56961715</v>
      </c>
      <c r="E74" s="400">
        <f>D74-C74</f>
        <v>1234440</v>
      </c>
      <c r="F74" s="401">
        <f>IF(C74=0,0,E74/C74)</f>
        <v>0.022151450972616192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748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749</v>
      </c>
      <c r="C76" s="353">
        <f>C73-C74</f>
        <v>46651262</v>
      </c>
      <c r="D76" s="353">
        <f>LN_IB32-LN_IB33</f>
        <v>53635049</v>
      </c>
      <c r="E76" s="400">
        <f>D76-C76</f>
        <v>6983787</v>
      </c>
      <c r="F76" s="401">
        <f>IF(C76=0,0,E76/C76)</f>
        <v>0.1497019952000441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750</v>
      </c>
      <c r="C77" s="366">
        <f>IF(C73=0,0,C76/C73)</f>
        <v>0.4556742396113748</v>
      </c>
      <c r="D77" s="366">
        <f>IF(LN_IB1=0,0,LN_IB34/LN_IB32)</f>
        <v>0.4849603827468225</v>
      </c>
      <c r="E77" s="405">
        <f>D77-C77</f>
        <v>0.029286143135447695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151</v>
      </c>
      <c r="B79" s="356" t="s">
        <v>751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752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717</v>
      </c>
      <c r="C83" s="361">
        <v>1452803</v>
      </c>
      <c r="D83" s="361">
        <v>1206064</v>
      </c>
      <c r="E83" s="361">
        <f aca="true" t="shared" si="8" ref="E83:E95">D83-C83</f>
        <v>-246739</v>
      </c>
      <c r="F83" s="362">
        <f aca="true" t="shared" si="9" ref="F83:F95">IF(C83=0,0,E83/C83)</f>
        <v>-0.16983651603142338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718</v>
      </c>
      <c r="C84" s="361">
        <v>464817</v>
      </c>
      <c r="D84" s="361">
        <v>65680</v>
      </c>
      <c r="E84" s="361">
        <f t="shared" si="8"/>
        <v>-399137</v>
      </c>
      <c r="F84" s="362">
        <f t="shared" si="9"/>
        <v>-0.8586970786352478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719</v>
      </c>
      <c r="C85" s="366">
        <f>IF(C83=0,0,C84/C83)</f>
        <v>0.31994496156739766</v>
      </c>
      <c r="D85" s="366">
        <f>IF(LN_IC1=0,0,LN_IC2/LN_IC1)</f>
        <v>0.054458138208254285</v>
      </c>
      <c r="E85" s="367">
        <f t="shared" si="8"/>
        <v>-0.26548682335914336</v>
      </c>
      <c r="F85" s="362">
        <f t="shared" si="9"/>
        <v>-0.8297890426482541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252</v>
      </c>
      <c r="C86" s="369">
        <v>82</v>
      </c>
      <c r="D86" s="369">
        <v>60</v>
      </c>
      <c r="E86" s="369">
        <f t="shared" si="8"/>
        <v>-22</v>
      </c>
      <c r="F86" s="362">
        <f t="shared" si="9"/>
        <v>-0.2682926829268293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720</v>
      </c>
      <c r="C87" s="372">
        <v>1.0282</v>
      </c>
      <c r="D87" s="372">
        <v>1.0884</v>
      </c>
      <c r="E87" s="373">
        <f t="shared" si="8"/>
        <v>0.06020000000000003</v>
      </c>
      <c r="F87" s="362">
        <f t="shared" si="9"/>
        <v>0.05854892044349352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721</v>
      </c>
      <c r="C88" s="376">
        <f>C86*C87</f>
        <v>84.3124</v>
      </c>
      <c r="D88" s="376">
        <f>LN_IC4*LN_IC5</f>
        <v>65.304</v>
      </c>
      <c r="E88" s="376">
        <f t="shared" si="8"/>
        <v>-19.008399999999995</v>
      </c>
      <c r="F88" s="362">
        <f t="shared" si="9"/>
        <v>-0.22545200943159008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722</v>
      </c>
      <c r="C89" s="378">
        <f>IF(C88=0,0,C84/C88)</f>
        <v>5513.032483952538</v>
      </c>
      <c r="D89" s="378">
        <f>IF(LN_IC6=0,0,LN_IC2/LN_IC6)</f>
        <v>1005.7576871248315</v>
      </c>
      <c r="E89" s="378">
        <f t="shared" si="8"/>
        <v>-4507.274796827707</v>
      </c>
      <c r="F89" s="362">
        <f t="shared" si="9"/>
        <v>-0.8175672481429388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753</v>
      </c>
      <c r="C90" s="378">
        <f>C48-C89</f>
        <v>2226.3790067830923</v>
      </c>
      <c r="D90" s="378">
        <f>LN_IB7-LN_IC7</f>
        <v>7177.297732743215</v>
      </c>
      <c r="E90" s="378">
        <f t="shared" si="8"/>
        <v>4950.918725960123</v>
      </c>
      <c r="F90" s="362">
        <f t="shared" si="9"/>
        <v>2.223753777266223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754</v>
      </c>
      <c r="C91" s="378">
        <f>C21-C89</f>
        <v>1746.3313701904617</v>
      </c>
      <c r="D91" s="378">
        <f>LN_IA7-LN_IC7</f>
        <v>5839.898189449237</v>
      </c>
      <c r="E91" s="378">
        <f t="shared" si="8"/>
        <v>4093.5668192587755</v>
      </c>
      <c r="F91" s="362">
        <f t="shared" si="9"/>
        <v>2.344095106538867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739</v>
      </c>
      <c r="C92" s="353">
        <f>C91*C88</f>
        <v>147237.38901604628</v>
      </c>
      <c r="D92" s="353">
        <f>LN_IC9*LN_IC6</f>
        <v>381368.711363793</v>
      </c>
      <c r="E92" s="353">
        <f t="shared" si="8"/>
        <v>234131.32234774673</v>
      </c>
      <c r="F92" s="362">
        <f t="shared" si="9"/>
        <v>1.590162145039332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254</v>
      </c>
      <c r="C93" s="369">
        <v>283</v>
      </c>
      <c r="D93" s="369">
        <v>189</v>
      </c>
      <c r="E93" s="369">
        <f t="shared" si="8"/>
        <v>-94</v>
      </c>
      <c r="F93" s="362">
        <f t="shared" si="9"/>
        <v>-0.3321554770318021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723</v>
      </c>
      <c r="C94" s="411">
        <f>IF(C93=0,0,C84/C93)</f>
        <v>1642.4628975265018</v>
      </c>
      <c r="D94" s="411">
        <f>IF(LN_IC11=0,0,LN_IC2/LN_IC11)</f>
        <v>347.5132275132275</v>
      </c>
      <c r="E94" s="411">
        <f t="shared" si="8"/>
        <v>-1294.9496700132743</v>
      </c>
      <c r="F94" s="362">
        <f t="shared" si="9"/>
        <v>-0.7884194352051594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724</v>
      </c>
      <c r="C95" s="379">
        <f>IF(C86=0,0,C93/C86)</f>
        <v>3.451219512195122</v>
      </c>
      <c r="D95" s="379">
        <f>IF(LN_IC4=0,0,LN_IC11/LN_IC4)</f>
        <v>3.15</v>
      </c>
      <c r="E95" s="379">
        <f t="shared" si="8"/>
        <v>-0.301219512195122</v>
      </c>
      <c r="F95" s="362">
        <f t="shared" si="9"/>
        <v>-0.08727915194346292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755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726</v>
      </c>
      <c r="C98" s="361">
        <v>3756696</v>
      </c>
      <c r="D98" s="361">
        <v>3396201</v>
      </c>
      <c r="E98" s="361">
        <f aca="true" t="shared" si="10" ref="E98:E106">D98-C98</f>
        <v>-360495</v>
      </c>
      <c r="F98" s="362">
        <f aca="true" t="shared" si="11" ref="F98:F106">IF(C98=0,0,E98/C98)</f>
        <v>-0.09596065265861278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727</v>
      </c>
      <c r="C99" s="361">
        <v>1201937</v>
      </c>
      <c r="D99" s="361">
        <v>184951</v>
      </c>
      <c r="E99" s="361">
        <f t="shared" si="10"/>
        <v>-1016986</v>
      </c>
      <c r="F99" s="362">
        <f t="shared" si="11"/>
        <v>-0.8461225505163749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728</v>
      </c>
      <c r="C100" s="366">
        <f>IF(C98=0,0,C99/C98)</f>
        <v>0.3199452391143707</v>
      </c>
      <c r="D100" s="366">
        <f>IF(LN_IC14=0,0,LN_IC15/LN_IC14)</f>
        <v>0.054458201973322545</v>
      </c>
      <c r="E100" s="367">
        <f t="shared" si="10"/>
        <v>-0.26548703714104815</v>
      </c>
      <c r="F100" s="362">
        <f t="shared" si="11"/>
        <v>-0.8297889910033779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729</v>
      </c>
      <c r="C101" s="366">
        <f>IF(C83=0,0,C98/C83)</f>
        <v>2.5858261581232966</v>
      </c>
      <c r="D101" s="366">
        <f>IF(LN_IC1=0,0,LN_IC14/LN_IC1)</f>
        <v>2.815937628517226</v>
      </c>
      <c r="E101" s="367">
        <f t="shared" si="10"/>
        <v>0.23011147039392954</v>
      </c>
      <c r="F101" s="362">
        <f t="shared" si="11"/>
        <v>0.08898953615696134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730</v>
      </c>
      <c r="C102" s="376">
        <f>C101*C86</f>
        <v>212.03774496611032</v>
      </c>
      <c r="D102" s="376">
        <f>LN_IC17*LN_IC4</f>
        <v>168.95625771103357</v>
      </c>
      <c r="E102" s="376">
        <f t="shared" si="10"/>
        <v>-43.08148725507675</v>
      </c>
      <c r="F102" s="362">
        <f t="shared" si="11"/>
        <v>-0.20317838817783315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731</v>
      </c>
      <c r="C103" s="378">
        <f>IF(C102=0,0,C99/C102)</f>
        <v>5668.504917330185</v>
      </c>
      <c r="D103" s="378">
        <f>IF(LN_IC18=0,0,LN_IC15/LN_IC18)</f>
        <v>1094.6679484125548</v>
      </c>
      <c r="E103" s="378">
        <f t="shared" si="10"/>
        <v>-4573.836968917631</v>
      </c>
      <c r="F103" s="362">
        <f t="shared" si="11"/>
        <v>-0.8068859488741287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756</v>
      </c>
      <c r="C104" s="378">
        <f>C61-C103</f>
        <v>5380.532789830369</v>
      </c>
      <c r="D104" s="378">
        <f>LN_IB18-LN_IC19</f>
        <v>10688.780703859273</v>
      </c>
      <c r="E104" s="378">
        <f t="shared" si="10"/>
        <v>5308.247914028903</v>
      </c>
      <c r="F104" s="362">
        <f t="shared" si="11"/>
        <v>0.9865654799208565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757</v>
      </c>
      <c r="C105" s="378">
        <f>C32-C103</f>
        <v>2245.4050521284935</v>
      </c>
      <c r="D105" s="378">
        <f>LN_IA16-LN_IC19</f>
        <v>5836.943317285713</v>
      </c>
      <c r="E105" s="378">
        <f t="shared" si="10"/>
        <v>3591.53826515722</v>
      </c>
      <c r="F105" s="362">
        <f t="shared" si="11"/>
        <v>1.5995057380639108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742</v>
      </c>
      <c r="C106" s="361">
        <f>C105*C102</f>
        <v>476110.62378883717</v>
      </c>
      <c r="D106" s="361">
        <f>LN_IC21*LN_IC18</f>
        <v>986188.0993600202</v>
      </c>
      <c r="E106" s="361">
        <f t="shared" si="10"/>
        <v>510077.4755711831</v>
      </c>
      <c r="F106" s="362">
        <f t="shared" si="11"/>
        <v>1.071342352145057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758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733</v>
      </c>
      <c r="C109" s="361">
        <f>C83+C98</f>
        <v>5209499</v>
      </c>
      <c r="D109" s="361">
        <f>LN_IC1+LN_IC14</f>
        <v>4602265</v>
      </c>
      <c r="E109" s="361">
        <f>D109-C109</f>
        <v>-607234</v>
      </c>
      <c r="F109" s="362">
        <f>IF(C109=0,0,E109/C109)</f>
        <v>-0.11656284030383728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734</v>
      </c>
      <c r="C110" s="361">
        <f>C84+C99</f>
        <v>1666754</v>
      </c>
      <c r="D110" s="361">
        <f>LN_IC2+LN_IC15</f>
        <v>250631</v>
      </c>
      <c r="E110" s="361">
        <f>D110-C110</f>
        <v>-1416123</v>
      </c>
      <c r="F110" s="362">
        <f>IF(C110=0,0,E110/C110)</f>
        <v>-0.849629279425758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735</v>
      </c>
      <c r="C111" s="361">
        <f>C109-C110</f>
        <v>3542745</v>
      </c>
      <c r="D111" s="361">
        <f>LN_IC23-LN_IC24</f>
        <v>4351634</v>
      </c>
      <c r="E111" s="361">
        <f>D111-C111</f>
        <v>808889</v>
      </c>
      <c r="F111" s="362">
        <f>IF(C111=0,0,E111/C111)</f>
        <v>0.22832267069743942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744</v>
      </c>
      <c r="C113" s="361">
        <f>C92+C106</f>
        <v>623348.0128048834</v>
      </c>
      <c r="D113" s="361">
        <f>LN_IC10+LN_IC22</f>
        <v>1367556.8107238133</v>
      </c>
      <c r="E113" s="361">
        <f>D113-C113</f>
        <v>744208.7979189298</v>
      </c>
      <c r="F113" s="362">
        <f>IF(C113=0,0,E113/C113)</f>
        <v>1.1938897415750285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436</v>
      </c>
      <c r="B115" s="356" t="s">
        <v>759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760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717</v>
      </c>
      <c r="C118" s="361">
        <v>2484872</v>
      </c>
      <c r="D118" s="361">
        <v>2441592</v>
      </c>
      <c r="E118" s="361">
        <f aca="true" t="shared" si="12" ref="E118:E130">D118-C118</f>
        <v>-43280</v>
      </c>
      <c r="F118" s="362">
        <f aca="true" t="shared" si="13" ref="F118:F130">IF(C118=0,0,E118/C118)</f>
        <v>-0.017417396147568164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718</v>
      </c>
      <c r="C119" s="361">
        <v>708388</v>
      </c>
      <c r="D119" s="361">
        <v>810165</v>
      </c>
      <c r="E119" s="361">
        <f t="shared" si="12"/>
        <v>101777</v>
      </c>
      <c r="F119" s="362">
        <f t="shared" si="13"/>
        <v>0.1436740882115451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719</v>
      </c>
      <c r="C120" s="366">
        <f>IF(C118=0,0,C119/C118)</f>
        <v>0.2850802777768835</v>
      </c>
      <c r="D120" s="366">
        <f>IF(LN_ID1=0,0,LN_1D2/LN_ID1)</f>
        <v>0.33181833819901113</v>
      </c>
      <c r="E120" s="367">
        <f t="shared" si="12"/>
        <v>0.046738060422127636</v>
      </c>
      <c r="F120" s="362">
        <f t="shared" si="13"/>
        <v>0.16394701445712398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252</v>
      </c>
      <c r="C121" s="369">
        <v>196</v>
      </c>
      <c r="D121" s="369">
        <v>208</v>
      </c>
      <c r="E121" s="369">
        <f t="shared" si="12"/>
        <v>12</v>
      </c>
      <c r="F121" s="362">
        <f t="shared" si="13"/>
        <v>0.061224489795918366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720</v>
      </c>
      <c r="C122" s="372">
        <v>0.8234</v>
      </c>
      <c r="D122" s="372">
        <v>0.753</v>
      </c>
      <c r="E122" s="373">
        <f t="shared" si="12"/>
        <v>-0.07040000000000002</v>
      </c>
      <c r="F122" s="362">
        <f t="shared" si="13"/>
        <v>-0.0854991498664076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721</v>
      </c>
      <c r="C123" s="376">
        <f>C121*C122</f>
        <v>161.3864</v>
      </c>
      <c r="D123" s="376">
        <f>LN_ID4*LN_ID5</f>
        <v>156.624</v>
      </c>
      <c r="E123" s="376">
        <f t="shared" si="12"/>
        <v>-4.762400000000014</v>
      </c>
      <c r="F123" s="362">
        <f t="shared" si="13"/>
        <v>-0.02950930189904486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722</v>
      </c>
      <c r="C124" s="378">
        <f>IF(C123=0,0,C119/C123)</f>
        <v>4389.3909276122395</v>
      </c>
      <c r="D124" s="378">
        <f>IF(LN_ID6=0,0,LN_1D2/LN_ID6)</f>
        <v>5172.674685871897</v>
      </c>
      <c r="E124" s="378">
        <f t="shared" si="12"/>
        <v>783.2837582596576</v>
      </c>
      <c r="F124" s="362">
        <f t="shared" si="13"/>
        <v>0.1784493045110821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761</v>
      </c>
      <c r="C125" s="378">
        <f>C48-C124</f>
        <v>3350.020563123391</v>
      </c>
      <c r="D125" s="378">
        <f>LN_IB7-LN_ID7</f>
        <v>3010.3807339961495</v>
      </c>
      <c r="E125" s="378">
        <f t="shared" si="12"/>
        <v>-339.6398291272417</v>
      </c>
      <c r="F125" s="362">
        <f t="shared" si="13"/>
        <v>-0.10138440129769787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762</v>
      </c>
      <c r="C126" s="378">
        <f>C21-C124</f>
        <v>2869.9729265307606</v>
      </c>
      <c r="D126" s="378">
        <f>LN_IA7-LN_ID7</f>
        <v>1672.9811907021713</v>
      </c>
      <c r="E126" s="378">
        <f t="shared" si="12"/>
        <v>-1196.9917358285893</v>
      </c>
      <c r="F126" s="362">
        <f t="shared" si="13"/>
        <v>-0.41707422560097795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739</v>
      </c>
      <c r="C127" s="391">
        <f>C126*C123</f>
        <v>463174.59871026396</v>
      </c>
      <c r="D127" s="391">
        <f>LN_ID9*LN_ID6</f>
        <v>262029.00601253688</v>
      </c>
      <c r="E127" s="391">
        <f t="shared" si="12"/>
        <v>-201145.5926977271</v>
      </c>
      <c r="F127" s="362">
        <f t="shared" si="13"/>
        <v>-0.4342759582624532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254</v>
      </c>
      <c r="C128" s="369">
        <v>675</v>
      </c>
      <c r="D128" s="369">
        <v>554</v>
      </c>
      <c r="E128" s="369">
        <f t="shared" si="12"/>
        <v>-121</v>
      </c>
      <c r="F128" s="362">
        <f t="shared" si="13"/>
        <v>-0.17925925925925926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723</v>
      </c>
      <c r="C129" s="378">
        <f>IF(C128=0,0,C119/C128)</f>
        <v>1049.4637037037037</v>
      </c>
      <c r="D129" s="378">
        <f>IF(LN_ID11=0,0,LN_1D2/LN_ID11)</f>
        <v>1462.3916967509026</v>
      </c>
      <c r="E129" s="378">
        <f t="shared" si="12"/>
        <v>412.9279930471989</v>
      </c>
      <c r="F129" s="362">
        <f t="shared" si="13"/>
        <v>0.39346572119637724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724</v>
      </c>
      <c r="C130" s="379">
        <f>IF(C121=0,0,C128/C121)</f>
        <v>3.443877551020408</v>
      </c>
      <c r="D130" s="379">
        <f>IF(LN_ID4=0,0,LN_ID11/LN_ID4)</f>
        <v>2.6634615384615383</v>
      </c>
      <c r="E130" s="379">
        <f t="shared" si="12"/>
        <v>-0.7804160125588697</v>
      </c>
      <c r="F130" s="362">
        <f t="shared" si="13"/>
        <v>-0.2266096866096866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763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726</v>
      </c>
      <c r="C133" s="361">
        <v>5117350</v>
      </c>
      <c r="D133" s="361">
        <v>6989617</v>
      </c>
      <c r="E133" s="361">
        <f aca="true" t="shared" si="14" ref="E133:E141">D133-C133</f>
        <v>1872267</v>
      </c>
      <c r="F133" s="362">
        <f aca="true" t="shared" si="15" ref="F133:F141">IF(C133=0,0,E133/C133)</f>
        <v>0.36586651294126843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727</v>
      </c>
      <c r="C134" s="361">
        <v>1653802</v>
      </c>
      <c r="D134" s="361">
        <v>1934474</v>
      </c>
      <c r="E134" s="361">
        <f t="shared" si="14"/>
        <v>280672</v>
      </c>
      <c r="F134" s="362">
        <f t="shared" si="15"/>
        <v>0.16971318211007122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728</v>
      </c>
      <c r="C135" s="366">
        <f>IF(C133=0,0,C134/C133)</f>
        <v>0.323175471679678</v>
      </c>
      <c r="D135" s="366">
        <f>IF(LN_ID14=0,0,LN_ID15/LN_ID14)</f>
        <v>0.27676394858259046</v>
      </c>
      <c r="E135" s="367">
        <f t="shared" si="14"/>
        <v>-0.046411523097087515</v>
      </c>
      <c r="F135" s="362">
        <f t="shared" si="15"/>
        <v>-0.14361090851315986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729</v>
      </c>
      <c r="C136" s="366">
        <f>IF(C118=0,0,C133/C118)</f>
        <v>2.059401852489786</v>
      </c>
      <c r="D136" s="366">
        <f>IF(LN_ID1=0,0,LN_ID14/LN_ID1)</f>
        <v>2.862729317592784</v>
      </c>
      <c r="E136" s="367">
        <f t="shared" si="14"/>
        <v>0.8033274651029978</v>
      </c>
      <c r="F136" s="362">
        <f t="shared" si="15"/>
        <v>0.390078053067587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730</v>
      </c>
      <c r="C137" s="376">
        <f>C136*C121</f>
        <v>403.6427630879981</v>
      </c>
      <c r="D137" s="376">
        <f>LN_ID17*LN_ID4</f>
        <v>595.447698059299</v>
      </c>
      <c r="E137" s="376">
        <f t="shared" si="14"/>
        <v>191.8049349713009</v>
      </c>
      <c r="F137" s="362">
        <f t="shared" si="15"/>
        <v>0.47518487264315334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731</v>
      </c>
      <c r="C138" s="378">
        <f>IF(C137=0,0,C134/C137)</f>
        <v>4097.1922482838</v>
      </c>
      <c r="D138" s="378">
        <f>IF(LN_ID18=0,0,LN_ID15/LN_ID18)</f>
        <v>3248.7723209022315</v>
      </c>
      <c r="E138" s="378">
        <f t="shared" si="14"/>
        <v>-848.4199273815684</v>
      </c>
      <c r="F138" s="362">
        <f t="shared" si="15"/>
        <v>-0.20707349715819362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764</v>
      </c>
      <c r="C139" s="378">
        <f>C61-C138</f>
        <v>6951.8454588767545</v>
      </c>
      <c r="D139" s="378">
        <f>LN_IB18-LN_ID19</f>
        <v>8534.676331369596</v>
      </c>
      <c r="E139" s="378">
        <f t="shared" si="14"/>
        <v>1582.830872492841</v>
      </c>
      <c r="F139" s="362">
        <f t="shared" si="15"/>
        <v>0.2276849912524648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765</v>
      </c>
      <c r="C140" s="378">
        <f>C32-C138</f>
        <v>3816.7177211748785</v>
      </c>
      <c r="D140" s="378">
        <f>LN_IA16-LN_ID19</f>
        <v>3682.838944796037</v>
      </c>
      <c r="E140" s="378">
        <f t="shared" si="14"/>
        <v>-133.8787763788414</v>
      </c>
      <c r="F140" s="362">
        <f t="shared" si="15"/>
        <v>-0.0350769394435673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742</v>
      </c>
      <c r="C141" s="353">
        <f>C140*C137</f>
        <v>1540590.4869019554</v>
      </c>
      <c r="D141" s="353">
        <f>LN_ID21*LN_ID18</f>
        <v>2192937.972001938</v>
      </c>
      <c r="E141" s="353">
        <f t="shared" si="14"/>
        <v>652347.4850999827</v>
      </c>
      <c r="F141" s="362">
        <f t="shared" si="15"/>
        <v>0.42343990219738303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766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733</v>
      </c>
      <c r="C144" s="361">
        <f>C118+C133</f>
        <v>7602222</v>
      </c>
      <c r="D144" s="361">
        <f>LN_ID1+LN_ID14</f>
        <v>9431209</v>
      </c>
      <c r="E144" s="361">
        <f>D144-C144</f>
        <v>1828987</v>
      </c>
      <c r="F144" s="362">
        <f>IF(C144=0,0,E144/C144)</f>
        <v>0.24058584450704018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734</v>
      </c>
      <c r="C145" s="361">
        <f>C119+C134</f>
        <v>2362190</v>
      </c>
      <c r="D145" s="361">
        <f>LN_1D2+LN_ID15</f>
        <v>2744639</v>
      </c>
      <c r="E145" s="361">
        <f>D145-C145</f>
        <v>382449</v>
      </c>
      <c r="F145" s="362">
        <f>IF(C145=0,0,E145/C145)</f>
        <v>0.16190441920421303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735</v>
      </c>
      <c r="C146" s="361">
        <f>C144-C145</f>
        <v>5240032</v>
      </c>
      <c r="D146" s="361">
        <f>LN_ID23-LN_ID24</f>
        <v>6686570</v>
      </c>
      <c r="E146" s="361">
        <f>D146-C146</f>
        <v>1446538</v>
      </c>
      <c r="F146" s="362">
        <f>IF(C146=0,0,E146/C146)</f>
        <v>0.2760551843958205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744</v>
      </c>
      <c r="C148" s="361">
        <f>C127+C141</f>
        <v>2003765.0856122193</v>
      </c>
      <c r="D148" s="361">
        <f>LN_ID10+LN_ID22</f>
        <v>2454966.978014475</v>
      </c>
      <c r="E148" s="361">
        <f>D148-C148</f>
        <v>451201.8924022559</v>
      </c>
      <c r="F148" s="415">
        <f>IF(C148=0,0,E148/C148)</f>
        <v>0.22517704078290104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457</v>
      </c>
      <c r="B150" s="356" t="s">
        <v>767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768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717</v>
      </c>
      <c r="C153" s="361">
        <v>1175579</v>
      </c>
      <c r="D153" s="361">
        <v>495189</v>
      </c>
      <c r="E153" s="361">
        <f aca="true" t="shared" si="16" ref="E153:E165">D153-C153</f>
        <v>-680390</v>
      </c>
      <c r="F153" s="362">
        <f aca="true" t="shared" si="17" ref="F153:F165">IF(C153=0,0,E153/C153)</f>
        <v>-0.5787701209361514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718</v>
      </c>
      <c r="C154" s="361">
        <v>316657</v>
      </c>
      <c r="D154" s="361">
        <v>144333</v>
      </c>
      <c r="E154" s="361">
        <f t="shared" si="16"/>
        <v>-172324</v>
      </c>
      <c r="F154" s="362">
        <f t="shared" si="17"/>
        <v>-0.544197664981352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719</v>
      </c>
      <c r="C155" s="366">
        <f>IF(C153=0,0,C154/C153)</f>
        <v>0.26936258643613065</v>
      </c>
      <c r="D155" s="366">
        <f>IF(LN_IE1=0,0,LN_IE2/LN_IE1)</f>
        <v>0.29147052943421603</v>
      </c>
      <c r="E155" s="367">
        <f t="shared" si="16"/>
        <v>0.022107942998085384</v>
      </c>
      <c r="F155" s="362">
        <f t="shared" si="17"/>
        <v>0.08207503235913374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252</v>
      </c>
      <c r="C156" s="419">
        <v>32</v>
      </c>
      <c r="D156" s="419">
        <v>27</v>
      </c>
      <c r="E156" s="419">
        <f t="shared" si="16"/>
        <v>-5</v>
      </c>
      <c r="F156" s="362">
        <f t="shared" si="17"/>
        <v>-0.15625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720</v>
      </c>
      <c r="C157" s="372">
        <v>1.4412</v>
      </c>
      <c r="D157" s="372">
        <v>1.0026</v>
      </c>
      <c r="E157" s="373">
        <f t="shared" si="16"/>
        <v>-0.4386000000000001</v>
      </c>
      <c r="F157" s="362">
        <f t="shared" si="17"/>
        <v>-0.3043297252289759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721</v>
      </c>
      <c r="C158" s="376">
        <f>C156*C157</f>
        <v>46.1184</v>
      </c>
      <c r="D158" s="376">
        <f>LN_IE4*LN_IE5</f>
        <v>27.0702</v>
      </c>
      <c r="E158" s="376">
        <f t="shared" si="16"/>
        <v>-19.0482</v>
      </c>
      <c r="F158" s="362">
        <f t="shared" si="17"/>
        <v>-0.4130282056619484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722</v>
      </c>
      <c r="C159" s="378">
        <f>IF(C158=0,0,C154/C158)</f>
        <v>6866.174888981404</v>
      </c>
      <c r="D159" s="378">
        <f>IF(LN_IE6=0,0,LN_IE2/LN_IE6)</f>
        <v>5331.803976328213</v>
      </c>
      <c r="E159" s="378">
        <f t="shared" si="16"/>
        <v>-1534.3709126531912</v>
      </c>
      <c r="F159" s="362">
        <f t="shared" si="17"/>
        <v>-0.22346807901958565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769</v>
      </c>
      <c r="C160" s="378">
        <f>C48-C159</f>
        <v>873.2366017542263</v>
      </c>
      <c r="D160" s="378">
        <f>LN_IB7-LN_IE7</f>
        <v>2851.2514435398334</v>
      </c>
      <c r="E160" s="378">
        <f t="shared" si="16"/>
        <v>1978.0148417856071</v>
      </c>
      <c r="F160" s="362">
        <f t="shared" si="17"/>
        <v>2.2651533820410363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770</v>
      </c>
      <c r="C161" s="378">
        <f>C21-C159</f>
        <v>393.18896516159566</v>
      </c>
      <c r="D161" s="378">
        <f>LN_IA7-LN_IE7</f>
        <v>1513.8519002458552</v>
      </c>
      <c r="E161" s="378">
        <f t="shared" si="16"/>
        <v>1120.6629350842595</v>
      </c>
      <c r="F161" s="362">
        <f t="shared" si="17"/>
        <v>2.850189182251545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739</v>
      </c>
      <c r="C162" s="391">
        <f>C161*C158</f>
        <v>18133.245970908534</v>
      </c>
      <c r="D162" s="391">
        <f>LN_IE9*LN_IE6</f>
        <v>40980.27371003535</v>
      </c>
      <c r="E162" s="391">
        <f t="shared" si="16"/>
        <v>22847.027739126814</v>
      </c>
      <c r="F162" s="362">
        <f t="shared" si="17"/>
        <v>1.2599524528471449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254</v>
      </c>
      <c r="C163" s="369">
        <v>183</v>
      </c>
      <c r="D163" s="369">
        <v>75</v>
      </c>
      <c r="E163" s="419">
        <f t="shared" si="16"/>
        <v>-108</v>
      </c>
      <c r="F163" s="362">
        <f t="shared" si="17"/>
        <v>-0.5901639344262295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723</v>
      </c>
      <c r="C164" s="378">
        <f>IF(C163=0,0,C154/C163)</f>
        <v>1730.3661202185792</v>
      </c>
      <c r="D164" s="378">
        <f>IF(LN_IE11=0,0,LN_IE2/LN_IE11)</f>
        <v>1924.44</v>
      </c>
      <c r="E164" s="378">
        <f t="shared" si="16"/>
        <v>194.07387978142083</v>
      </c>
      <c r="F164" s="362">
        <f t="shared" si="17"/>
        <v>0.11215769744550101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724</v>
      </c>
      <c r="C165" s="379">
        <f>IF(C156=0,0,C163/C156)</f>
        <v>5.71875</v>
      </c>
      <c r="D165" s="379">
        <f>IF(LN_IE4=0,0,LN_IE11/LN_IE4)</f>
        <v>2.7777777777777777</v>
      </c>
      <c r="E165" s="379">
        <f t="shared" si="16"/>
        <v>-2.9409722222222223</v>
      </c>
      <c r="F165" s="362">
        <f t="shared" si="17"/>
        <v>-0.5142683667273832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771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726</v>
      </c>
      <c r="C168" s="424">
        <v>1250168</v>
      </c>
      <c r="D168" s="424">
        <v>1022934</v>
      </c>
      <c r="E168" s="424">
        <f aca="true" t="shared" si="18" ref="E168:E176">D168-C168</f>
        <v>-227234</v>
      </c>
      <c r="F168" s="362">
        <f aca="true" t="shared" si="19" ref="F168:F176">IF(C168=0,0,E168/C168)</f>
        <v>-0.18176277108356637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727</v>
      </c>
      <c r="C169" s="424">
        <v>336749</v>
      </c>
      <c r="D169" s="424">
        <v>246824</v>
      </c>
      <c r="E169" s="424">
        <f t="shared" si="18"/>
        <v>-89925</v>
      </c>
      <c r="F169" s="362">
        <f t="shared" si="19"/>
        <v>-0.26703865490320683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728</v>
      </c>
      <c r="C170" s="366">
        <f>IF(C168=0,0,C169/C168)</f>
        <v>0.26936299761312077</v>
      </c>
      <c r="D170" s="366">
        <f>IF(LN_IE14=0,0,LN_IE15/LN_IE14)</f>
        <v>0.24129024941980617</v>
      </c>
      <c r="E170" s="367">
        <f t="shared" si="18"/>
        <v>-0.028072748193314595</v>
      </c>
      <c r="F170" s="362">
        <f t="shared" si="19"/>
        <v>-0.10421902207085908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729</v>
      </c>
      <c r="C171" s="366">
        <f>IF(C153=0,0,C168/C153)</f>
        <v>1.0634487346235344</v>
      </c>
      <c r="D171" s="366">
        <f>IF(LN_IE1=0,0,LN_IE14/LN_IE1)</f>
        <v>2.065744594488165</v>
      </c>
      <c r="E171" s="367">
        <f t="shared" si="18"/>
        <v>1.0022958598646305</v>
      </c>
      <c r="F171" s="362">
        <f t="shared" si="19"/>
        <v>0.9424957002929227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730</v>
      </c>
      <c r="C172" s="376">
        <f>C171*C156</f>
        <v>34.0303595079531</v>
      </c>
      <c r="D172" s="376">
        <f>LN_IE17*LN_IE4</f>
        <v>55.775104051180456</v>
      </c>
      <c r="E172" s="376">
        <f t="shared" si="18"/>
        <v>21.744744543227355</v>
      </c>
      <c r="F172" s="362">
        <f t="shared" si="19"/>
        <v>0.6389807471221536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731</v>
      </c>
      <c r="C173" s="378">
        <f>IF(C172=0,0,C169/C172)</f>
        <v>9895.546355344843</v>
      </c>
      <c r="D173" s="378">
        <f>IF(LN_IE18=0,0,LN_IE15/LN_IE18)</f>
        <v>4425.343604442385</v>
      </c>
      <c r="E173" s="378">
        <f t="shared" si="18"/>
        <v>-5470.202750902457</v>
      </c>
      <c r="F173" s="362">
        <f t="shared" si="19"/>
        <v>-0.5527944142212884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772</v>
      </c>
      <c r="C174" s="378">
        <f>C61-C173</f>
        <v>1153.4913518157118</v>
      </c>
      <c r="D174" s="378">
        <f>LN_IB18-LN_IE19</f>
        <v>7358.105047829442</v>
      </c>
      <c r="E174" s="378">
        <f t="shared" si="18"/>
        <v>6204.61369601373</v>
      </c>
      <c r="F174" s="362">
        <f t="shared" si="19"/>
        <v>5.378985881642755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773</v>
      </c>
      <c r="C175" s="378">
        <f>C32-C173</f>
        <v>-1981.6363858861641</v>
      </c>
      <c r="D175" s="378">
        <f>LN_IA16-LN_IE19</f>
        <v>2506.2676612558835</v>
      </c>
      <c r="E175" s="378">
        <f t="shared" si="18"/>
        <v>4487.904047142048</v>
      </c>
      <c r="F175" s="362">
        <f t="shared" si="19"/>
        <v>-2.264746488864611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742</v>
      </c>
      <c r="C176" s="353">
        <f>C175*C172</f>
        <v>-67435.79862574705</v>
      </c>
      <c r="D176" s="353">
        <f>LN_IE21*LN_IE18</f>
        <v>139787.33958665558</v>
      </c>
      <c r="E176" s="353">
        <f t="shared" si="18"/>
        <v>207223.13821240264</v>
      </c>
      <c r="F176" s="362">
        <f t="shared" si="19"/>
        <v>-3.0728951452394404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774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733</v>
      </c>
      <c r="C179" s="361">
        <f>C153+C168</f>
        <v>2425747</v>
      </c>
      <c r="D179" s="361">
        <f>LN_IE1+LN_IE14</f>
        <v>1518123</v>
      </c>
      <c r="E179" s="361">
        <f>D179-C179</f>
        <v>-907624</v>
      </c>
      <c r="F179" s="362">
        <f>IF(C179=0,0,E179/C179)</f>
        <v>-0.37416268060931335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734</v>
      </c>
      <c r="C180" s="361">
        <f>C154+C169</f>
        <v>653406</v>
      </c>
      <c r="D180" s="361">
        <f>LN_IE15+LN_IE2</f>
        <v>391157</v>
      </c>
      <c r="E180" s="361">
        <f>D180-C180</f>
        <v>-262249</v>
      </c>
      <c r="F180" s="362">
        <f>IF(C180=0,0,E180/C180)</f>
        <v>-0.40135688989694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735</v>
      </c>
      <c r="C181" s="361">
        <f>C179-C180</f>
        <v>1772341</v>
      </c>
      <c r="D181" s="361">
        <f>LN_IE23-LN_IE24</f>
        <v>1126966</v>
      </c>
      <c r="E181" s="361">
        <f>D181-C181</f>
        <v>-645375</v>
      </c>
      <c r="F181" s="362">
        <f>IF(C181=0,0,E181/C181)</f>
        <v>-0.3641370368343338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775</v>
      </c>
      <c r="C183" s="361">
        <f>C162+C176</f>
        <v>-49302.55265483851</v>
      </c>
      <c r="D183" s="361">
        <f>LN_IE10+LN_IE22</f>
        <v>180767.61329669092</v>
      </c>
      <c r="E183" s="353">
        <f>D183-C183</f>
        <v>230070.16595152943</v>
      </c>
      <c r="F183" s="362">
        <f>IF(C183=0,0,E183/C183)</f>
        <v>-4.66649602429765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469</v>
      </c>
      <c r="B185" s="356" t="s">
        <v>776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777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717</v>
      </c>
      <c r="C188" s="361">
        <f>C118+C153</f>
        <v>3660451</v>
      </c>
      <c r="D188" s="361">
        <f>LN_ID1+LN_IE1</f>
        <v>2936781</v>
      </c>
      <c r="E188" s="361">
        <f aca="true" t="shared" si="20" ref="E188:E200">D188-C188</f>
        <v>-723670</v>
      </c>
      <c r="F188" s="362">
        <f aca="true" t="shared" si="21" ref="F188:F200">IF(C188=0,0,E188/C188)</f>
        <v>-0.19769968236154506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718</v>
      </c>
      <c r="C189" s="361">
        <f>C119+C154</f>
        <v>1025045</v>
      </c>
      <c r="D189" s="361">
        <f>LN_1D2+LN_IE2</f>
        <v>954498</v>
      </c>
      <c r="E189" s="361">
        <f t="shared" si="20"/>
        <v>-70547</v>
      </c>
      <c r="F189" s="362">
        <f t="shared" si="21"/>
        <v>-0.06882331995180699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719</v>
      </c>
      <c r="C190" s="366">
        <f>IF(C188=0,0,C189/C188)</f>
        <v>0.2800324331619246</v>
      </c>
      <c r="D190" s="366">
        <f>IF(LN_IF1=0,0,LN_IF2/LN_IF1)</f>
        <v>0.3250150419796369</v>
      </c>
      <c r="E190" s="367">
        <f t="shared" si="20"/>
        <v>0.044982608817712266</v>
      </c>
      <c r="F190" s="362">
        <f t="shared" si="21"/>
        <v>0.1606335677257132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252</v>
      </c>
      <c r="C191" s="369">
        <f>C121+C156</f>
        <v>228</v>
      </c>
      <c r="D191" s="369">
        <f>LN_ID4+LN_IE4</f>
        <v>235</v>
      </c>
      <c r="E191" s="369">
        <f t="shared" si="20"/>
        <v>7</v>
      </c>
      <c r="F191" s="362">
        <f t="shared" si="21"/>
        <v>0.03070175438596491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720</v>
      </c>
      <c r="C192" s="372">
        <f>IF((C121+C156)=0,0,(C123+C158)/(C121+C156))</f>
        <v>0.9101087719298246</v>
      </c>
      <c r="D192" s="372">
        <f>IF((LN_ID4+LN_IE4)=0,0,(LN_ID6+LN_IE6)/(LN_ID4+LN_IE4))</f>
        <v>0.7816774468085106</v>
      </c>
      <c r="E192" s="373">
        <f t="shared" si="20"/>
        <v>-0.12843132512131405</v>
      </c>
      <c r="F192" s="362">
        <f t="shared" si="21"/>
        <v>-0.14111645671646922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721</v>
      </c>
      <c r="C193" s="376">
        <f>C123+C158</f>
        <v>207.50480000000002</v>
      </c>
      <c r="D193" s="376">
        <f>LN_IF4*LN_IF5</f>
        <v>183.6942</v>
      </c>
      <c r="E193" s="376">
        <f t="shared" si="20"/>
        <v>-23.810600000000022</v>
      </c>
      <c r="F193" s="362">
        <f t="shared" si="21"/>
        <v>-0.11474722512443096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722</v>
      </c>
      <c r="C194" s="378">
        <f>IF(C193=0,0,C189/C193)</f>
        <v>4939.861632116462</v>
      </c>
      <c r="D194" s="378">
        <f>IF(LN_IF6=0,0,LN_IF2/LN_IF6)</f>
        <v>5196.1248640403455</v>
      </c>
      <c r="E194" s="378">
        <f t="shared" si="20"/>
        <v>256.2632319238837</v>
      </c>
      <c r="F194" s="362">
        <f t="shared" si="21"/>
        <v>0.05187660121040453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778</v>
      </c>
      <c r="C195" s="378">
        <f>C48-C194</f>
        <v>2799.549858619169</v>
      </c>
      <c r="D195" s="378">
        <f>LN_IB7-LN_IF7</f>
        <v>2986.930555827701</v>
      </c>
      <c r="E195" s="378">
        <f t="shared" si="20"/>
        <v>187.38069720853218</v>
      </c>
      <c r="F195" s="362">
        <f t="shared" si="21"/>
        <v>0.06693243795306242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779</v>
      </c>
      <c r="C196" s="378">
        <f>C21-C194</f>
        <v>2319.502222026538</v>
      </c>
      <c r="D196" s="378">
        <f>LN_IA7-LN_IF7</f>
        <v>1649.5310125337228</v>
      </c>
      <c r="E196" s="378">
        <f t="shared" si="20"/>
        <v>-669.9712094928154</v>
      </c>
      <c r="F196" s="362">
        <f t="shared" si="21"/>
        <v>-0.28884266767697453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739</v>
      </c>
      <c r="C197" s="391">
        <f>C127+C162</f>
        <v>481307.8446811725</v>
      </c>
      <c r="D197" s="391">
        <f>LN_IF9*LN_IF6</f>
        <v>303009.2797225722</v>
      </c>
      <c r="E197" s="391">
        <f t="shared" si="20"/>
        <v>-178298.56495860033</v>
      </c>
      <c r="F197" s="362">
        <f t="shared" si="21"/>
        <v>-0.37044599818793456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254</v>
      </c>
      <c r="C198" s="369">
        <f>C128+C163</f>
        <v>858</v>
      </c>
      <c r="D198" s="369">
        <f>LN_ID11+LN_IE11</f>
        <v>629</v>
      </c>
      <c r="E198" s="369">
        <f t="shared" si="20"/>
        <v>-229</v>
      </c>
      <c r="F198" s="362">
        <f t="shared" si="21"/>
        <v>-0.2668997668997669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723</v>
      </c>
      <c r="C199" s="432">
        <f>IF(C198=0,0,C189/C198)</f>
        <v>1194.6911421911423</v>
      </c>
      <c r="D199" s="432">
        <f>IF(LN_IF11=0,0,LN_IF2/LN_IF11)</f>
        <v>1517.4848966613672</v>
      </c>
      <c r="E199" s="432">
        <f t="shared" si="20"/>
        <v>322.79375447022494</v>
      </c>
      <c r="F199" s="362">
        <f t="shared" si="21"/>
        <v>0.2701901295410962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724</v>
      </c>
      <c r="C200" s="379">
        <f>IF(C191=0,0,C198/C191)</f>
        <v>3.763157894736842</v>
      </c>
      <c r="D200" s="379">
        <f>IF(LN_IF4=0,0,LN_IF11/LN_IF4)</f>
        <v>2.676595744680851</v>
      </c>
      <c r="E200" s="379">
        <f t="shared" si="20"/>
        <v>-1.086562150055991</v>
      </c>
      <c r="F200" s="362">
        <f t="shared" si="21"/>
        <v>-0.28873679511977385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780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726</v>
      </c>
      <c r="C203" s="361">
        <f>C133+C168</f>
        <v>6367518</v>
      </c>
      <c r="D203" s="361">
        <f>LN_ID14+LN_IE14</f>
        <v>8012551</v>
      </c>
      <c r="E203" s="361">
        <f aca="true" t="shared" si="22" ref="E203:E211">D203-C203</f>
        <v>1645033</v>
      </c>
      <c r="F203" s="362">
        <f aca="true" t="shared" si="23" ref="F203:F211">IF(C203=0,0,E203/C203)</f>
        <v>0.25834760105899973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727</v>
      </c>
      <c r="C204" s="361">
        <f>C134+C169</f>
        <v>1990551</v>
      </c>
      <c r="D204" s="361">
        <f>LN_ID15+LN_IE15</f>
        <v>2181298</v>
      </c>
      <c r="E204" s="361">
        <f t="shared" si="22"/>
        <v>190747</v>
      </c>
      <c r="F204" s="362">
        <f t="shared" si="23"/>
        <v>0.09582623102849412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728</v>
      </c>
      <c r="C205" s="366">
        <f>IF(C203=0,0,C204/C203)</f>
        <v>0.3126101881455223</v>
      </c>
      <c r="D205" s="366">
        <f>IF(LN_IF14=0,0,LN_IF15/LN_IF14)</f>
        <v>0.2722351470836192</v>
      </c>
      <c r="E205" s="367">
        <f t="shared" si="22"/>
        <v>-0.04037504106190315</v>
      </c>
      <c r="F205" s="362">
        <f t="shared" si="23"/>
        <v>-0.12915459122243408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729</v>
      </c>
      <c r="C206" s="366">
        <f>IF(C188=0,0,C203/C188)</f>
        <v>1.7395446626658846</v>
      </c>
      <c r="D206" s="366">
        <f>IF(LN_IF1=0,0,LN_IF14/LN_IF1)</f>
        <v>2.728344742083254</v>
      </c>
      <c r="E206" s="367">
        <f t="shared" si="22"/>
        <v>0.9888000794173692</v>
      </c>
      <c r="F206" s="362">
        <f t="shared" si="23"/>
        <v>0.5684246576929015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730</v>
      </c>
      <c r="C207" s="376">
        <f>C137+C172</f>
        <v>437.6731225959512</v>
      </c>
      <c r="D207" s="376">
        <f>LN_ID18+LN_IE18</f>
        <v>651.2228021104795</v>
      </c>
      <c r="E207" s="376">
        <f t="shared" si="22"/>
        <v>213.5496795145283</v>
      </c>
      <c r="F207" s="362">
        <f t="shared" si="23"/>
        <v>0.48792047875343714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731</v>
      </c>
      <c r="C208" s="378">
        <f>IF(C207=0,0,C204/C207)</f>
        <v>4548.031161231773</v>
      </c>
      <c r="D208" s="378">
        <f>IF(LN_IF18=0,0,LN_IF15/LN_IF18)</f>
        <v>3349.541804941198</v>
      </c>
      <c r="E208" s="378">
        <f t="shared" si="22"/>
        <v>-1198.489356290575</v>
      </c>
      <c r="F208" s="362">
        <f t="shared" si="23"/>
        <v>-0.2635182816042932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781</v>
      </c>
      <c r="C209" s="378">
        <f>C61-C208</f>
        <v>6501.006545928782</v>
      </c>
      <c r="D209" s="378">
        <f>LN_IB18-LN_IF19</f>
        <v>8433.906847330629</v>
      </c>
      <c r="E209" s="378">
        <f t="shared" si="22"/>
        <v>1932.9003014018472</v>
      </c>
      <c r="F209" s="362">
        <f t="shared" si="23"/>
        <v>0.2973232356783758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782</v>
      </c>
      <c r="C210" s="378">
        <f>C32-C208</f>
        <v>3365.8788082269057</v>
      </c>
      <c r="D210" s="378">
        <f>LN_IA16-LN_IF19</f>
        <v>3582.069460757071</v>
      </c>
      <c r="E210" s="378">
        <f t="shared" si="22"/>
        <v>216.19065253016515</v>
      </c>
      <c r="F210" s="362">
        <f t="shared" si="23"/>
        <v>0.06423007625876201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742</v>
      </c>
      <c r="C211" s="391">
        <f>C141+C176</f>
        <v>1473154.6882762085</v>
      </c>
      <c r="D211" s="353">
        <f>LN_IF21*LN_IF18</f>
        <v>2332725.3115885938</v>
      </c>
      <c r="E211" s="353">
        <f t="shared" si="22"/>
        <v>859570.6233123853</v>
      </c>
      <c r="F211" s="362">
        <f t="shared" si="23"/>
        <v>0.5834897245707441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783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733</v>
      </c>
      <c r="C214" s="361">
        <f>C188+C203</f>
        <v>10027969</v>
      </c>
      <c r="D214" s="361">
        <f>LN_IF1+LN_IF14</f>
        <v>10949332</v>
      </c>
      <c r="E214" s="361">
        <f>D214-C214</f>
        <v>921363</v>
      </c>
      <c r="F214" s="362">
        <f>IF(C214=0,0,E214/C214)</f>
        <v>0.09187932272227806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734</v>
      </c>
      <c r="C215" s="361">
        <f>C189+C204</f>
        <v>3015596</v>
      </c>
      <c r="D215" s="361">
        <f>LN_IF2+LN_IF15</f>
        <v>3135796</v>
      </c>
      <c r="E215" s="361">
        <f>D215-C215</f>
        <v>120200</v>
      </c>
      <c r="F215" s="362">
        <f>IF(C215=0,0,E215/C215)</f>
        <v>0.03985945066912146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735</v>
      </c>
      <c r="C216" s="361">
        <f>C214-C215</f>
        <v>7012373</v>
      </c>
      <c r="D216" s="361">
        <f>LN_IF23-LN_IF24</f>
        <v>7813536</v>
      </c>
      <c r="E216" s="361">
        <f>D216-C216</f>
        <v>801163</v>
      </c>
      <c r="F216" s="362">
        <f>IF(C216=0,0,E216/C216)</f>
        <v>0.11424991226222564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481</v>
      </c>
      <c r="B218" s="356" t="s">
        <v>784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785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717</v>
      </c>
      <c r="C221" s="361">
        <v>43454</v>
      </c>
      <c r="D221" s="361">
        <v>65802</v>
      </c>
      <c r="E221" s="361">
        <f aca="true" t="shared" si="24" ref="E221:E230">D221-C221</f>
        <v>22348</v>
      </c>
      <c r="F221" s="362">
        <f aca="true" t="shared" si="25" ref="F221:F230">IF(C221=0,0,E221/C221)</f>
        <v>0.514290974363695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718</v>
      </c>
      <c r="C222" s="361">
        <v>13441</v>
      </c>
      <c r="D222" s="361">
        <v>15679</v>
      </c>
      <c r="E222" s="361">
        <f t="shared" si="24"/>
        <v>2238</v>
      </c>
      <c r="F222" s="362">
        <f t="shared" si="25"/>
        <v>0.16650546834312924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719</v>
      </c>
      <c r="C223" s="366">
        <f>IF(C221=0,0,C222/C221)</f>
        <v>0.3093155981037419</v>
      </c>
      <c r="D223" s="366">
        <f>IF(LN_IG1=0,0,LN_IG2/LN_IG1)</f>
        <v>0.2382754323576791</v>
      </c>
      <c r="E223" s="367">
        <f t="shared" si="24"/>
        <v>-0.07104016574606278</v>
      </c>
      <c r="F223" s="362">
        <f t="shared" si="25"/>
        <v>-0.22966887600099786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252</v>
      </c>
      <c r="C224" s="369">
        <v>1</v>
      </c>
      <c r="D224" s="369">
        <v>6</v>
      </c>
      <c r="E224" s="369">
        <f t="shared" si="24"/>
        <v>5</v>
      </c>
      <c r="F224" s="362">
        <f t="shared" si="25"/>
        <v>5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720</v>
      </c>
      <c r="C225" s="372">
        <v>1.99</v>
      </c>
      <c r="D225" s="372">
        <v>0.6283</v>
      </c>
      <c r="E225" s="373">
        <f t="shared" si="24"/>
        <v>-1.3617</v>
      </c>
      <c r="F225" s="362">
        <f t="shared" si="25"/>
        <v>-0.6842713567839196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721</v>
      </c>
      <c r="C226" s="376">
        <f>C224*C225</f>
        <v>1.99</v>
      </c>
      <c r="D226" s="376">
        <f>LN_IG3*LN_IG4</f>
        <v>3.7698</v>
      </c>
      <c r="E226" s="376">
        <f t="shared" si="24"/>
        <v>1.7798</v>
      </c>
      <c r="F226" s="362">
        <f t="shared" si="25"/>
        <v>0.8943718592964824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722</v>
      </c>
      <c r="C227" s="378">
        <f>IF(C226=0,0,C222/C226)</f>
        <v>6754.27135678392</v>
      </c>
      <c r="D227" s="378">
        <f>IF(LN_IG5=0,0,LN_IG2/LN_IG5)</f>
        <v>4159.1065839036555</v>
      </c>
      <c r="E227" s="378">
        <f t="shared" si="24"/>
        <v>-2595.1647728802645</v>
      </c>
      <c r="F227" s="362">
        <f t="shared" si="25"/>
        <v>-0.3842257196660759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254</v>
      </c>
      <c r="C228" s="369">
        <v>3</v>
      </c>
      <c r="D228" s="369">
        <v>17</v>
      </c>
      <c r="E228" s="369">
        <f t="shared" si="24"/>
        <v>14</v>
      </c>
      <c r="F228" s="362">
        <f t="shared" si="25"/>
        <v>4.666666666666667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723</v>
      </c>
      <c r="C229" s="378">
        <f>IF(C228=0,0,C222/C228)</f>
        <v>4480.333333333333</v>
      </c>
      <c r="D229" s="378">
        <f>IF(LN_IG6=0,0,LN_IG2/LN_IG6)</f>
        <v>922.2941176470588</v>
      </c>
      <c r="E229" s="378">
        <f t="shared" si="24"/>
        <v>-3558.0392156862745</v>
      </c>
      <c r="F229" s="362">
        <f t="shared" si="25"/>
        <v>-0.7941460938218008</v>
      </c>
      <c r="Q229" s="330"/>
      <c r="U229" s="375"/>
    </row>
    <row r="230" spans="1:21" ht="11.25" customHeight="1">
      <c r="A230" s="364">
        <v>10</v>
      </c>
      <c r="B230" s="360" t="s">
        <v>724</v>
      </c>
      <c r="C230" s="379">
        <f>IF(C224=0,0,C228/C224)</f>
        <v>3</v>
      </c>
      <c r="D230" s="379">
        <f>IF(LN_IG3=0,0,LN_IG6/LN_IG3)</f>
        <v>2.8333333333333335</v>
      </c>
      <c r="E230" s="379">
        <f t="shared" si="24"/>
        <v>-0.16666666666666652</v>
      </c>
      <c r="F230" s="362">
        <f t="shared" si="25"/>
        <v>-0.055555555555555504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786</v>
      </c>
      <c r="C232" s="330"/>
      <c r="Q232" s="330"/>
      <c r="U232" s="399"/>
    </row>
    <row r="233" spans="1:21" ht="11.25" customHeight="1">
      <c r="A233" s="364">
        <v>11</v>
      </c>
      <c r="B233" s="360" t="s">
        <v>726</v>
      </c>
      <c r="C233" s="361">
        <v>187002</v>
      </c>
      <c r="D233" s="361">
        <v>212408</v>
      </c>
      <c r="E233" s="361">
        <f>D233-C233</f>
        <v>25406</v>
      </c>
      <c r="F233" s="362">
        <f>IF(C233=0,0,E233/C233)</f>
        <v>0.1358595095239623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727</v>
      </c>
      <c r="C234" s="361">
        <v>57658</v>
      </c>
      <c r="D234" s="361">
        <v>62550</v>
      </c>
      <c r="E234" s="361">
        <f>D234-C234</f>
        <v>4892</v>
      </c>
      <c r="F234" s="362">
        <f>IF(C234=0,0,E234/C234)</f>
        <v>0.08484512123209269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787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733</v>
      </c>
      <c r="C237" s="361">
        <f>C221+C233</f>
        <v>230456</v>
      </c>
      <c r="D237" s="361">
        <f>LN_IG1+LN_IG9</f>
        <v>278210</v>
      </c>
      <c r="E237" s="361">
        <f>D237-C237</f>
        <v>47754</v>
      </c>
      <c r="F237" s="362">
        <f>IF(C237=0,0,E237/C237)</f>
        <v>0.2072152601798174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734</v>
      </c>
      <c r="C238" s="361">
        <f>C222+C234</f>
        <v>71099</v>
      </c>
      <c r="D238" s="361">
        <f>LN_IG2+LN_IG10</f>
        <v>78229</v>
      </c>
      <c r="E238" s="361">
        <f>D238-C238</f>
        <v>7130</v>
      </c>
      <c r="F238" s="362">
        <f>IF(C238=0,0,E238/C238)</f>
        <v>0.1002827043980928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735</v>
      </c>
      <c r="C239" s="361">
        <f>C237-C238</f>
        <v>159357</v>
      </c>
      <c r="D239" s="361">
        <f>LN_IG13-LN_IG14</f>
        <v>199981</v>
      </c>
      <c r="E239" s="361">
        <f>D239-C239</f>
        <v>40624</v>
      </c>
      <c r="F239" s="362">
        <f>IF(C239=0,0,E239/C239)</f>
        <v>0.2549244777449375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485</v>
      </c>
      <c r="B241" s="356" t="s">
        <v>788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789</v>
      </c>
      <c r="C243" s="361">
        <v>5244828</v>
      </c>
      <c r="D243" s="361">
        <v>3580001</v>
      </c>
      <c r="E243" s="353">
        <f>D243-C243</f>
        <v>-1664827</v>
      </c>
      <c r="F243" s="415">
        <f>IF(C243=0,0,E243/C243)</f>
        <v>-0.3174226113802016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790</v>
      </c>
      <c r="C244" s="361">
        <v>92150239</v>
      </c>
      <c r="D244" s="361">
        <v>98752754</v>
      </c>
      <c r="E244" s="353">
        <f>D244-C244</f>
        <v>6602515</v>
      </c>
      <c r="F244" s="415">
        <f>IF(C244=0,0,E244/C244)</f>
        <v>0.071649461484305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791</v>
      </c>
      <c r="C245" s="400">
        <v>303282</v>
      </c>
      <c r="D245" s="400">
        <v>319679</v>
      </c>
      <c r="E245" s="400">
        <f>D245-C245</f>
        <v>16397</v>
      </c>
      <c r="F245" s="401">
        <f>IF(C245=0,0,E245/C245)</f>
        <v>0.05406519345032016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792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793</v>
      </c>
      <c r="C248" s="353">
        <v>2581057</v>
      </c>
      <c r="D248" s="353">
        <v>1620381</v>
      </c>
      <c r="E248" s="353">
        <f>D248-C248</f>
        <v>-960676</v>
      </c>
      <c r="F248" s="362">
        <f>IF(C248=0,0,E248/C248)</f>
        <v>-0.37220255112537226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794</v>
      </c>
      <c r="C249" s="353">
        <v>4808441</v>
      </c>
      <c r="D249" s="353">
        <v>4081840</v>
      </c>
      <c r="E249" s="353">
        <f>D249-C249</f>
        <v>-726601</v>
      </c>
      <c r="F249" s="362">
        <f>IF(C249=0,0,E249/C249)</f>
        <v>-0.15110947602351782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795</v>
      </c>
      <c r="C250" s="353">
        <f>C248+C249</f>
        <v>7389498</v>
      </c>
      <c r="D250" s="353">
        <f>LN_IH4+LN_IH5</f>
        <v>5702221</v>
      </c>
      <c r="E250" s="353">
        <f>D250-C250</f>
        <v>-1687277</v>
      </c>
      <c r="F250" s="362">
        <f>IF(C250=0,0,E250/C250)</f>
        <v>-0.2283344551957386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796</v>
      </c>
      <c r="C251" s="353">
        <f>C250*C313</f>
        <v>2936695.267478133</v>
      </c>
      <c r="D251" s="353">
        <f>LN_IH6*LN_III10</f>
        <v>2134972.7198346076</v>
      </c>
      <c r="E251" s="353">
        <f>D251-C251</f>
        <v>-801722.5476435255</v>
      </c>
      <c r="F251" s="362">
        <f>IF(C251=0,0,E251/C251)</f>
        <v>-0.27300161393047745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797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733</v>
      </c>
      <c r="C254" s="353">
        <f>C188+C203</f>
        <v>10027969</v>
      </c>
      <c r="D254" s="353">
        <f>LN_IF23</f>
        <v>10949332</v>
      </c>
      <c r="E254" s="353">
        <f>D254-C254</f>
        <v>921363</v>
      </c>
      <c r="F254" s="362">
        <f>IF(C254=0,0,E254/C254)</f>
        <v>0.09187932272227806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734</v>
      </c>
      <c r="C255" s="353">
        <f>C189+C204</f>
        <v>3015596</v>
      </c>
      <c r="D255" s="353">
        <f>LN_IF24</f>
        <v>3135796</v>
      </c>
      <c r="E255" s="353">
        <f>D255-C255</f>
        <v>120200</v>
      </c>
      <c r="F255" s="362">
        <f>IF(C255=0,0,E255/C255)</f>
        <v>0.03985945066912146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798</v>
      </c>
      <c r="C256" s="353">
        <f>C254*C313</f>
        <v>3985262.4771963432</v>
      </c>
      <c r="D256" s="353">
        <f>LN_IH8*LN_III10</f>
        <v>4099547.3729292685</v>
      </c>
      <c r="E256" s="353">
        <f>D256-C256</f>
        <v>114284.89573292527</v>
      </c>
      <c r="F256" s="362">
        <f>IF(C256=0,0,E256/C256)</f>
        <v>0.028676880478227723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799</v>
      </c>
      <c r="C257" s="353">
        <f>C256-C255</f>
        <v>969666.4771963432</v>
      </c>
      <c r="D257" s="353">
        <f>LN_IH10-LN_IH9</f>
        <v>963751.3729292685</v>
      </c>
      <c r="E257" s="353">
        <f>D257-C257</f>
        <v>-5915.1042670747265</v>
      </c>
      <c r="F257" s="362">
        <f>IF(C257=0,0,E257/C257)</f>
        <v>-0.0061001430968073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159</v>
      </c>
      <c r="B258" s="349" t="s">
        <v>800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129</v>
      </c>
      <c r="B260" s="359" t="s">
        <v>801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802</v>
      </c>
      <c r="C261" s="361">
        <f>C15+C42+C188+C221</f>
        <v>75823607</v>
      </c>
      <c r="D261" s="361">
        <f>LN_IA1+LN_IB1+LN_IF1+LN_IG1</f>
        <v>73007025</v>
      </c>
      <c r="E261" s="361">
        <f aca="true" t="shared" si="26" ref="E261:E274">D261-C261</f>
        <v>-2816582</v>
      </c>
      <c r="F261" s="415">
        <f aca="true" t="shared" si="27" ref="F261:F274">IF(C261=0,0,E261/C261)</f>
        <v>-0.03714650504558561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803</v>
      </c>
      <c r="C262" s="361">
        <f>C16+C43+C189+C222</f>
        <v>28484484</v>
      </c>
      <c r="D262" s="361">
        <f>+LN_IA2+LN_IB2+LN_IF2+LN_IG2</f>
        <v>26296377</v>
      </c>
      <c r="E262" s="361">
        <f t="shared" si="26"/>
        <v>-2188107</v>
      </c>
      <c r="F262" s="415">
        <f t="shared" si="27"/>
        <v>-0.07681750527761008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804</v>
      </c>
      <c r="C263" s="366">
        <f>IF(C261=0,0,C262/C261)</f>
        <v>0.37566775212896425</v>
      </c>
      <c r="D263" s="366">
        <f>IF(LN_IIA1=0,0,LN_IIA2/LN_IIA1)</f>
        <v>0.36018968037664867</v>
      </c>
      <c r="E263" s="367">
        <f t="shared" si="26"/>
        <v>-0.01547807175231558</v>
      </c>
      <c r="F263" s="371">
        <f t="shared" si="27"/>
        <v>-0.041201491649467056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805</v>
      </c>
      <c r="C264" s="369">
        <f>C18+C45+C191+C224</f>
        <v>3032</v>
      </c>
      <c r="D264" s="369">
        <f>LN_IA4+LN_IB4+LN_IF4+LN_IG3</f>
        <v>2774</v>
      </c>
      <c r="E264" s="369">
        <f t="shared" si="26"/>
        <v>-258</v>
      </c>
      <c r="F264" s="415">
        <f t="shared" si="27"/>
        <v>-0.08509234828496043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806</v>
      </c>
      <c r="C265" s="439">
        <f>IF(C264=0,0,C266/C264)</f>
        <v>1.278953957783641</v>
      </c>
      <c r="D265" s="439">
        <f>IF(LN_IIA4=0,0,LN_IIA6/LN_IIA4)</f>
        <v>1.2982345710165824</v>
      </c>
      <c r="E265" s="439">
        <f t="shared" si="26"/>
        <v>0.01928061323294128</v>
      </c>
      <c r="F265" s="415">
        <f t="shared" si="27"/>
        <v>0.015075298931287217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807</v>
      </c>
      <c r="C266" s="376">
        <f>C20+C47+C193+C226</f>
        <v>3877.7884</v>
      </c>
      <c r="D266" s="376">
        <f>LN_IA6+LN_IB6+LN_IF6+LN_IG5</f>
        <v>3601.3026999999997</v>
      </c>
      <c r="E266" s="376">
        <f t="shared" si="26"/>
        <v>-276.4857000000002</v>
      </c>
      <c r="F266" s="415">
        <f t="shared" si="27"/>
        <v>-0.07129984194083416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808</v>
      </c>
      <c r="C267" s="361">
        <f>C27+C56+C203+C233</f>
        <v>139057828</v>
      </c>
      <c r="D267" s="361">
        <f>LN_IA11+LN_IB13+LN_IF14+LN_IG9</f>
        <v>157824683</v>
      </c>
      <c r="E267" s="361">
        <f t="shared" si="26"/>
        <v>18766855</v>
      </c>
      <c r="F267" s="415">
        <f t="shared" si="27"/>
        <v>0.1349571992451946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729</v>
      </c>
      <c r="C268" s="366">
        <f>IF(C261=0,0,C267/C261)</f>
        <v>1.8339648231190058</v>
      </c>
      <c r="D268" s="366">
        <f>IF(LN_IIA1=0,0,LN_IIA7/LN_IIA1)</f>
        <v>2.161773925180488</v>
      </c>
      <c r="E268" s="367">
        <f t="shared" si="26"/>
        <v>0.32780910206148217</v>
      </c>
      <c r="F268" s="371">
        <f t="shared" si="27"/>
        <v>0.17874339678117734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809</v>
      </c>
      <c r="C269" s="361">
        <f>C28+C57+C204+C234</f>
        <v>56609279</v>
      </c>
      <c r="D269" s="361">
        <f>LN_IA12+LN_IB14+LN_IF15+LN_IG10</f>
        <v>59809811</v>
      </c>
      <c r="E269" s="361">
        <f t="shared" si="26"/>
        <v>3200532</v>
      </c>
      <c r="F269" s="415">
        <f t="shared" si="27"/>
        <v>0.05653723305679269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728</v>
      </c>
      <c r="C270" s="366">
        <f>IF(C267=0,0,C269/C267)</f>
        <v>0.4070916381636566</v>
      </c>
      <c r="D270" s="366">
        <f>IF(LN_IIA7=0,0,LN_IIA9/LN_IIA7)</f>
        <v>0.3789636060919571</v>
      </c>
      <c r="E270" s="367">
        <f t="shared" si="26"/>
        <v>-0.028128032071699505</v>
      </c>
      <c r="F270" s="371">
        <f t="shared" si="27"/>
        <v>-0.06909508679318939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810</v>
      </c>
      <c r="C271" s="353">
        <f>C261+C267</f>
        <v>214881435</v>
      </c>
      <c r="D271" s="353">
        <f>LN_IIA1+LN_IIA7</f>
        <v>230831708</v>
      </c>
      <c r="E271" s="353">
        <f t="shared" si="26"/>
        <v>15950273</v>
      </c>
      <c r="F271" s="415">
        <f t="shared" si="27"/>
        <v>0.0742282505699015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811</v>
      </c>
      <c r="C272" s="353">
        <f>C262+C269</f>
        <v>85093763</v>
      </c>
      <c r="D272" s="353">
        <f>LN_IIA2+LN_IIA9</f>
        <v>86106188</v>
      </c>
      <c r="E272" s="353">
        <f t="shared" si="26"/>
        <v>1012425</v>
      </c>
      <c r="F272" s="415">
        <f t="shared" si="27"/>
        <v>0.01189775800607149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812</v>
      </c>
      <c r="C273" s="366">
        <f>IF(C271=0,0,C272/C271)</f>
        <v>0.3960033262063798</v>
      </c>
      <c r="D273" s="366">
        <f>IF(LN_IIA11=0,0,LN_IIA12/LN_IIA11)</f>
        <v>0.37302582364464415</v>
      </c>
      <c r="E273" s="367">
        <f t="shared" si="26"/>
        <v>-0.02297750256173564</v>
      </c>
      <c r="F273" s="371">
        <f t="shared" si="27"/>
        <v>-0.05802350899891372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254</v>
      </c>
      <c r="C274" s="421">
        <f>C22+C51+C198+C228</f>
        <v>11785</v>
      </c>
      <c r="D274" s="421">
        <f>LN_IA8+LN_IB10+LN_IF11+LN_IG6</f>
        <v>9874</v>
      </c>
      <c r="E274" s="442">
        <f t="shared" si="26"/>
        <v>-1911</v>
      </c>
      <c r="F274" s="371">
        <f t="shared" si="27"/>
        <v>-0.1621552821383114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141</v>
      </c>
      <c r="B276" s="359" t="s">
        <v>813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814</v>
      </c>
      <c r="C277" s="361">
        <f>C15+C188+C221</f>
        <v>44325223</v>
      </c>
      <c r="D277" s="361">
        <f>LN_IA1+LN_IF1+LN_IG1</f>
        <v>43459433</v>
      </c>
      <c r="E277" s="361">
        <f aca="true" t="shared" si="28" ref="E277:E291">D277-C277</f>
        <v>-865790</v>
      </c>
      <c r="F277" s="415">
        <f aca="true" t="shared" si="29" ref="F277:F291">IF(C277=0,0,E277/C277)</f>
        <v>-0.019532671048265227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815</v>
      </c>
      <c r="C278" s="361">
        <f>C16+C189+C222</f>
        <v>15320406</v>
      </c>
      <c r="D278" s="361">
        <f>LN_IA2+LN_IF2+LN_IG2</f>
        <v>14326895</v>
      </c>
      <c r="E278" s="361">
        <f t="shared" si="28"/>
        <v>-993511</v>
      </c>
      <c r="F278" s="415">
        <f t="shared" si="29"/>
        <v>-0.06484886888767831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816</v>
      </c>
      <c r="C279" s="366">
        <f>IF(C277=0,0,C278/C277)</f>
        <v>0.3456362983216125</v>
      </c>
      <c r="D279" s="366">
        <f>IF(D277=0,0,LN_IIB2/D277)</f>
        <v>0.3296613418771478</v>
      </c>
      <c r="E279" s="367">
        <f t="shared" si="28"/>
        <v>-0.015974956444464727</v>
      </c>
      <c r="F279" s="371">
        <f t="shared" si="29"/>
        <v>-0.04621897793153694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817</v>
      </c>
      <c r="C280" s="369">
        <f>C18+C191+C224</f>
        <v>1519</v>
      </c>
      <c r="D280" s="369">
        <f>LN_IA4+LN_IF4+LN_IG3</f>
        <v>1489</v>
      </c>
      <c r="E280" s="369">
        <f t="shared" si="28"/>
        <v>-30</v>
      </c>
      <c r="F280" s="415">
        <f t="shared" si="29"/>
        <v>-0.019749835418038184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818</v>
      </c>
      <c r="C281" s="439">
        <f>IF(C280=0,0,C282/C280)</f>
        <v>1.4330966425279787</v>
      </c>
      <c r="D281" s="439">
        <f>IF(LN_IIB4=0,0,LN_IIB6/LN_IIB4)</f>
        <v>1.4362573539288113</v>
      </c>
      <c r="E281" s="439">
        <f t="shared" si="28"/>
        <v>0.0031607114008325166</v>
      </c>
      <c r="F281" s="415">
        <f t="shared" si="29"/>
        <v>0.0022055116919798444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819</v>
      </c>
      <c r="C282" s="376">
        <f>C20+C193+C226</f>
        <v>2176.8738</v>
      </c>
      <c r="D282" s="376">
        <f>LN_IA6+LN_IF6+LN_IG5</f>
        <v>2138.5872</v>
      </c>
      <c r="E282" s="376">
        <f t="shared" si="28"/>
        <v>-38.28659999999991</v>
      </c>
      <c r="F282" s="415">
        <f t="shared" si="29"/>
        <v>-0.017587882218987574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820</v>
      </c>
      <c r="C283" s="361">
        <f>C27+C203+C233</f>
        <v>62968176</v>
      </c>
      <c r="D283" s="361">
        <f>LN_IA11+LN_IF14+LN_IG9</f>
        <v>72173246</v>
      </c>
      <c r="E283" s="361">
        <f t="shared" si="28"/>
        <v>9205070</v>
      </c>
      <c r="F283" s="415">
        <f t="shared" si="29"/>
        <v>0.14618606706981635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821</v>
      </c>
      <c r="C284" s="366">
        <f>IF(C277=0,0,C283/C277)</f>
        <v>1.4205946803696847</v>
      </c>
      <c r="D284" s="366">
        <f>IF(D277=0,0,LN_IIB7/D277)</f>
        <v>1.6607038108389496</v>
      </c>
      <c r="E284" s="367">
        <f t="shared" si="28"/>
        <v>0.24010913046926485</v>
      </c>
      <c r="F284" s="371">
        <f t="shared" si="29"/>
        <v>0.1690201531704882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822</v>
      </c>
      <c r="C285" s="361">
        <f>C28+C204+C234</f>
        <v>16226081</v>
      </c>
      <c r="D285" s="361">
        <f>LN_IA12+LN_IF15+LN_IG10</f>
        <v>15917535</v>
      </c>
      <c r="E285" s="361">
        <f t="shared" si="28"/>
        <v>-308546</v>
      </c>
      <c r="F285" s="415">
        <f t="shared" si="29"/>
        <v>-0.01901543570502329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823</v>
      </c>
      <c r="C286" s="366">
        <f>IF(C283=0,0,C285/C283)</f>
        <v>0.2576870100223326</v>
      </c>
      <c r="D286" s="366">
        <f>IF(LN_IIB7=0,0,LN_IIB9/LN_IIB7)</f>
        <v>0.22054619796371636</v>
      </c>
      <c r="E286" s="367">
        <f t="shared" si="28"/>
        <v>-0.03714081205861622</v>
      </c>
      <c r="F286" s="371">
        <f t="shared" si="29"/>
        <v>-0.14413148747931606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824</v>
      </c>
      <c r="C287" s="353">
        <f>C277+C283</f>
        <v>107293399</v>
      </c>
      <c r="D287" s="353">
        <f>D277+LN_IIB7</f>
        <v>115632679</v>
      </c>
      <c r="E287" s="353">
        <f t="shared" si="28"/>
        <v>8339280</v>
      </c>
      <c r="F287" s="415">
        <f t="shared" si="29"/>
        <v>0.07772407322094438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825</v>
      </c>
      <c r="C288" s="353">
        <f>C278+C285</f>
        <v>31546487</v>
      </c>
      <c r="D288" s="353">
        <f>LN_IIB2+LN_IIB9</f>
        <v>30244430</v>
      </c>
      <c r="E288" s="353">
        <f t="shared" si="28"/>
        <v>-1302057</v>
      </c>
      <c r="F288" s="415">
        <f t="shared" si="29"/>
        <v>-0.041274231263848805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826</v>
      </c>
      <c r="C289" s="366">
        <f>IF(C287=0,0,C288/C287)</f>
        <v>0.29402076263796995</v>
      </c>
      <c r="D289" s="366">
        <f>IF(LN_IIB11=0,0,LN_IIB12/LN_IIB11)</f>
        <v>0.26155607793191404</v>
      </c>
      <c r="E289" s="367">
        <f t="shared" si="28"/>
        <v>-0.0324646847060559</v>
      </c>
      <c r="F289" s="371">
        <f t="shared" si="29"/>
        <v>-0.11041629990610534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254</v>
      </c>
      <c r="C290" s="421">
        <f>C22+C198+C228</f>
        <v>7128</v>
      </c>
      <c r="D290" s="421">
        <f>LN_IA8+LN_IF11+LN_IG6</f>
        <v>6016</v>
      </c>
      <c r="E290" s="442">
        <f t="shared" si="28"/>
        <v>-1112</v>
      </c>
      <c r="F290" s="371">
        <f t="shared" si="29"/>
        <v>-0.15600448933782268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827</v>
      </c>
      <c r="C291" s="361">
        <f>C287-C288</f>
        <v>75746912</v>
      </c>
      <c r="D291" s="429">
        <f>LN_IIB11-LN_IIB12</f>
        <v>85388249</v>
      </c>
      <c r="E291" s="353">
        <f t="shared" si="28"/>
        <v>9641337</v>
      </c>
      <c r="F291" s="415">
        <f t="shared" si="29"/>
        <v>0.1272835650382685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151</v>
      </c>
      <c r="B293" s="358" t="s">
        <v>724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715</v>
      </c>
      <c r="C294" s="379">
        <f>IF(C18=0,0,C22/C18)</f>
        <v>4.858139534883721</v>
      </c>
      <c r="D294" s="379">
        <f>IF(LN_IA4=0,0,LN_IA8/LN_IA4)</f>
        <v>4.302884615384615</v>
      </c>
      <c r="E294" s="379">
        <f aca="true" t="shared" si="30" ref="E294:E300">D294-C294</f>
        <v>-0.5552549194991059</v>
      </c>
      <c r="F294" s="415">
        <f aca="true" t="shared" si="31" ref="F294:F300">IF(C294=0,0,E294/C294)</f>
        <v>-0.11429373642154884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736</v>
      </c>
      <c r="C295" s="379">
        <f>IF(C45=0,0,C51/C45)</f>
        <v>3.077990746860542</v>
      </c>
      <c r="D295" s="379">
        <f>IF(LN_IB4=0,0,(LN_IB10)/(LN_IB4))</f>
        <v>3.0023346303501945</v>
      </c>
      <c r="E295" s="379">
        <f t="shared" si="30"/>
        <v>-0.07565611651034754</v>
      </c>
      <c r="F295" s="415">
        <f t="shared" si="31"/>
        <v>-0.024579708885582096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751</v>
      </c>
      <c r="C296" s="379">
        <f>IF(C86=0,0,C93/C86)</f>
        <v>3.451219512195122</v>
      </c>
      <c r="D296" s="379">
        <f>IF(LN_IC4=0,0,LN_IC11/LN_IC4)</f>
        <v>3.15</v>
      </c>
      <c r="E296" s="379">
        <f t="shared" si="30"/>
        <v>-0.301219512195122</v>
      </c>
      <c r="F296" s="415">
        <f t="shared" si="31"/>
        <v>-0.08727915194346292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229</v>
      </c>
      <c r="C297" s="379">
        <f>IF(C121=0,0,C128/C121)</f>
        <v>3.443877551020408</v>
      </c>
      <c r="D297" s="379">
        <f>IF(LN_ID4=0,0,LN_ID11/LN_ID4)</f>
        <v>2.6634615384615383</v>
      </c>
      <c r="E297" s="379">
        <f t="shared" si="30"/>
        <v>-0.7804160125588697</v>
      </c>
      <c r="F297" s="415">
        <f t="shared" si="31"/>
        <v>-0.2266096866096866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828</v>
      </c>
      <c r="C298" s="379">
        <f>IF(C156=0,0,C163/C156)</f>
        <v>5.71875</v>
      </c>
      <c r="D298" s="379">
        <f>IF(LN_IE4=0,0,LN_IE11/LN_IE4)</f>
        <v>2.7777777777777777</v>
      </c>
      <c r="E298" s="379">
        <f t="shared" si="30"/>
        <v>-2.9409722222222223</v>
      </c>
      <c r="F298" s="415">
        <f t="shared" si="31"/>
        <v>-0.5142683667273832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533</v>
      </c>
      <c r="C299" s="379">
        <f>IF(C224=0,0,C228/C224)</f>
        <v>3</v>
      </c>
      <c r="D299" s="379">
        <f>IF(LN_IG3=0,0,LN_IG6/LN_IG3)</f>
        <v>2.8333333333333335</v>
      </c>
      <c r="E299" s="379">
        <f t="shared" si="30"/>
        <v>-0.16666666666666652</v>
      </c>
      <c r="F299" s="415">
        <f t="shared" si="31"/>
        <v>-0.055555555555555504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829</v>
      </c>
      <c r="C300" s="379">
        <f>IF(C264=0,0,C274/C264)</f>
        <v>3.8868733509234827</v>
      </c>
      <c r="D300" s="379">
        <f>IF(LN_IIA4=0,0,LN_IIA14/LN_IIA4)</f>
        <v>3.5594808940158615</v>
      </c>
      <c r="E300" s="379">
        <f t="shared" si="30"/>
        <v>-0.3273924569076212</v>
      </c>
      <c r="F300" s="415">
        <f t="shared" si="31"/>
        <v>-0.0842302867495891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250</v>
      </c>
      <c r="B302" s="446" t="s">
        <v>830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824</v>
      </c>
      <c r="C304" s="353">
        <f>C35+C66+C214+C221+C233</f>
        <v>214881435</v>
      </c>
      <c r="D304" s="353">
        <f>LN_IIA11</f>
        <v>230831708</v>
      </c>
      <c r="E304" s="353">
        <f aca="true" t="shared" si="32" ref="E304:E316">D304-C304</f>
        <v>15950273</v>
      </c>
      <c r="F304" s="362">
        <f>IF(C304=0,0,E304/C304)</f>
        <v>0.0742282505699015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827</v>
      </c>
      <c r="C305" s="353">
        <f>C291</f>
        <v>75746912</v>
      </c>
      <c r="D305" s="353">
        <f>LN_IIB14</f>
        <v>85388249</v>
      </c>
      <c r="E305" s="353">
        <f t="shared" si="32"/>
        <v>9641337</v>
      </c>
      <c r="F305" s="362">
        <f>IF(C305=0,0,E305/C305)</f>
        <v>0.1272835650382685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831</v>
      </c>
      <c r="C306" s="353">
        <f>C250</f>
        <v>7389498</v>
      </c>
      <c r="D306" s="353">
        <f>LN_IH6</f>
        <v>5702221</v>
      </c>
      <c r="E306" s="353">
        <f t="shared" si="32"/>
        <v>-1687277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832</v>
      </c>
      <c r="C307" s="353">
        <f>C73-C74</f>
        <v>46651262</v>
      </c>
      <c r="D307" s="353">
        <f>LN_IB32-LN_IB33</f>
        <v>53635049</v>
      </c>
      <c r="E307" s="353">
        <f t="shared" si="32"/>
        <v>6983787</v>
      </c>
      <c r="F307" s="362">
        <f aca="true" t="shared" si="33" ref="F307:F316">IF(C307=0,0,E307/C307)</f>
        <v>0.1497019952000441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833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834</v>
      </c>
      <c r="C309" s="353">
        <f>C305+C307+C308+C306</f>
        <v>129787672</v>
      </c>
      <c r="D309" s="353">
        <f>LN_III2+LN_III3+LN_III4+LN_III5</f>
        <v>144725519</v>
      </c>
      <c r="E309" s="353">
        <f t="shared" si="32"/>
        <v>14937847</v>
      </c>
      <c r="F309" s="362">
        <f t="shared" si="33"/>
        <v>0.1150944983434174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835</v>
      </c>
      <c r="C310" s="353">
        <f>C304-C309</f>
        <v>85093763</v>
      </c>
      <c r="D310" s="353">
        <f>LN_III1-LN_III6</f>
        <v>86106189</v>
      </c>
      <c r="E310" s="353">
        <f t="shared" si="32"/>
        <v>1012426</v>
      </c>
      <c r="F310" s="362">
        <f t="shared" si="33"/>
        <v>0.011897769757814095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836</v>
      </c>
      <c r="C311" s="353">
        <f>C245</f>
        <v>303282</v>
      </c>
      <c r="D311" s="353">
        <f>LN_IH3</f>
        <v>319679</v>
      </c>
      <c r="E311" s="353">
        <f t="shared" si="32"/>
        <v>16397</v>
      </c>
      <c r="F311" s="362">
        <f t="shared" si="33"/>
        <v>0.05406519345032016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837</v>
      </c>
      <c r="C312" s="353">
        <f>C310+C311</f>
        <v>85397045</v>
      </c>
      <c r="D312" s="353">
        <f>LN_III7+LN_III8</f>
        <v>86425868</v>
      </c>
      <c r="E312" s="353">
        <f t="shared" si="32"/>
        <v>1028823</v>
      </c>
      <c r="F312" s="362">
        <f t="shared" si="33"/>
        <v>0.012047524595259707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838</v>
      </c>
      <c r="C313" s="448">
        <f>IF(C304=0,0,C312/C304)</f>
        <v>0.3974147184934799</v>
      </c>
      <c r="D313" s="448">
        <f>IF(LN_III1=0,0,LN_III9/LN_III1)</f>
        <v>0.37441072870283487</v>
      </c>
      <c r="E313" s="448">
        <f t="shared" si="32"/>
        <v>-0.023003989790645052</v>
      </c>
      <c r="F313" s="362">
        <f t="shared" si="33"/>
        <v>-0.05788409115255871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796</v>
      </c>
      <c r="C314" s="353">
        <f>C306*C313</f>
        <v>2936695.267478133</v>
      </c>
      <c r="D314" s="353">
        <f>D313*LN_III5</f>
        <v>2134972.7198346076</v>
      </c>
      <c r="E314" s="353">
        <f t="shared" si="32"/>
        <v>-801722.5476435255</v>
      </c>
      <c r="F314" s="362">
        <f t="shared" si="33"/>
        <v>-0.27300161393047745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799</v>
      </c>
      <c r="C315" s="353">
        <f>(C214*C313)-C215</f>
        <v>969666.4771963432</v>
      </c>
      <c r="D315" s="353">
        <f>D313*LN_IH8-LN_IH9</f>
        <v>963751.3729292685</v>
      </c>
      <c r="E315" s="353">
        <f t="shared" si="32"/>
        <v>-5915.1042670747265</v>
      </c>
      <c r="F315" s="362">
        <f t="shared" si="33"/>
        <v>-0.0061001430968073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839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840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841</v>
      </c>
      <c r="C318" s="353">
        <f>C314+C315+C316</f>
        <v>3906361.7446744763</v>
      </c>
      <c r="D318" s="353">
        <f>D314+D315+D316</f>
        <v>3098724.092763876</v>
      </c>
      <c r="E318" s="353">
        <f>D318-C318</f>
        <v>-807637.6519106003</v>
      </c>
      <c r="F318" s="362">
        <f>IF(C318=0,0,E318/C318)</f>
        <v>-0.20674932448630715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259</v>
      </c>
      <c r="B320" s="445" t="s">
        <v>842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229</v>
      </c>
      <c r="C322" s="353">
        <f>C141</f>
        <v>1540590.4869019554</v>
      </c>
      <c r="D322" s="353">
        <f>LN_ID22</f>
        <v>2192937.972001938</v>
      </c>
      <c r="E322" s="353">
        <f>LN_IV2-C322</f>
        <v>652347.4850999827</v>
      </c>
      <c r="F322" s="362">
        <f>IF(C322=0,0,E322/C322)</f>
        <v>0.42343990219738303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828</v>
      </c>
      <c r="C323" s="353">
        <f>C162+C176</f>
        <v>-49302.55265483851</v>
      </c>
      <c r="D323" s="353">
        <f>LN_IE10+LN_IE22</f>
        <v>180767.61329669092</v>
      </c>
      <c r="E323" s="353">
        <f>LN_IV3-C323</f>
        <v>230070.16595152943</v>
      </c>
      <c r="F323" s="362">
        <f>IF(C323=0,0,E323/C323)</f>
        <v>-4.66649602429765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843</v>
      </c>
      <c r="C324" s="353">
        <f>C92+C106</f>
        <v>623348.0128048834</v>
      </c>
      <c r="D324" s="353">
        <f>LN_IC10+LN_IC22</f>
        <v>1367556.8107238133</v>
      </c>
      <c r="E324" s="353">
        <f>LN_IV1-C324</f>
        <v>744208.7979189298</v>
      </c>
      <c r="F324" s="362">
        <f>IF(C324=0,0,E324/C324)</f>
        <v>1.1938897415750285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844</v>
      </c>
      <c r="C325" s="429">
        <f>C324+C322+C323</f>
        <v>2114635.947052</v>
      </c>
      <c r="D325" s="429">
        <f>LN_IV1+LN_IV2+LN_IV3</f>
        <v>3741262.3960224423</v>
      </c>
      <c r="E325" s="353">
        <f>LN_IV4-C325</f>
        <v>1626626.4489704422</v>
      </c>
      <c r="F325" s="362">
        <f>IF(C325=0,0,E325/C325)</f>
        <v>0.7692229252217675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845</v>
      </c>
      <c r="B327" s="446" t="s">
        <v>846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847</v>
      </c>
      <c r="C329" s="431">
        <v>0</v>
      </c>
      <c r="D329" s="431">
        <v>0</v>
      </c>
      <c r="E329" s="431">
        <f aca="true" t="shared" si="34" ref="E329:E335">D329-C329</f>
        <v>0</v>
      </c>
      <c r="F329" s="462">
        <f aca="true" t="shared" si="35" ref="F329:F335">IF(C329=0,0,E329/C329)</f>
        <v>0</v>
      </c>
    </row>
    <row r="330" spans="1:6" s="333" customFormat="1" ht="11.25" customHeight="1">
      <c r="A330" s="364">
        <v>2</v>
      </c>
      <c r="B330" s="360" t="s">
        <v>848</v>
      </c>
      <c r="C330" s="429">
        <v>3730727</v>
      </c>
      <c r="D330" s="429">
        <v>3220173</v>
      </c>
      <c r="E330" s="431">
        <f t="shared" si="34"/>
        <v>-510554</v>
      </c>
      <c r="F330" s="463">
        <f t="shared" si="35"/>
        <v>-0.13685107487092998</v>
      </c>
    </row>
    <row r="331" spans="1:6" s="333" customFormat="1" ht="11.25" customHeight="1">
      <c r="A331" s="339">
        <v>3</v>
      </c>
      <c r="B331" s="360" t="s">
        <v>849</v>
      </c>
      <c r="C331" s="429">
        <v>89127772</v>
      </c>
      <c r="D331" s="429">
        <v>89646041</v>
      </c>
      <c r="E331" s="431">
        <f t="shared" si="34"/>
        <v>518269</v>
      </c>
      <c r="F331" s="462">
        <f t="shared" si="35"/>
        <v>0.0058148990866730066</v>
      </c>
    </row>
    <row r="332" spans="1:6" s="333" customFormat="1" ht="11.25" customHeight="1">
      <c r="A332" s="364">
        <v>4</v>
      </c>
      <c r="B332" s="360" t="s">
        <v>850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851</v>
      </c>
      <c r="C333" s="429">
        <v>214881435</v>
      </c>
      <c r="D333" s="429">
        <v>230831708</v>
      </c>
      <c r="E333" s="431">
        <f t="shared" si="34"/>
        <v>15950273</v>
      </c>
      <c r="F333" s="462">
        <f t="shared" si="35"/>
        <v>0.0742282505699015</v>
      </c>
    </row>
    <row r="334" spans="1:6" s="333" customFormat="1" ht="11.25" customHeight="1">
      <c r="A334" s="339">
        <v>6</v>
      </c>
      <c r="B334" s="360" t="s">
        <v>852</v>
      </c>
      <c r="C334" s="429">
        <v>410301</v>
      </c>
      <c r="D334" s="429">
        <v>904175</v>
      </c>
      <c r="E334" s="429">
        <f t="shared" si="34"/>
        <v>493874</v>
      </c>
      <c r="F334" s="463">
        <f t="shared" si="35"/>
        <v>1.2036870492638332</v>
      </c>
    </row>
    <row r="335" spans="1:6" s="333" customFormat="1" ht="11.25" customHeight="1">
      <c r="A335" s="364">
        <v>7</v>
      </c>
      <c r="B335" s="360" t="s">
        <v>853</v>
      </c>
      <c r="C335" s="429">
        <v>7799799</v>
      </c>
      <c r="D335" s="429">
        <v>6606397</v>
      </c>
      <c r="E335" s="429">
        <f t="shared" si="34"/>
        <v>-1193402</v>
      </c>
      <c r="F335" s="462">
        <f t="shared" si="35"/>
        <v>-0.15300419921077454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FILING&amp;RNEW MILFORD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293">
      <selection activeCell="B16" sqref="B16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115</v>
      </c>
      <c r="B2" s="710"/>
      <c r="C2" s="710"/>
      <c r="D2" s="710"/>
      <c r="E2" s="710"/>
    </row>
    <row r="3" spans="1:5" s="338" customFormat="1" ht="15.75" customHeight="1">
      <c r="A3" s="709" t="s">
        <v>706</v>
      </c>
      <c r="B3" s="709"/>
      <c r="C3" s="709"/>
      <c r="D3" s="709"/>
      <c r="E3" s="709"/>
    </row>
    <row r="4" spans="1:5" s="338" customFormat="1" ht="15.75" customHeight="1">
      <c r="A4" s="709" t="s">
        <v>117</v>
      </c>
      <c r="B4" s="709"/>
      <c r="C4" s="709"/>
      <c r="D4" s="709"/>
      <c r="E4" s="709"/>
    </row>
    <row r="5" spans="1:5" s="338" customFormat="1" ht="15.75" customHeight="1">
      <c r="A5" s="709" t="s">
        <v>854</v>
      </c>
      <c r="B5" s="709"/>
      <c r="C5" s="709"/>
      <c r="D5" s="709"/>
      <c r="E5" s="709"/>
    </row>
    <row r="6" spans="1:5" s="338" customFormat="1" ht="15.75" customHeight="1">
      <c r="A6" s="709" t="s">
        <v>855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123</v>
      </c>
      <c r="B9" s="493" t="s">
        <v>124</v>
      </c>
      <c r="C9" s="494" t="s">
        <v>856</v>
      </c>
      <c r="D9" s="494" t="s">
        <v>857</v>
      </c>
      <c r="E9" s="495" t="s">
        <v>858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127</v>
      </c>
      <c r="B11" s="501" t="s">
        <v>859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129</v>
      </c>
      <c r="B13" s="509" t="s">
        <v>860</v>
      </c>
      <c r="C13" s="510"/>
      <c r="D13" s="340"/>
      <c r="E13" s="511"/>
    </row>
    <row r="14" spans="1:5" s="506" customFormat="1" ht="12.75">
      <c r="A14" s="512">
        <v>1</v>
      </c>
      <c r="B14" s="511" t="s">
        <v>736</v>
      </c>
      <c r="C14" s="513">
        <v>31498384</v>
      </c>
      <c r="D14" s="513">
        <v>29547592</v>
      </c>
      <c r="E14" s="514">
        <f aca="true" t="shared" si="0" ref="E14:E22">D14-C14</f>
        <v>-1950792</v>
      </c>
    </row>
    <row r="15" spans="1:5" s="506" customFormat="1" ht="12.75">
      <c r="A15" s="512">
        <v>2</v>
      </c>
      <c r="B15" s="511" t="s">
        <v>715</v>
      </c>
      <c r="C15" s="513">
        <v>40621318</v>
      </c>
      <c r="D15" s="515">
        <v>40456850</v>
      </c>
      <c r="E15" s="514">
        <f t="shared" si="0"/>
        <v>-164468</v>
      </c>
    </row>
    <row r="16" spans="1:5" s="506" customFormat="1" ht="12.75">
      <c r="A16" s="512">
        <v>3</v>
      </c>
      <c r="B16" s="511" t="s">
        <v>861</v>
      </c>
      <c r="C16" s="513">
        <v>3660451</v>
      </c>
      <c r="D16" s="515">
        <v>2936781</v>
      </c>
      <c r="E16" s="514">
        <f t="shared" si="0"/>
        <v>-723670</v>
      </c>
    </row>
    <row r="17" spans="1:5" s="506" customFormat="1" ht="12.75">
      <c r="A17" s="512">
        <v>4</v>
      </c>
      <c r="B17" s="511" t="s">
        <v>229</v>
      </c>
      <c r="C17" s="513">
        <v>2484872</v>
      </c>
      <c r="D17" s="515">
        <v>2441592</v>
      </c>
      <c r="E17" s="514">
        <f t="shared" si="0"/>
        <v>-43280</v>
      </c>
    </row>
    <row r="18" spans="1:5" s="506" customFormat="1" ht="12.75">
      <c r="A18" s="512">
        <v>5</v>
      </c>
      <c r="B18" s="511" t="s">
        <v>828</v>
      </c>
      <c r="C18" s="513">
        <v>1175579</v>
      </c>
      <c r="D18" s="515">
        <v>495189</v>
      </c>
      <c r="E18" s="514">
        <f t="shared" si="0"/>
        <v>-680390</v>
      </c>
    </row>
    <row r="19" spans="1:5" s="506" customFormat="1" ht="12.75">
      <c r="A19" s="512">
        <v>6</v>
      </c>
      <c r="B19" s="511" t="s">
        <v>533</v>
      </c>
      <c r="C19" s="513">
        <v>43454</v>
      </c>
      <c r="D19" s="515">
        <v>65802</v>
      </c>
      <c r="E19" s="514">
        <f t="shared" si="0"/>
        <v>22348</v>
      </c>
    </row>
    <row r="20" spans="1:5" s="506" customFormat="1" ht="12.75">
      <c r="A20" s="512">
        <v>7</v>
      </c>
      <c r="B20" s="511" t="s">
        <v>843</v>
      </c>
      <c r="C20" s="513">
        <v>1452803</v>
      </c>
      <c r="D20" s="515">
        <v>1206064</v>
      </c>
      <c r="E20" s="514">
        <f t="shared" si="0"/>
        <v>-246739</v>
      </c>
    </row>
    <row r="21" spans="1:5" s="506" customFormat="1" ht="12.75">
      <c r="A21" s="512"/>
      <c r="B21" s="516" t="s">
        <v>862</v>
      </c>
      <c r="C21" s="517">
        <f>SUM(C15+C16+C19)</f>
        <v>44325223</v>
      </c>
      <c r="D21" s="517">
        <f>SUM(D15+D16+D19)</f>
        <v>43459433</v>
      </c>
      <c r="E21" s="517">
        <f t="shared" si="0"/>
        <v>-865790</v>
      </c>
    </row>
    <row r="22" spans="1:5" s="506" customFormat="1" ht="12.75">
      <c r="A22" s="512"/>
      <c r="B22" s="516" t="s">
        <v>802</v>
      </c>
      <c r="C22" s="517">
        <f>SUM(C14+C21)</f>
        <v>75823607</v>
      </c>
      <c r="D22" s="517">
        <f>SUM(D14+D21)</f>
        <v>73007025</v>
      </c>
      <c r="E22" s="517">
        <f t="shared" si="0"/>
        <v>-2816582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141</v>
      </c>
      <c r="B24" s="509" t="s">
        <v>863</v>
      </c>
      <c r="C24" s="511"/>
      <c r="D24" s="511"/>
      <c r="E24" s="511"/>
    </row>
    <row r="25" spans="1:5" s="506" customFormat="1" ht="12.75">
      <c r="A25" s="512">
        <v>1</v>
      </c>
      <c r="B25" s="511" t="s">
        <v>736</v>
      </c>
      <c r="C25" s="513">
        <v>76089652</v>
      </c>
      <c r="D25" s="513">
        <v>85651437</v>
      </c>
      <c r="E25" s="514">
        <f aca="true" t="shared" si="1" ref="E25:E33">D25-C25</f>
        <v>9561785</v>
      </c>
    </row>
    <row r="26" spans="1:5" s="506" customFormat="1" ht="12.75">
      <c r="A26" s="512">
        <v>2</v>
      </c>
      <c r="B26" s="511" t="s">
        <v>715</v>
      </c>
      <c r="C26" s="513">
        <v>56413656</v>
      </c>
      <c r="D26" s="515">
        <v>63948287</v>
      </c>
      <c r="E26" s="514">
        <f t="shared" si="1"/>
        <v>7534631</v>
      </c>
    </row>
    <row r="27" spans="1:5" s="506" customFormat="1" ht="12.75">
      <c r="A27" s="512">
        <v>3</v>
      </c>
      <c r="B27" s="511" t="s">
        <v>861</v>
      </c>
      <c r="C27" s="513">
        <v>6367518</v>
      </c>
      <c r="D27" s="515">
        <v>8012551</v>
      </c>
      <c r="E27" s="514">
        <f t="shared" si="1"/>
        <v>1645033</v>
      </c>
    </row>
    <row r="28" spans="1:5" s="506" customFormat="1" ht="12.75">
      <c r="A28" s="512">
        <v>4</v>
      </c>
      <c r="B28" s="511" t="s">
        <v>229</v>
      </c>
      <c r="C28" s="513">
        <v>5117350</v>
      </c>
      <c r="D28" s="515">
        <v>6989617</v>
      </c>
      <c r="E28" s="514">
        <f t="shared" si="1"/>
        <v>1872267</v>
      </c>
    </row>
    <row r="29" spans="1:5" s="506" customFormat="1" ht="12.75">
      <c r="A29" s="512">
        <v>5</v>
      </c>
      <c r="B29" s="511" t="s">
        <v>828</v>
      </c>
      <c r="C29" s="513">
        <v>1250168</v>
      </c>
      <c r="D29" s="515">
        <v>1022934</v>
      </c>
      <c r="E29" s="514">
        <f t="shared" si="1"/>
        <v>-227234</v>
      </c>
    </row>
    <row r="30" spans="1:5" s="506" customFormat="1" ht="12.75">
      <c r="A30" s="512">
        <v>6</v>
      </c>
      <c r="B30" s="511" t="s">
        <v>533</v>
      </c>
      <c r="C30" s="513">
        <v>187002</v>
      </c>
      <c r="D30" s="515">
        <v>212408</v>
      </c>
      <c r="E30" s="514">
        <f t="shared" si="1"/>
        <v>25406</v>
      </c>
    </row>
    <row r="31" spans="1:5" s="506" customFormat="1" ht="12.75">
      <c r="A31" s="512">
        <v>7</v>
      </c>
      <c r="B31" s="511" t="s">
        <v>843</v>
      </c>
      <c r="C31" s="514">
        <v>3756696</v>
      </c>
      <c r="D31" s="518">
        <v>3396201</v>
      </c>
      <c r="E31" s="514">
        <f t="shared" si="1"/>
        <v>-360495</v>
      </c>
    </row>
    <row r="32" spans="1:5" s="506" customFormat="1" ht="12.75">
      <c r="A32" s="512"/>
      <c r="B32" s="516" t="s">
        <v>864</v>
      </c>
      <c r="C32" s="517">
        <f>SUM(C26+C27+C30)</f>
        <v>62968176</v>
      </c>
      <c r="D32" s="517">
        <f>SUM(D26+D27+D30)</f>
        <v>72173246</v>
      </c>
      <c r="E32" s="517">
        <f t="shared" si="1"/>
        <v>9205070</v>
      </c>
    </row>
    <row r="33" spans="1:5" s="506" customFormat="1" ht="12.75">
      <c r="A33" s="512"/>
      <c r="B33" s="516" t="s">
        <v>808</v>
      </c>
      <c r="C33" s="517">
        <f>SUM(C25+C32)</f>
        <v>139057828</v>
      </c>
      <c r="D33" s="517">
        <f>SUM(D25+D32)</f>
        <v>157824683</v>
      </c>
      <c r="E33" s="517">
        <f t="shared" si="1"/>
        <v>18766855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151</v>
      </c>
      <c r="B35" s="509" t="s">
        <v>733</v>
      </c>
      <c r="C35" s="514"/>
      <c r="D35" s="514"/>
      <c r="E35" s="511"/>
    </row>
    <row r="36" spans="1:5" s="506" customFormat="1" ht="12.75">
      <c r="A36" s="512">
        <v>1</v>
      </c>
      <c r="B36" s="511" t="s">
        <v>865</v>
      </c>
      <c r="C36" s="514">
        <f aca="true" t="shared" si="2" ref="C36:D42">C14+C25</f>
        <v>107588036</v>
      </c>
      <c r="D36" s="514">
        <f t="shared" si="2"/>
        <v>115199029</v>
      </c>
      <c r="E36" s="514">
        <f aca="true" t="shared" si="3" ref="E36:E44">D36-C36</f>
        <v>7610993</v>
      </c>
    </row>
    <row r="37" spans="1:5" s="506" customFormat="1" ht="12.75">
      <c r="A37" s="512">
        <v>2</v>
      </c>
      <c r="B37" s="511" t="s">
        <v>866</v>
      </c>
      <c r="C37" s="514">
        <f t="shared" si="2"/>
        <v>97034974</v>
      </c>
      <c r="D37" s="514">
        <f t="shared" si="2"/>
        <v>104405137</v>
      </c>
      <c r="E37" s="514">
        <f t="shared" si="3"/>
        <v>7370163</v>
      </c>
    </row>
    <row r="38" spans="1:5" s="506" customFormat="1" ht="12.75">
      <c r="A38" s="512">
        <v>3</v>
      </c>
      <c r="B38" s="511" t="s">
        <v>867</v>
      </c>
      <c r="C38" s="514">
        <f t="shared" si="2"/>
        <v>10027969</v>
      </c>
      <c r="D38" s="514">
        <f t="shared" si="2"/>
        <v>10949332</v>
      </c>
      <c r="E38" s="514">
        <f t="shared" si="3"/>
        <v>921363</v>
      </c>
    </row>
    <row r="39" spans="1:5" s="506" customFormat="1" ht="12.75">
      <c r="A39" s="512">
        <v>4</v>
      </c>
      <c r="B39" s="511" t="s">
        <v>868</v>
      </c>
      <c r="C39" s="514">
        <f t="shared" si="2"/>
        <v>7602222</v>
      </c>
      <c r="D39" s="514">
        <f t="shared" si="2"/>
        <v>9431209</v>
      </c>
      <c r="E39" s="514">
        <f t="shared" si="3"/>
        <v>1828987</v>
      </c>
    </row>
    <row r="40" spans="1:5" s="506" customFormat="1" ht="12.75">
      <c r="A40" s="512">
        <v>5</v>
      </c>
      <c r="B40" s="511" t="s">
        <v>869</v>
      </c>
      <c r="C40" s="514">
        <f t="shared" si="2"/>
        <v>2425747</v>
      </c>
      <c r="D40" s="514">
        <f t="shared" si="2"/>
        <v>1518123</v>
      </c>
      <c r="E40" s="514">
        <f t="shared" si="3"/>
        <v>-907624</v>
      </c>
    </row>
    <row r="41" spans="1:5" s="506" customFormat="1" ht="12.75">
      <c r="A41" s="512">
        <v>6</v>
      </c>
      <c r="B41" s="511" t="s">
        <v>870</v>
      </c>
      <c r="C41" s="514">
        <f t="shared" si="2"/>
        <v>230456</v>
      </c>
      <c r="D41" s="514">
        <f t="shared" si="2"/>
        <v>278210</v>
      </c>
      <c r="E41" s="514">
        <f t="shared" si="3"/>
        <v>47754</v>
      </c>
    </row>
    <row r="42" spans="1:5" s="506" customFormat="1" ht="12.75">
      <c r="A42" s="512">
        <v>7</v>
      </c>
      <c r="B42" s="511" t="s">
        <v>871</v>
      </c>
      <c r="C42" s="514">
        <f t="shared" si="2"/>
        <v>5209499</v>
      </c>
      <c r="D42" s="514">
        <f t="shared" si="2"/>
        <v>4602265</v>
      </c>
      <c r="E42" s="514">
        <f t="shared" si="3"/>
        <v>-607234</v>
      </c>
    </row>
    <row r="43" spans="1:5" s="506" customFormat="1" ht="12.75">
      <c r="A43" s="512"/>
      <c r="B43" s="516" t="s">
        <v>872</v>
      </c>
      <c r="C43" s="517">
        <f>SUM(C37+C38+C41)</f>
        <v>107293399</v>
      </c>
      <c r="D43" s="517">
        <f>SUM(D37+D38+D41)</f>
        <v>115632679</v>
      </c>
      <c r="E43" s="517">
        <f t="shared" si="3"/>
        <v>8339280</v>
      </c>
    </row>
    <row r="44" spans="1:5" s="506" customFormat="1" ht="12.75">
      <c r="A44" s="512"/>
      <c r="B44" s="516" t="s">
        <v>810</v>
      </c>
      <c r="C44" s="517">
        <f>SUM(C36+C43)</f>
        <v>214881435</v>
      </c>
      <c r="D44" s="517">
        <f>SUM(D36+D43)</f>
        <v>230831708</v>
      </c>
      <c r="E44" s="517">
        <f t="shared" si="3"/>
        <v>15950273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436</v>
      </c>
      <c r="B46" s="509" t="s">
        <v>873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736</v>
      </c>
      <c r="C47" s="513">
        <v>13164078</v>
      </c>
      <c r="D47" s="513">
        <v>11969482</v>
      </c>
      <c r="E47" s="514">
        <f aca="true" t="shared" si="4" ref="E47:E55">D47-C47</f>
        <v>-1194596</v>
      </c>
    </row>
    <row r="48" spans="1:5" s="506" customFormat="1" ht="12.75">
      <c r="A48" s="512">
        <v>2</v>
      </c>
      <c r="B48" s="511" t="s">
        <v>715</v>
      </c>
      <c r="C48" s="513">
        <v>14281920</v>
      </c>
      <c r="D48" s="515">
        <v>13356718</v>
      </c>
      <c r="E48" s="514">
        <f t="shared" si="4"/>
        <v>-925202</v>
      </c>
    </row>
    <row r="49" spans="1:5" s="506" customFormat="1" ht="12.75">
      <c r="A49" s="512">
        <v>3</v>
      </c>
      <c r="B49" s="511" t="s">
        <v>861</v>
      </c>
      <c r="C49" s="513">
        <v>1025045</v>
      </c>
      <c r="D49" s="515">
        <v>954498</v>
      </c>
      <c r="E49" s="514">
        <f t="shared" si="4"/>
        <v>-70547</v>
      </c>
    </row>
    <row r="50" spans="1:5" s="506" customFormat="1" ht="12.75">
      <c r="A50" s="512">
        <v>4</v>
      </c>
      <c r="B50" s="511" t="s">
        <v>229</v>
      </c>
      <c r="C50" s="513">
        <v>708388</v>
      </c>
      <c r="D50" s="515">
        <v>810165</v>
      </c>
      <c r="E50" s="514">
        <f t="shared" si="4"/>
        <v>101777</v>
      </c>
    </row>
    <row r="51" spans="1:5" s="506" customFormat="1" ht="12.75">
      <c r="A51" s="512">
        <v>5</v>
      </c>
      <c r="B51" s="511" t="s">
        <v>828</v>
      </c>
      <c r="C51" s="513">
        <v>316657</v>
      </c>
      <c r="D51" s="515">
        <v>144333</v>
      </c>
      <c r="E51" s="514">
        <f t="shared" si="4"/>
        <v>-172324</v>
      </c>
    </row>
    <row r="52" spans="1:5" s="506" customFormat="1" ht="12.75">
      <c r="A52" s="512">
        <v>6</v>
      </c>
      <c r="B52" s="511" t="s">
        <v>533</v>
      </c>
      <c r="C52" s="513">
        <v>13441</v>
      </c>
      <c r="D52" s="515">
        <v>15679</v>
      </c>
      <c r="E52" s="514">
        <f t="shared" si="4"/>
        <v>2238</v>
      </c>
    </row>
    <row r="53" spans="1:5" s="506" customFormat="1" ht="12.75">
      <c r="A53" s="512">
        <v>7</v>
      </c>
      <c r="B53" s="511" t="s">
        <v>843</v>
      </c>
      <c r="C53" s="513">
        <v>464817</v>
      </c>
      <c r="D53" s="515">
        <v>65680</v>
      </c>
      <c r="E53" s="514">
        <f t="shared" si="4"/>
        <v>-399137</v>
      </c>
    </row>
    <row r="54" spans="1:5" s="506" customFormat="1" ht="12.75">
      <c r="A54" s="512"/>
      <c r="B54" s="516" t="s">
        <v>874</v>
      </c>
      <c r="C54" s="517">
        <f>SUM(C48+C49+C52)</f>
        <v>15320406</v>
      </c>
      <c r="D54" s="517">
        <f>SUM(D48+D49+D52)</f>
        <v>14326895</v>
      </c>
      <c r="E54" s="517">
        <f t="shared" si="4"/>
        <v>-993511</v>
      </c>
    </row>
    <row r="55" spans="1:5" s="506" customFormat="1" ht="12.75">
      <c r="A55" s="512"/>
      <c r="B55" s="516" t="s">
        <v>803</v>
      </c>
      <c r="C55" s="517">
        <f>SUM(C47+C54)</f>
        <v>28484484</v>
      </c>
      <c r="D55" s="517">
        <f>SUM(D47+D54)</f>
        <v>26296377</v>
      </c>
      <c r="E55" s="517">
        <f t="shared" si="4"/>
        <v>-2188107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457</v>
      </c>
      <c r="B57" s="509" t="s">
        <v>875</v>
      </c>
      <c r="C57" s="499"/>
      <c r="D57" s="515"/>
      <c r="E57" s="511"/>
    </row>
    <row r="58" spans="1:5" s="506" customFormat="1" ht="12.75">
      <c r="A58" s="512">
        <v>1</v>
      </c>
      <c r="B58" s="511" t="s">
        <v>736</v>
      </c>
      <c r="C58" s="513">
        <v>40383198</v>
      </c>
      <c r="D58" s="513">
        <v>43892276</v>
      </c>
      <c r="E58" s="514">
        <f aca="true" t="shared" si="5" ref="E58:E66">D58-C58</f>
        <v>3509078</v>
      </c>
    </row>
    <row r="59" spans="1:5" s="506" customFormat="1" ht="12.75">
      <c r="A59" s="512">
        <v>2</v>
      </c>
      <c r="B59" s="511" t="s">
        <v>715</v>
      </c>
      <c r="C59" s="513">
        <v>14177872</v>
      </c>
      <c r="D59" s="515">
        <v>13673687</v>
      </c>
      <c r="E59" s="514">
        <f t="shared" si="5"/>
        <v>-504185</v>
      </c>
    </row>
    <row r="60" spans="1:5" s="506" customFormat="1" ht="12.75">
      <c r="A60" s="512">
        <v>3</v>
      </c>
      <c r="B60" s="511" t="s">
        <v>861</v>
      </c>
      <c r="C60" s="513">
        <f>C61+C62</f>
        <v>1990551</v>
      </c>
      <c r="D60" s="515">
        <f>D61+D62</f>
        <v>2181298</v>
      </c>
      <c r="E60" s="514">
        <f t="shared" si="5"/>
        <v>190747</v>
      </c>
    </row>
    <row r="61" spans="1:5" s="506" customFormat="1" ht="12.75">
      <c r="A61" s="512">
        <v>4</v>
      </c>
      <c r="B61" s="511" t="s">
        <v>229</v>
      </c>
      <c r="C61" s="513">
        <v>1653802</v>
      </c>
      <c r="D61" s="515">
        <v>1934474</v>
      </c>
      <c r="E61" s="514">
        <f t="shared" si="5"/>
        <v>280672</v>
      </c>
    </row>
    <row r="62" spans="1:5" s="506" customFormat="1" ht="12.75">
      <c r="A62" s="512">
        <v>5</v>
      </c>
      <c r="B62" s="511" t="s">
        <v>828</v>
      </c>
      <c r="C62" s="513">
        <v>336749</v>
      </c>
      <c r="D62" s="515">
        <v>246824</v>
      </c>
      <c r="E62" s="514">
        <f t="shared" si="5"/>
        <v>-89925</v>
      </c>
    </row>
    <row r="63" spans="1:5" s="506" customFormat="1" ht="12.75">
      <c r="A63" s="512">
        <v>6</v>
      </c>
      <c r="B63" s="511" t="s">
        <v>533</v>
      </c>
      <c r="C63" s="513">
        <v>57658</v>
      </c>
      <c r="D63" s="515">
        <v>62550</v>
      </c>
      <c r="E63" s="514">
        <f t="shared" si="5"/>
        <v>4892</v>
      </c>
    </row>
    <row r="64" spans="1:5" s="506" customFormat="1" ht="12.75">
      <c r="A64" s="512">
        <v>7</v>
      </c>
      <c r="B64" s="511" t="s">
        <v>843</v>
      </c>
      <c r="C64" s="513">
        <v>1201937</v>
      </c>
      <c r="D64" s="515">
        <v>184951</v>
      </c>
      <c r="E64" s="514">
        <f t="shared" si="5"/>
        <v>-1016986</v>
      </c>
    </row>
    <row r="65" spans="1:5" s="506" customFormat="1" ht="12.75">
      <c r="A65" s="512"/>
      <c r="B65" s="516" t="s">
        <v>876</v>
      </c>
      <c r="C65" s="517">
        <f>SUM(C59+C60+C63)</f>
        <v>16226081</v>
      </c>
      <c r="D65" s="517">
        <f>SUM(D59+D60+D63)</f>
        <v>15917535</v>
      </c>
      <c r="E65" s="517">
        <f t="shared" si="5"/>
        <v>-308546</v>
      </c>
    </row>
    <row r="66" spans="1:5" s="506" customFormat="1" ht="12.75">
      <c r="A66" s="512"/>
      <c r="B66" s="516" t="s">
        <v>809</v>
      </c>
      <c r="C66" s="517">
        <f>SUM(C58+C65)</f>
        <v>56609279</v>
      </c>
      <c r="D66" s="517">
        <f>SUM(D58+D65)</f>
        <v>59809811</v>
      </c>
      <c r="E66" s="517">
        <f t="shared" si="5"/>
        <v>3200532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469</v>
      </c>
      <c r="B68" s="521" t="s">
        <v>734</v>
      </c>
      <c r="C68" s="511"/>
      <c r="D68" s="511"/>
      <c r="E68" s="511"/>
    </row>
    <row r="69" spans="1:5" s="506" customFormat="1" ht="12.75">
      <c r="A69" s="512">
        <v>1</v>
      </c>
      <c r="B69" s="511" t="s">
        <v>865</v>
      </c>
      <c r="C69" s="514">
        <f aca="true" t="shared" si="6" ref="C69:D75">C47+C58</f>
        <v>53547276</v>
      </c>
      <c r="D69" s="514">
        <f t="shared" si="6"/>
        <v>55861758</v>
      </c>
      <c r="E69" s="514">
        <f aca="true" t="shared" si="7" ref="E69:E77">D69-C69</f>
        <v>2314482</v>
      </c>
    </row>
    <row r="70" spans="1:5" s="506" customFormat="1" ht="12.75">
      <c r="A70" s="512">
        <v>2</v>
      </c>
      <c r="B70" s="511" t="s">
        <v>866</v>
      </c>
      <c r="C70" s="514">
        <f t="shared" si="6"/>
        <v>28459792</v>
      </c>
      <c r="D70" s="514">
        <f t="shared" si="6"/>
        <v>27030405</v>
      </c>
      <c r="E70" s="514">
        <f t="shared" si="7"/>
        <v>-1429387</v>
      </c>
    </row>
    <row r="71" spans="1:5" s="506" customFormat="1" ht="12.75">
      <c r="A71" s="512">
        <v>3</v>
      </c>
      <c r="B71" s="511" t="s">
        <v>867</v>
      </c>
      <c r="C71" s="514">
        <f t="shared" si="6"/>
        <v>3015596</v>
      </c>
      <c r="D71" s="514">
        <f t="shared" si="6"/>
        <v>3135796</v>
      </c>
      <c r="E71" s="514">
        <f t="shared" si="7"/>
        <v>120200</v>
      </c>
    </row>
    <row r="72" spans="1:5" s="506" customFormat="1" ht="12.75">
      <c r="A72" s="512">
        <v>4</v>
      </c>
      <c r="B72" s="511" t="s">
        <v>868</v>
      </c>
      <c r="C72" s="514">
        <f t="shared" si="6"/>
        <v>2362190</v>
      </c>
      <c r="D72" s="514">
        <f t="shared" si="6"/>
        <v>2744639</v>
      </c>
      <c r="E72" s="514">
        <f t="shared" si="7"/>
        <v>382449</v>
      </c>
    </row>
    <row r="73" spans="1:5" s="506" customFormat="1" ht="12.75">
      <c r="A73" s="512">
        <v>5</v>
      </c>
      <c r="B73" s="511" t="s">
        <v>869</v>
      </c>
      <c r="C73" s="514">
        <f t="shared" si="6"/>
        <v>653406</v>
      </c>
      <c r="D73" s="514">
        <f t="shared" si="6"/>
        <v>391157</v>
      </c>
      <c r="E73" s="514">
        <f t="shared" si="7"/>
        <v>-262249</v>
      </c>
    </row>
    <row r="74" spans="1:5" s="506" customFormat="1" ht="12.75">
      <c r="A74" s="512">
        <v>6</v>
      </c>
      <c r="B74" s="511" t="s">
        <v>870</v>
      </c>
      <c r="C74" s="514">
        <f t="shared" si="6"/>
        <v>71099</v>
      </c>
      <c r="D74" s="514">
        <f t="shared" si="6"/>
        <v>78229</v>
      </c>
      <c r="E74" s="514">
        <f t="shared" si="7"/>
        <v>7130</v>
      </c>
    </row>
    <row r="75" spans="1:5" s="506" customFormat="1" ht="12.75">
      <c r="A75" s="512">
        <v>7</v>
      </c>
      <c r="B75" s="511" t="s">
        <v>871</v>
      </c>
      <c r="C75" s="514">
        <f t="shared" si="6"/>
        <v>1666754</v>
      </c>
      <c r="D75" s="514">
        <f t="shared" si="6"/>
        <v>250631</v>
      </c>
      <c r="E75" s="514">
        <f t="shared" si="7"/>
        <v>-1416123</v>
      </c>
    </row>
    <row r="76" spans="1:5" s="506" customFormat="1" ht="12.75">
      <c r="A76" s="512"/>
      <c r="B76" s="516" t="s">
        <v>877</v>
      </c>
      <c r="C76" s="517">
        <f>SUM(C70+C71+C74)</f>
        <v>31546487</v>
      </c>
      <c r="D76" s="517">
        <f>SUM(D70+D71+D74)</f>
        <v>30244430</v>
      </c>
      <c r="E76" s="517">
        <f t="shared" si="7"/>
        <v>-1302057</v>
      </c>
    </row>
    <row r="77" spans="1:5" s="506" customFormat="1" ht="12.75">
      <c r="A77" s="512"/>
      <c r="B77" s="516" t="s">
        <v>811</v>
      </c>
      <c r="C77" s="517">
        <f>SUM(C69+C76)</f>
        <v>85093763</v>
      </c>
      <c r="D77" s="517">
        <f>SUM(D69+D76)</f>
        <v>86106188</v>
      </c>
      <c r="E77" s="517">
        <f t="shared" si="7"/>
        <v>1012425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159</v>
      </c>
      <c r="B79" s="501" t="s">
        <v>878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129</v>
      </c>
      <c r="B81" s="522" t="s">
        <v>879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736</v>
      </c>
      <c r="C83" s="523">
        <f aca="true" t="shared" si="8" ref="C83:D89">IF(C$44=0,0,C14/C$44)</f>
        <v>0.14658494811336306</v>
      </c>
      <c r="D83" s="523">
        <f t="shared" si="8"/>
        <v>0.1280049099667018</v>
      </c>
      <c r="E83" s="523">
        <f aca="true" t="shared" si="9" ref="E83:E91">D83-C83</f>
        <v>-0.01858003814666126</v>
      </c>
    </row>
    <row r="84" spans="1:5" s="506" customFormat="1" ht="12.75">
      <c r="A84" s="512">
        <v>2</v>
      </c>
      <c r="B84" s="511" t="s">
        <v>715</v>
      </c>
      <c r="C84" s="523">
        <f t="shared" si="8"/>
        <v>0.18904061209382747</v>
      </c>
      <c r="D84" s="523">
        <f t="shared" si="8"/>
        <v>0.17526556620202283</v>
      </c>
      <c r="E84" s="523">
        <f t="shared" si="9"/>
        <v>-0.013775045891804644</v>
      </c>
    </row>
    <row r="85" spans="1:5" s="506" customFormat="1" ht="12.75">
      <c r="A85" s="512">
        <v>3</v>
      </c>
      <c r="B85" s="511" t="s">
        <v>861</v>
      </c>
      <c r="C85" s="523">
        <f t="shared" si="8"/>
        <v>0.017034747557414628</v>
      </c>
      <c r="D85" s="523">
        <f t="shared" si="8"/>
        <v>0.01272260654935673</v>
      </c>
      <c r="E85" s="523">
        <f t="shared" si="9"/>
        <v>-0.004312141008057898</v>
      </c>
    </row>
    <row r="86" spans="1:5" s="506" customFormat="1" ht="12.75">
      <c r="A86" s="512">
        <v>4</v>
      </c>
      <c r="B86" s="511" t="s">
        <v>229</v>
      </c>
      <c r="C86" s="523">
        <f t="shared" si="8"/>
        <v>0.01156392128524272</v>
      </c>
      <c r="D86" s="523">
        <f t="shared" si="8"/>
        <v>0.010577368339708338</v>
      </c>
      <c r="E86" s="523">
        <f t="shared" si="9"/>
        <v>-0.0009865529455343816</v>
      </c>
    </row>
    <row r="87" spans="1:5" s="506" customFormat="1" ht="12.75">
      <c r="A87" s="512">
        <v>5</v>
      </c>
      <c r="B87" s="511" t="s">
        <v>828</v>
      </c>
      <c r="C87" s="523">
        <f t="shared" si="8"/>
        <v>0.005470826272171907</v>
      </c>
      <c r="D87" s="523">
        <f t="shared" si="8"/>
        <v>0.00214523820964839</v>
      </c>
      <c r="E87" s="523">
        <f t="shared" si="9"/>
        <v>-0.003325588062523517</v>
      </c>
    </row>
    <row r="88" spans="1:5" s="506" customFormat="1" ht="12.75">
      <c r="A88" s="512">
        <v>6</v>
      </c>
      <c r="B88" s="511" t="s">
        <v>533</v>
      </c>
      <c r="C88" s="523">
        <f t="shared" si="8"/>
        <v>0.00020222314691820632</v>
      </c>
      <c r="D88" s="523">
        <f t="shared" si="8"/>
        <v>0.0002850648230701477</v>
      </c>
      <c r="E88" s="523">
        <f t="shared" si="9"/>
        <v>8.284167615194138E-05</v>
      </c>
    </row>
    <row r="89" spans="1:5" s="506" customFormat="1" ht="12.75">
      <c r="A89" s="512">
        <v>7</v>
      </c>
      <c r="B89" s="511" t="s">
        <v>843</v>
      </c>
      <c r="C89" s="523">
        <f t="shared" si="8"/>
        <v>0.006760951684820981</v>
      </c>
      <c r="D89" s="523">
        <f t="shared" si="8"/>
        <v>0.00522486278184971</v>
      </c>
      <c r="E89" s="523">
        <f t="shared" si="9"/>
        <v>-0.0015360889029712704</v>
      </c>
    </row>
    <row r="90" spans="1:5" s="506" customFormat="1" ht="12.75">
      <c r="A90" s="512"/>
      <c r="B90" s="516" t="s">
        <v>880</v>
      </c>
      <c r="C90" s="524">
        <f>SUM(C84+C85+C88)</f>
        <v>0.2062775827981603</v>
      </c>
      <c r="D90" s="524">
        <f>SUM(D84+D85+D88)</f>
        <v>0.1882732375744497</v>
      </c>
      <c r="E90" s="525">
        <f t="shared" si="9"/>
        <v>-0.01800434522371061</v>
      </c>
    </row>
    <row r="91" spans="1:5" s="506" customFormat="1" ht="12.75">
      <c r="A91" s="512"/>
      <c r="B91" s="516" t="s">
        <v>881</v>
      </c>
      <c r="C91" s="524">
        <f>SUM(C83+C90)</f>
        <v>0.35286253091152336</v>
      </c>
      <c r="D91" s="524">
        <f>SUM(D83+D90)</f>
        <v>0.31627814754115147</v>
      </c>
      <c r="E91" s="525">
        <f t="shared" si="9"/>
        <v>-0.0365843833703719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141</v>
      </c>
      <c r="B93" s="522" t="s">
        <v>882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736</v>
      </c>
      <c r="C95" s="523">
        <f aca="true" t="shared" si="10" ref="C95:D101">IF(C$44=0,0,C25/C$44)</f>
        <v>0.3541006322858929</v>
      </c>
      <c r="D95" s="523">
        <f t="shared" si="10"/>
        <v>0.371055769339973</v>
      </c>
      <c r="E95" s="523">
        <f aca="true" t="shared" si="11" ref="E95:E103">D95-C95</f>
        <v>0.016955137054080083</v>
      </c>
    </row>
    <row r="96" spans="1:5" s="506" customFormat="1" ht="12.75">
      <c r="A96" s="512">
        <v>2</v>
      </c>
      <c r="B96" s="511" t="s">
        <v>715</v>
      </c>
      <c r="C96" s="523">
        <f t="shared" si="10"/>
        <v>0.2625338759488459</v>
      </c>
      <c r="D96" s="523">
        <f t="shared" si="10"/>
        <v>0.277034240893803</v>
      </c>
      <c r="E96" s="523">
        <f t="shared" si="11"/>
        <v>0.0145003649449571</v>
      </c>
    </row>
    <row r="97" spans="1:5" s="506" customFormat="1" ht="12.75">
      <c r="A97" s="512">
        <v>3</v>
      </c>
      <c r="B97" s="511" t="s">
        <v>861</v>
      </c>
      <c r="C97" s="523">
        <f t="shared" si="10"/>
        <v>0.02963270419336133</v>
      </c>
      <c r="D97" s="523">
        <f t="shared" si="10"/>
        <v>0.0347116566845314</v>
      </c>
      <c r="E97" s="523">
        <f t="shared" si="11"/>
        <v>0.005078952491170068</v>
      </c>
    </row>
    <row r="98" spans="1:5" s="506" customFormat="1" ht="12.75">
      <c r="A98" s="512">
        <v>4</v>
      </c>
      <c r="B98" s="511" t="s">
        <v>229</v>
      </c>
      <c r="C98" s="523">
        <f t="shared" si="10"/>
        <v>0.023814760916874927</v>
      </c>
      <c r="D98" s="523">
        <f t="shared" si="10"/>
        <v>0.030280142449060767</v>
      </c>
      <c r="E98" s="523">
        <f t="shared" si="11"/>
        <v>0.00646538153218584</v>
      </c>
    </row>
    <row r="99" spans="1:5" s="506" customFormat="1" ht="12.75">
      <c r="A99" s="512">
        <v>5</v>
      </c>
      <c r="B99" s="511" t="s">
        <v>828</v>
      </c>
      <c r="C99" s="523">
        <f t="shared" si="10"/>
        <v>0.005817943276486403</v>
      </c>
      <c r="D99" s="523">
        <f t="shared" si="10"/>
        <v>0.004431514235470631</v>
      </c>
      <c r="E99" s="523">
        <f t="shared" si="11"/>
        <v>-0.0013864290410157722</v>
      </c>
    </row>
    <row r="100" spans="1:5" s="506" customFormat="1" ht="12.75">
      <c r="A100" s="512">
        <v>6</v>
      </c>
      <c r="B100" s="511" t="s">
        <v>533</v>
      </c>
      <c r="C100" s="523">
        <f t="shared" si="10"/>
        <v>0.0008702566603764536</v>
      </c>
      <c r="D100" s="523">
        <f t="shared" si="10"/>
        <v>0.0009201855405410768</v>
      </c>
      <c r="E100" s="523">
        <f t="shared" si="11"/>
        <v>4.9928880164623124E-05</v>
      </c>
    </row>
    <row r="101" spans="1:5" s="506" customFormat="1" ht="12.75">
      <c r="A101" s="512">
        <v>7</v>
      </c>
      <c r="B101" s="511" t="s">
        <v>843</v>
      </c>
      <c r="C101" s="523">
        <f t="shared" si="10"/>
        <v>0.017482645720417866</v>
      </c>
      <c r="D101" s="523">
        <f t="shared" si="10"/>
        <v>0.01471288771124979</v>
      </c>
      <c r="E101" s="523">
        <f t="shared" si="11"/>
        <v>-0.002769758009168075</v>
      </c>
    </row>
    <row r="102" spans="1:5" s="506" customFormat="1" ht="12.75">
      <c r="A102" s="512"/>
      <c r="B102" s="516" t="s">
        <v>883</v>
      </c>
      <c r="C102" s="524">
        <f>SUM(C96+C97+C100)</f>
        <v>0.2930368368025837</v>
      </c>
      <c r="D102" s="524">
        <f>SUM(D96+D97+D100)</f>
        <v>0.3126660831188755</v>
      </c>
      <c r="E102" s="525">
        <f t="shared" si="11"/>
        <v>0.019629246316291815</v>
      </c>
    </row>
    <row r="103" spans="1:5" s="506" customFormat="1" ht="12.75">
      <c r="A103" s="512"/>
      <c r="B103" s="516" t="s">
        <v>884</v>
      </c>
      <c r="C103" s="524">
        <f>SUM(C95+C102)</f>
        <v>0.6471374690884766</v>
      </c>
      <c r="D103" s="524">
        <f>SUM(D95+D102)</f>
        <v>0.6837218524588484</v>
      </c>
      <c r="E103" s="525">
        <f t="shared" si="11"/>
        <v>0.03658438337037184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885</v>
      </c>
      <c r="C105" s="525">
        <f>C91+C103</f>
        <v>1</v>
      </c>
      <c r="D105" s="525">
        <f>D91+D103</f>
        <v>0.9999999999999999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151</v>
      </c>
      <c r="B107" s="522" t="s">
        <v>886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736</v>
      </c>
      <c r="C109" s="523">
        <f aca="true" t="shared" si="12" ref="C109:D115">IF(C$77=0,0,C47/C$77)</f>
        <v>0.15470085627779795</v>
      </c>
      <c r="D109" s="523">
        <f t="shared" si="12"/>
        <v>0.13900838346252187</v>
      </c>
      <c r="E109" s="523">
        <f aca="true" t="shared" si="13" ref="E109:E117">D109-C109</f>
        <v>-0.01569247281527608</v>
      </c>
    </row>
    <row r="110" spans="1:5" s="506" customFormat="1" ht="12.75">
      <c r="A110" s="512">
        <v>2</v>
      </c>
      <c r="B110" s="511" t="s">
        <v>715</v>
      </c>
      <c r="C110" s="523">
        <f t="shared" si="12"/>
        <v>0.16783744773397788</v>
      </c>
      <c r="D110" s="523">
        <f t="shared" si="12"/>
        <v>0.1551191419599251</v>
      </c>
      <c r="E110" s="523">
        <f t="shared" si="13"/>
        <v>-0.01271830577405278</v>
      </c>
    </row>
    <row r="111" spans="1:5" s="506" customFormat="1" ht="12.75">
      <c r="A111" s="512">
        <v>3</v>
      </c>
      <c r="B111" s="511" t="s">
        <v>861</v>
      </c>
      <c r="C111" s="523">
        <f t="shared" si="12"/>
        <v>0.012046064997736673</v>
      </c>
      <c r="D111" s="523">
        <f t="shared" si="12"/>
        <v>0.01108512665779607</v>
      </c>
      <c r="E111" s="523">
        <f t="shared" si="13"/>
        <v>-0.0009609383399406032</v>
      </c>
    </row>
    <row r="112" spans="1:5" s="506" customFormat="1" ht="12.75">
      <c r="A112" s="512">
        <v>4</v>
      </c>
      <c r="B112" s="511" t="s">
        <v>229</v>
      </c>
      <c r="C112" s="523">
        <f t="shared" si="12"/>
        <v>0.00832479343991404</v>
      </c>
      <c r="D112" s="523">
        <f t="shared" si="12"/>
        <v>0.009408905664247963</v>
      </c>
      <c r="E112" s="523">
        <f t="shared" si="13"/>
        <v>0.0010841122243339229</v>
      </c>
    </row>
    <row r="113" spans="1:5" s="506" customFormat="1" ht="12.75">
      <c r="A113" s="512">
        <v>5</v>
      </c>
      <c r="B113" s="511" t="s">
        <v>828</v>
      </c>
      <c r="C113" s="523">
        <f t="shared" si="12"/>
        <v>0.003721271557822634</v>
      </c>
      <c r="D113" s="523">
        <f t="shared" si="12"/>
        <v>0.001676220993548106</v>
      </c>
      <c r="E113" s="523">
        <f t="shared" si="13"/>
        <v>-0.002045050564274528</v>
      </c>
    </row>
    <row r="114" spans="1:5" s="506" customFormat="1" ht="12.75">
      <c r="A114" s="512">
        <v>6</v>
      </c>
      <c r="B114" s="511" t="s">
        <v>533</v>
      </c>
      <c r="C114" s="523">
        <f t="shared" si="12"/>
        <v>0.00015795517234324212</v>
      </c>
      <c r="D114" s="523">
        <f t="shared" si="12"/>
        <v>0.00018208912000610222</v>
      </c>
      <c r="E114" s="523">
        <f t="shared" si="13"/>
        <v>2.4133947662860098E-05</v>
      </c>
    </row>
    <row r="115" spans="1:5" s="506" customFormat="1" ht="12.75">
      <c r="A115" s="512">
        <v>7</v>
      </c>
      <c r="B115" s="511" t="s">
        <v>843</v>
      </c>
      <c r="C115" s="523">
        <f t="shared" si="12"/>
        <v>0.005462409742062999</v>
      </c>
      <c r="D115" s="523">
        <f t="shared" si="12"/>
        <v>0.0007627790931820139</v>
      </c>
      <c r="E115" s="523">
        <f t="shared" si="13"/>
        <v>-0.004699630648880985</v>
      </c>
    </row>
    <row r="116" spans="1:5" s="506" customFormat="1" ht="12.75">
      <c r="A116" s="512"/>
      <c r="B116" s="516" t="s">
        <v>880</v>
      </c>
      <c r="C116" s="524">
        <f>SUM(C110+C111+C114)</f>
        <v>0.18004146790405778</v>
      </c>
      <c r="D116" s="524">
        <f>SUM(D110+D111+D114)</f>
        <v>0.16638635773772728</v>
      </c>
      <c r="E116" s="525">
        <f t="shared" si="13"/>
        <v>-0.013655110166330503</v>
      </c>
    </row>
    <row r="117" spans="1:5" s="506" customFormat="1" ht="12.75">
      <c r="A117" s="512"/>
      <c r="B117" s="516" t="s">
        <v>881</v>
      </c>
      <c r="C117" s="524">
        <f>SUM(C109+C116)</f>
        <v>0.33474232418185573</v>
      </c>
      <c r="D117" s="524">
        <f>SUM(D109+D116)</f>
        <v>0.3053947412002491</v>
      </c>
      <c r="E117" s="525">
        <f t="shared" si="13"/>
        <v>-0.029347582981606612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436</v>
      </c>
      <c r="B119" s="522" t="s">
        <v>887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736</v>
      </c>
      <c r="C121" s="523">
        <f aca="true" t="shared" si="14" ref="C121:D127">IF(C$77=0,0,C58/C$77)</f>
        <v>0.47457294843101483</v>
      </c>
      <c r="D121" s="523">
        <f t="shared" si="14"/>
        <v>0.5097458965434633</v>
      </c>
      <c r="E121" s="523">
        <f aca="true" t="shared" si="15" ref="E121:E129">D121-C121</f>
        <v>0.03517294811244842</v>
      </c>
    </row>
    <row r="122" spans="1:5" s="506" customFormat="1" ht="12.75">
      <c r="A122" s="512">
        <v>2</v>
      </c>
      <c r="B122" s="511" t="s">
        <v>715</v>
      </c>
      <c r="C122" s="523">
        <f t="shared" si="14"/>
        <v>0.1666147024194946</v>
      </c>
      <c r="D122" s="523">
        <f t="shared" si="14"/>
        <v>0.15880028273926144</v>
      </c>
      <c r="E122" s="523">
        <f t="shared" si="15"/>
        <v>-0.007814419680233164</v>
      </c>
    </row>
    <row r="123" spans="1:5" s="506" customFormat="1" ht="12.75">
      <c r="A123" s="512">
        <v>3</v>
      </c>
      <c r="B123" s="511" t="s">
        <v>861</v>
      </c>
      <c r="C123" s="523">
        <f t="shared" si="14"/>
        <v>0.02339244299256104</v>
      </c>
      <c r="D123" s="523">
        <f t="shared" si="14"/>
        <v>0.02533265088915561</v>
      </c>
      <c r="E123" s="523">
        <f t="shared" si="15"/>
        <v>0.0019402078965945688</v>
      </c>
    </row>
    <row r="124" spans="1:5" s="506" customFormat="1" ht="12.75">
      <c r="A124" s="512">
        <v>4</v>
      </c>
      <c r="B124" s="511" t="s">
        <v>229</v>
      </c>
      <c r="C124" s="523">
        <f t="shared" si="14"/>
        <v>0.01943505542233454</v>
      </c>
      <c r="D124" s="523">
        <f t="shared" si="14"/>
        <v>0.02246614378051436</v>
      </c>
      <c r="E124" s="523">
        <f t="shared" si="15"/>
        <v>0.0030310883581798204</v>
      </c>
    </row>
    <row r="125" spans="1:5" s="506" customFormat="1" ht="12.75">
      <c r="A125" s="512">
        <v>5</v>
      </c>
      <c r="B125" s="511" t="s">
        <v>828</v>
      </c>
      <c r="C125" s="523">
        <f t="shared" si="14"/>
        <v>0.003957387570226504</v>
      </c>
      <c r="D125" s="523">
        <f t="shared" si="14"/>
        <v>0.0028665071086412513</v>
      </c>
      <c r="E125" s="523">
        <f t="shared" si="15"/>
        <v>-0.0010908804615852525</v>
      </c>
    </row>
    <row r="126" spans="1:5" s="506" customFormat="1" ht="12.75">
      <c r="A126" s="512">
        <v>6</v>
      </c>
      <c r="B126" s="511" t="s">
        <v>533</v>
      </c>
      <c r="C126" s="523">
        <f t="shared" si="14"/>
        <v>0.0006775819750737784</v>
      </c>
      <c r="D126" s="523">
        <f t="shared" si="14"/>
        <v>0.000726428627870508</v>
      </c>
      <c r="E126" s="523">
        <f t="shared" si="15"/>
        <v>4.884665279672961E-05</v>
      </c>
    </row>
    <row r="127" spans="1:5" s="506" customFormat="1" ht="12.75">
      <c r="A127" s="512">
        <v>7</v>
      </c>
      <c r="B127" s="511" t="s">
        <v>843</v>
      </c>
      <c r="C127" s="523">
        <f t="shared" si="14"/>
        <v>0.014124854250481319</v>
      </c>
      <c r="D127" s="523">
        <f t="shared" si="14"/>
        <v>0.0021479408657598454</v>
      </c>
      <c r="E127" s="523">
        <f t="shared" si="15"/>
        <v>-0.011976913384721474</v>
      </c>
    </row>
    <row r="128" spans="1:5" s="506" customFormat="1" ht="12.75">
      <c r="A128" s="512"/>
      <c r="B128" s="516" t="s">
        <v>883</v>
      </c>
      <c r="C128" s="524">
        <f>SUM(C122+C123+C126)</f>
        <v>0.19068472738712944</v>
      </c>
      <c r="D128" s="524">
        <f>SUM(D122+D123+D126)</f>
        <v>0.18485936225628755</v>
      </c>
      <c r="E128" s="525">
        <f t="shared" si="15"/>
        <v>-0.005825365130841892</v>
      </c>
    </row>
    <row r="129" spans="1:5" s="506" customFormat="1" ht="12.75">
      <c r="A129" s="512"/>
      <c r="B129" s="516" t="s">
        <v>884</v>
      </c>
      <c r="C129" s="524">
        <f>SUM(C121+C128)</f>
        <v>0.6652576758181443</v>
      </c>
      <c r="D129" s="524">
        <f>SUM(D121+D128)</f>
        <v>0.6946052587997508</v>
      </c>
      <c r="E129" s="525">
        <f t="shared" si="15"/>
        <v>0.029347582981606446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888</v>
      </c>
      <c r="C131" s="525">
        <f>C117+C129</f>
        <v>1</v>
      </c>
      <c r="D131" s="525">
        <f>D117+D129</f>
        <v>0.9999999999999999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250</v>
      </c>
      <c r="B133" s="501" t="s">
        <v>889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129</v>
      </c>
      <c r="B135" s="509" t="s">
        <v>890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736</v>
      </c>
      <c r="C137" s="530">
        <v>1513</v>
      </c>
      <c r="D137" s="530">
        <v>1285</v>
      </c>
      <c r="E137" s="531">
        <f aca="true" t="shared" si="16" ref="E137:E145">D137-C137</f>
        <v>-228</v>
      </c>
    </row>
    <row r="138" spans="1:5" s="506" customFormat="1" ht="12.75">
      <c r="A138" s="512">
        <v>2</v>
      </c>
      <c r="B138" s="511" t="s">
        <v>715</v>
      </c>
      <c r="C138" s="530">
        <v>1290</v>
      </c>
      <c r="D138" s="530">
        <v>1248</v>
      </c>
      <c r="E138" s="531">
        <f t="shared" si="16"/>
        <v>-42</v>
      </c>
    </row>
    <row r="139" spans="1:5" s="506" customFormat="1" ht="12.75">
      <c r="A139" s="512">
        <v>3</v>
      </c>
      <c r="B139" s="511" t="s">
        <v>861</v>
      </c>
      <c r="C139" s="530">
        <f>C140+C141</f>
        <v>228</v>
      </c>
      <c r="D139" s="530">
        <f>D140+D141</f>
        <v>235</v>
      </c>
      <c r="E139" s="531">
        <f t="shared" si="16"/>
        <v>7</v>
      </c>
    </row>
    <row r="140" spans="1:5" s="506" customFormat="1" ht="12.75">
      <c r="A140" s="512">
        <v>4</v>
      </c>
      <c r="B140" s="511" t="s">
        <v>229</v>
      </c>
      <c r="C140" s="530">
        <v>196</v>
      </c>
      <c r="D140" s="530">
        <v>208</v>
      </c>
      <c r="E140" s="531">
        <f t="shared" si="16"/>
        <v>12</v>
      </c>
    </row>
    <row r="141" spans="1:5" s="506" customFormat="1" ht="12.75">
      <c r="A141" s="512">
        <v>5</v>
      </c>
      <c r="B141" s="511" t="s">
        <v>828</v>
      </c>
      <c r="C141" s="530">
        <v>32</v>
      </c>
      <c r="D141" s="530">
        <v>27</v>
      </c>
      <c r="E141" s="531">
        <f t="shared" si="16"/>
        <v>-5</v>
      </c>
    </row>
    <row r="142" spans="1:5" s="506" customFormat="1" ht="12.75">
      <c r="A142" s="512">
        <v>6</v>
      </c>
      <c r="B142" s="511" t="s">
        <v>533</v>
      </c>
      <c r="C142" s="530">
        <v>1</v>
      </c>
      <c r="D142" s="530">
        <v>6</v>
      </c>
      <c r="E142" s="531">
        <f t="shared" si="16"/>
        <v>5</v>
      </c>
    </row>
    <row r="143" spans="1:5" s="506" customFormat="1" ht="12.75">
      <c r="A143" s="512">
        <v>7</v>
      </c>
      <c r="B143" s="511" t="s">
        <v>843</v>
      </c>
      <c r="C143" s="530">
        <v>82</v>
      </c>
      <c r="D143" s="530">
        <v>60</v>
      </c>
      <c r="E143" s="531">
        <f t="shared" si="16"/>
        <v>-22</v>
      </c>
    </row>
    <row r="144" spans="1:5" s="506" customFormat="1" ht="12.75">
      <c r="A144" s="512"/>
      <c r="B144" s="516" t="s">
        <v>891</v>
      </c>
      <c r="C144" s="532">
        <f>SUM(C138+C139+C142)</f>
        <v>1519</v>
      </c>
      <c r="D144" s="532">
        <f>SUM(D138+D139+D142)</f>
        <v>1489</v>
      </c>
      <c r="E144" s="533">
        <f t="shared" si="16"/>
        <v>-30</v>
      </c>
    </row>
    <row r="145" spans="1:5" s="506" customFormat="1" ht="12.75">
      <c r="A145" s="512"/>
      <c r="B145" s="516" t="s">
        <v>805</v>
      </c>
      <c r="C145" s="532">
        <f>SUM(C137+C144)</f>
        <v>3032</v>
      </c>
      <c r="D145" s="532">
        <f>SUM(D137+D144)</f>
        <v>2774</v>
      </c>
      <c r="E145" s="533">
        <f t="shared" si="16"/>
        <v>-258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141</v>
      </c>
      <c r="B147" s="509" t="s">
        <v>254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736</v>
      </c>
      <c r="C149" s="534">
        <v>4657</v>
      </c>
      <c r="D149" s="534">
        <v>3858</v>
      </c>
      <c r="E149" s="531">
        <f aca="true" t="shared" si="17" ref="E149:E157">D149-C149</f>
        <v>-799</v>
      </c>
    </row>
    <row r="150" spans="1:5" s="506" customFormat="1" ht="12.75">
      <c r="A150" s="512">
        <v>2</v>
      </c>
      <c r="B150" s="511" t="s">
        <v>715</v>
      </c>
      <c r="C150" s="534">
        <v>6267</v>
      </c>
      <c r="D150" s="534">
        <v>5370</v>
      </c>
      <c r="E150" s="531">
        <f t="shared" si="17"/>
        <v>-897</v>
      </c>
    </row>
    <row r="151" spans="1:5" s="506" customFormat="1" ht="12.75">
      <c r="A151" s="512">
        <v>3</v>
      </c>
      <c r="B151" s="511" t="s">
        <v>861</v>
      </c>
      <c r="C151" s="534">
        <f>C152+C153</f>
        <v>858</v>
      </c>
      <c r="D151" s="534">
        <f>D152+D153</f>
        <v>629</v>
      </c>
      <c r="E151" s="531">
        <f t="shared" si="17"/>
        <v>-229</v>
      </c>
    </row>
    <row r="152" spans="1:5" s="506" customFormat="1" ht="12.75">
      <c r="A152" s="512">
        <v>4</v>
      </c>
      <c r="B152" s="511" t="s">
        <v>229</v>
      </c>
      <c r="C152" s="534">
        <v>675</v>
      </c>
      <c r="D152" s="534">
        <v>554</v>
      </c>
      <c r="E152" s="531">
        <f t="shared" si="17"/>
        <v>-121</v>
      </c>
    </row>
    <row r="153" spans="1:5" s="506" customFormat="1" ht="12.75">
      <c r="A153" s="512">
        <v>5</v>
      </c>
      <c r="B153" s="511" t="s">
        <v>828</v>
      </c>
      <c r="C153" s="535">
        <v>183</v>
      </c>
      <c r="D153" s="534">
        <v>75</v>
      </c>
      <c r="E153" s="531">
        <f t="shared" si="17"/>
        <v>-108</v>
      </c>
    </row>
    <row r="154" spans="1:5" s="506" customFormat="1" ht="12.75">
      <c r="A154" s="512">
        <v>6</v>
      </c>
      <c r="B154" s="511" t="s">
        <v>533</v>
      </c>
      <c r="C154" s="534">
        <v>3</v>
      </c>
      <c r="D154" s="534">
        <v>17</v>
      </c>
      <c r="E154" s="531">
        <f t="shared" si="17"/>
        <v>14</v>
      </c>
    </row>
    <row r="155" spans="1:5" s="506" customFormat="1" ht="12.75">
      <c r="A155" s="512">
        <v>7</v>
      </c>
      <c r="B155" s="511" t="s">
        <v>843</v>
      </c>
      <c r="C155" s="534">
        <v>283</v>
      </c>
      <c r="D155" s="534">
        <v>189</v>
      </c>
      <c r="E155" s="531">
        <f t="shared" si="17"/>
        <v>-94</v>
      </c>
    </row>
    <row r="156" spans="1:5" s="506" customFormat="1" ht="12.75">
      <c r="A156" s="512"/>
      <c r="B156" s="516" t="s">
        <v>892</v>
      </c>
      <c r="C156" s="532">
        <f>SUM(C150+C151+C154)</f>
        <v>7128</v>
      </c>
      <c r="D156" s="532">
        <f>SUM(D150+D151+D154)</f>
        <v>6016</v>
      </c>
      <c r="E156" s="533">
        <f t="shared" si="17"/>
        <v>-1112</v>
      </c>
    </row>
    <row r="157" spans="1:5" s="506" customFormat="1" ht="12.75">
      <c r="A157" s="512"/>
      <c r="B157" s="516" t="s">
        <v>893</v>
      </c>
      <c r="C157" s="532">
        <f>SUM(C149+C156)</f>
        <v>11785</v>
      </c>
      <c r="D157" s="532">
        <f>SUM(D149+D156)</f>
        <v>9874</v>
      </c>
      <c r="E157" s="533">
        <f t="shared" si="17"/>
        <v>-1911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151</v>
      </c>
      <c r="B159" s="509" t="s">
        <v>894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736</v>
      </c>
      <c r="C161" s="536">
        <f aca="true" t="shared" si="18" ref="C161:D169">IF(C137=0,0,C149/C137)</f>
        <v>3.077990746860542</v>
      </c>
      <c r="D161" s="536">
        <f t="shared" si="18"/>
        <v>3.0023346303501945</v>
      </c>
      <c r="E161" s="537">
        <f aca="true" t="shared" si="19" ref="E161:E169">D161-C161</f>
        <v>-0.07565611651034754</v>
      </c>
    </row>
    <row r="162" spans="1:5" s="506" customFormat="1" ht="12.75">
      <c r="A162" s="512">
        <v>2</v>
      </c>
      <c r="B162" s="511" t="s">
        <v>715</v>
      </c>
      <c r="C162" s="536">
        <f t="shared" si="18"/>
        <v>4.858139534883721</v>
      </c>
      <c r="D162" s="536">
        <f t="shared" si="18"/>
        <v>4.302884615384615</v>
      </c>
      <c r="E162" s="537">
        <f t="shared" si="19"/>
        <v>-0.5552549194991059</v>
      </c>
    </row>
    <row r="163" spans="1:5" s="506" customFormat="1" ht="12.75">
      <c r="A163" s="512">
        <v>3</v>
      </c>
      <c r="B163" s="511" t="s">
        <v>861</v>
      </c>
      <c r="C163" s="536">
        <f t="shared" si="18"/>
        <v>3.763157894736842</v>
      </c>
      <c r="D163" s="536">
        <f t="shared" si="18"/>
        <v>2.676595744680851</v>
      </c>
      <c r="E163" s="537">
        <f t="shared" si="19"/>
        <v>-1.086562150055991</v>
      </c>
    </row>
    <row r="164" spans="1:5" s="506" customFormat="1" ht="12.75">
      <c r="A164" s="512">
        <v>4</v>
      </c>
      <c r="B164" s="511" t="s">
        <v>229</v>
      </c>
      <c r="C164" s="536">
        <f t="shared" si="18"/>
        <v>3.443877551020408</v>
      </c>
      <c r="D164" s="536">
        <f t="shared" si="18"/>
        <v>2.6634615384615383</v>
      </c>
      <c r="E164" s="537">
        <f t="shared" si="19"/>
        <v>-0.7804160125588697</v>
      </c>
    </row>
    <row r="165" spans="1:5" s="506" customFormat="1" ht="12.75">
      <c r="A165" s="512">
        <v>5</v>
      </c>
      <c r="B165" s="511" t="s">
        <v>828</v>
      </c>
      <c r="C165" s="536">
        <f t="shared" si="18"/>
        <v>5.71875</v>
      </c>
      <c r="D165" s="536">
        <f t="shared" si="18"/>
        <v>2.7777777777777777</v>
      </c>
      <c r="E165" s="537">
        <f t="shared" si="19"/>
        <v>-2.9409722222222223</v>
      </c>
    </row>
    <row r="166" spans="1:5" s="506" customFormat="1" ht="12.75">
      <c r="A166" s="512">
        <v>6</v>
      </c>
      <c r="B166" s="511" t="s">
        <v>533</v>
      </c>
      <c r="C166" s="536">
        <f t="shared" si="18"/>
        <v>3</v>
      </c>
      <c r="D166" s="536">
        <f t="shared" si="18"/>
        <v>2.8333333333333335</v>
      </c>
      <c r="E166" s="537">
        <f t="shared" si="19"/>
        <v>-0.16666666666666652</v>
      </c>
    </row>
    <row r="167" spans="1:5" s="506" customFormat="1" ht="12.75">
      <c r="A167" s="512">
        <v>7</v>
      </c>
      <c r="B167" s="511" t="s">
        <v>843</v>
      </c>
      <c r="C167" s="536">
        <f t="shared" si="18"/>
        <v>3.451219512195122</v>
      </c>
      <c r="D167" s="536">
        <f t="shared" si="18"/>
        <v>3.15</v>
      </c>
      <c r="E167" s="537">
        <f t="shared" si="19"/>
        <v>-0.301219512195122</v>
      </c>
    </row>
    <row r="168" spans="1:5" s="506" customFormat="1" ht="12.75">
      <c r="A168" s="512"/>
      <c r="B168" s="516" t="s">
        <v>895</v>
      </c>
      <c r="C168" s="538">
        <f t="shared" si="18"/>
        <v>4.692560895325872</v>
      </c>
      <c r="D168" s="538">
        <f t="shared" si="18"/>
        <v>4.040295500335795</v>
      </c>
      <c r="E168" s="539">
        <f t="shared" si="19"/>
        <v>-0.652265394990077</v>
      </c>
    </row>
    <row r="169" spans="1:5" s="506" customFormat="1" ht="12.75">
      <c r="A169" s="512"/>
      <c r="B169" s="516" t="s">
        <v>829</v>
      </c>
      <c r="C169" s="538">
        <f t="shared" si="18"/>
        <v>3.8868733509234827</v>
      </c>
      <c r="D169" s="538">
        <f t="shared" si="18"/>
        <v>3.5594808940158615</v>
      </c>
      <c r="E169" s="539">
        <f t="shared" si="19"/>
        <v>-0.3273924569076212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436</v>
      </c>
      <c r="B171" s="509" t="s">
        <v>896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736</v>
      </c>
      <c r="C173" s="541">
        <f aca="true" t="shared" si="20" ref="C173:D181">IF(C137=0,0,C203/C137)</f>
        <v>1.1242</v>
      </c>
      <c r="D173" s="541">
        <f t="shared" si="20"/>
        <v>1.1383</v>
      </c>
      <c r="E173" s="542">
        <f aca="true" t="shared" si="21" ref="E173:E181">D173-C173</f>
        <v>0.014100000000000001</v>
      </c>
    </row>
    <row r="174" spans="1:5" s="506" customFormat="1" ht="12.75">
      <c r="A174" s="512">
        <v>2</v>
      </c>
      <c r="B174" s="511" t="s">
        <v>715</v>
      </c>
      <c r="C174" s="541">
        <f t="shared" si="20"/>
        <v>1.5251</v>
      </c>
      <c r="D174" s="541">
        <f t="shared" si="20"/>
        <v>1.5634</v>
      </c>
      <c r="E174" s="542">
        <f t="shared" si="21"/>
        <v>0.0383</v>
      </c>
    </row>
    <row r="175" spans="1:5" s="506" customFormat="1" ht="12.75">
      <c r="A175" s="512">
        <v>0</v>
      </c>
      <c r="B175" s="511" t="s">
        <v>861</v>
      </c>
      <c r="C175" s="541">
        <f t="shared" si="20"/>
        <v>0.9101087719298246</v>
      </c>
      <c r="D175" s="541">
        <f t="shared" si="20"/>
        <v>0.7816774468085106</v>
      </c>
      <c r="E175" s="542">
        <f t="shared" si="21"/>
        <v>-0.12843132512131405</v>
      </c>
    </row>
    <row r="176" spans="1:5" s="506" customFormat="1" ht="12.75">
      <c r="A176" s="512">
        <v>4</v>
      </c>
      <c r="B176" s="511" t="s">
        <v>229</v>
      </c>
      <c r="C176" s="541">
        <f t="shared" si="20"/>
        <v>0.8234</v>
      </c>
      <c r="D176" s="541">
        <f t="shared" si="20"/>
        <v>0.753</v>
      </c>
      <c r="E176" s="542">
        <f t="shared" si="21"/>
        <v>-0.07040000000000002</v>
      </c>
    </row>
    <row r="177" spans="1:5" s="506" customFormat="1" ht="12.75">
      <c r="A177" s="512">
        <v>5</v>
      </c>
      <c r="B177" s="511" t="s">
        <v>828</v>
      </c>
      <c r="C177" s="541">
        <f t="shared" si="20"/>
        <v>1.4412</v>
      </c>
      <c r="D177" s="541">
        <f t="shared" si="20"/>
        <v>1.0026</v>
      </c>
      <c r="E177" s="542">
        <f t="shared" si="21"/>
        <v>-0.4386000000000001</v>
      </c>
    </row>
    <row r="178" spans="1:5" s="506" customFormat="1" ht="12.75">
      <c r="A178" s="512">
        <v>6</v>
      </c>
      <c r="B178" s="511" t="s">
        <v>533</v>
      </c>
      <c r="C178" s="541">
        <f t="shared" si="20"/>
        <v>1.99</v>
      </c>
      <c r="D178" s="541">
        <f t="shared" si="20"/>
        <v>0.6283</v>
      </c>
      <c r="E178" s="542">
        <f t="shared" si="21"/>
        <v>-1.3617</v>
      </c>
    </row>
    <row r="179" spans="1:5" s="506" customFormat="1" ht="12.75">
      <c r="A179" s="512">
        <v>7</v>
      </c>
      <c r="B179" s="511" t="s">
        <v>843</v>
      </c>
      <c r="C179" s="541">
        <f t="shared" si="20"/>
        <v>1.0282</v>
      </c>
      <c r="D179" s="541">
        <f t="shared" si="20"/>
        <v>1.0884</v>
      </c>
      <c r="E179" s="542">
        <f t="shared" si="21"/>
        <v>0.06020000000000003</v>
      </c>
    </row>
    <row r="180" spans="1:5" s="506" customFormat="1" ht="12.75">
      <c r="A180" s="512"/>
      <c r="B180" s="516" t="s">
        <v>897</v>
      </c>
      <c r="C180" s="543">
        <f t="shared" si="20"/>
        <v>1.4330966425279787</v>
      </c>
      <c r="D180" s="543">
        <f t="shared" si="20"/>
        <v>1.4362573539288113</v>
      </c>
      <c r="E180" s="544">
        <f t="shared" si="21"/>
        <v>0.0031607114008325166</v>
      </c>
    </row>
    <row r="181" spans="1:5" s="506" customFormat="1" ht="12.75">
      <c r="A181" s="512"/>
      <c r="B181" s="516" t="s">
        <v>806</v>
      </c>
      <c r="C181" s="543">
        <f t="shared" si="20"/>
        <v>1.278953957783641</v>
      </c>
      <c r="D181" s="543">
        <f t="shared" si="20"/>
        <v>1.2982345710165826</v>
      </c>
      <c r="E181" s="544">
        <f t="shared" si="21"/>
        <v>0.0192806132329415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457</v>
      </c>
      <c r="B183" s="509" t="s">
        <v>898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899</v>
      </c>
      <c r="C185" s="513">
        <v>102378537</v>
      </c>
      <c r="D185" s="513">
        <v>110596764</v>
      </c>
      <c r="E185" s="514">
        <f>D185-C185</f>
        <v>8218227</v>
      </c>
    </row>
    <row r="186" spans="1:5" s="506" customFormat="1" ht="25.5">
      <c r="A186" s="512">
        <v>2</v>
      </c>
      <c r="B186" s="511" t="s">
        <v>900</v>
      </c>
      <c r="C186" s="513">
        <v>55727275</v>
      </c>
      <c r="D186" s="513">
        <v>56961715</v>
      </c>
      <c r="E186" s="514">
        <f>D186-C186</f>
        <v>1234440</v>
      </c>
    </row>
    <row r="187" spans="1:5" s="506" customFormat="1" ht="12.75">
      <c r="A187" s="512"/>
      <c r="B187" s="511" t="s">
        <v>748</v>
      </c>
      <c r="C187" s="510"/>
      <c r="D187" s="510"/>
      <c r="E187" s="511"/>
    </row>
    <row r="188" spans="1:5" s="506" customFormat="1" ht="12.75">
      <c r="A188" s="512">
        <v>3</v>
      </c>
      <c r="B188" s="511" t="s">
        <v>832</v>
      </c>
      <c r="C188" s="546">
        <f>+C185-C186</f>
        <v>46651262</v>
      </c>
      <c r="D188" s="546">
        <f>+D185-D186</f>
        <v>53635049</v>
      </c>
      <c r="E188" s="514">
        <f aca="true" t="shared" si="22" ref="E188:E197">D188-C188</f>
        <v>6983787</v>
      </c>
    </row>
    <row r="189" spans="1:5" s="506" customFormat="1" ht="12.75">
      <c r="A189" s="512">
        <v>4</v>
      </c>
      <c r="B189" s="511" t="s">
        <v>750</v>
      </c>
      <c r="C189" s="547">
        <f>IF(C185=0,0,+C188/C185)</f>
        <v>0.4556742396113748</v>
      </c>
      <c r="D189" s="547">
        <f>IF(D185=0,0,+D188/D185)</f>
        <v>0.4849603827468225</v>
      </c>
      <c r="E189" s="523">
        <f t="shared" si="22"/>
        <v>0.029286143135447695</v>
      </c>
    </row>
    <row r="190" spans="1:5" s="506" customFormat="1" ht="12.75">
      <c r="A190" s="512">
        <v>5</v>
      </c>
      <c r="B190" s="511" t="s">
        <v>847</v>
      </c>
      <c r="C190" s="513">
        <v>0</v>
      </c>
      <c r="D190" s="513">
        <v>0</v>
      </c>
      <c r="E190" s="546">
        <f t="shared" si="22"/>
        <v>0</v>
      </c>
    </row>
    <row r="191" spans="1:5" s="506" customFormat="1" ht="12.75">
      <c r="A191" s="512">
        <v>6</v>
      </c>
      <c r="B191" s="511" t="s">
        <v>833</v>
      </c>
      <c r="C191" s="513">
        <v>0</v>
      </c>
      <c r="D191" s="513">
        <v>0</v>
      </c>
      <c r="E191" s="546">
        <f t="shared" si="22"/>
        <v>0</v>
      </c>
    </row>
    <row r="192" spans="1:5" ht="29.25">
      <c r="A192" s="512">
        <v>7</v>
      </c>
      <c r="B192" s="548" t="s">
        <v>901</v>
      </c>
      <c r="C192" s="513">
        <v>303282</v>
      </c>
      <c r="D192" s="513">
        <v>319679</v>
      </c>
      <c r="E192" s="546">
        <f t="shared" si="22"/>
        <v>16397</v>
      </c>
    </row>
    <row r="193" spans="1:5" s="506" customFormat="1" ht="12.75">
      <c r="A193" s="512">
        <v>8</v>
      </c>
      <c r="B193" s="511" t="s">
        <v>902</v>
      </c>
      <c r="C193" s="513">
        <v>2581057</v>
      </c>
      <c r="D193" s="513">
        <v>1620381</v>
      </c>
      <c r="E193" s="546">
        <f t="shared" si="22"/>
        <v>-960676</v>
      </c>
    </row>
    <row r="194" spans="1:5" s="506" customFormat="1" ht="12.75">
      <c r="A194" s="512">
        <v>9</v>
      </c>
      <c r="B194" s="511" t="s">
        <v>903</v>
      </c>
      <c r="C194" s="513">
        <v>4808441</v>
      </c>
      <c r="D194" s="513">
        <v>4081840</v>
      </c>
      <c r="E194" s="546">
        <f t="shared" si="22"/>
        <v>-726601</v>
      </c>
    </row>
    <row r="195" spans="1:5" s="506" customFormat="1" ht="12.75">
      <c r="A195" s="512">
        <v>10</v>
      </c>
      <c r="B195" s="511" t="s">
        <v>904</v>
      </c>
      <c r="C195" s="513">
        <f>+C193+C194</f>
        <v>7389498</v>
      </c>
      <c r="D195" s="513">
        <f>+D193+D194</f>
        <v>5702221</v>
      </c>
      <c r="E195" s="549">
        <f t="shared" si="22"/>
        <v>-1687277</v>
      </c>
    </row>
    <row r="196" spans="1:5" s="506" customFormat="1" ht="12.75">
      <c r="A196" s="512">
        <v>11</v>
      </c>
      <c r="B196" s="511" t="s">
        <v>905</v>
      </c>
      <c r="C196" s="513">
        <v>102378537</v>
      </c>
      <c r="D196" s="513">
        <v>110596764</v>
      </c>
      <c r="E196" s="546">
        <f t="shared" si="22"/>
        <v>8218227</v>
      </c>
    </row>
    <row r="197" spans="1:5" s="506" customFormat="1" ht="12.75">
      <c r="A197" s="512">
        <v>12</v>
      </c>
      <c r="B197" s="511" t="s">
        <v>790</v>
      </c>
      <c r="C197" s="513">
        <v>92150239</v>
      </c>
      <c r="D197" s="513">
        <v>98752754</v>
      </c>
      <c r="E197" s="546">
        <f t="shared" si="22"/>
        <v>6602515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259</v>
      </c>
      <c r="B199" s="550" t="s">
        <v>906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129</v>
      </c>
      <c r="B201" s="509" t="s">
        <v>907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736</v>
      </c>
      <c r="C203" s="553">
        <v>1700.9146</v>
      </c>
      <c r="D203" s="553">
        <v>1462.7155</v>
      </c>
      <c r="E203" s="554">
        <f aca="true" t="shared" si="23" ref="E203:E211">D203-C203</f>
        <v>-238.19910000000004</v>
      </c>
    </row>
    <row r="204" spans="1:5" s="506" customFormat="1" ht="12.75">
      <c r="A204" s="512">
        <v>2</v>
      </c>
      <c r="B204" s="511" t="s">
        <v>715</v>
      </c>
      <c r="C204" s="553">
        <v>1967.379</v>
      </c>
      <c r="D204" s="553">
        <v>1951.1231999999998</v>
      </c>
      <c r="E204" s="554">
        <f t="shared" si="23"/>
        <v>-16.255800000000136</v>
      </c>
    </row>
    <row r="205" spans="1:5" s="506" customFormat="1" ht="12.75">
      <c r="A205" s="512">
        <v>3</v>
      </c>
      <c r="B205" s="511" t="s">
        <v>861</v>
      </c>
      <c r="C205" s="553">
        <f>C206+C207</f>
        <v>207.50480000000002</v>
      </c>
      <c r="D205" s="553">
        <f>D206+D207</f>
        <v>183.6942</v>
      </c>
      <c r="E205" s="554">
        <f t="shared" si="23"/>
        <v>-23.810600000000022</v>
      </c>
    </row>
    <row r="206" spans="1:5" s="506" customFormat="1" ht="12.75">
      <c r="A206" s="512">
        <v>4</v>
      </c>
      <c r="B206" s="511" t="s">
        <v>229</v>
      </c>
      <c r="C206" s="553">
        <v>161.3864</v>
      </c>
      <c r="D206" s="553">
        <v>156.624</v>
      </c>
      <c r="E206" s="554">
        <f t="shared" si="23"/>
        <v>-4.762400000000014</v>
      </c>
    </row>
    <row r="207" spans="1:5" s="506" customFormat="1" ht="12.75">
      <c r="A207" s="512">
        <v>5</v>
      </c>
      <c r="B207" s="511" t="s">
        <v>828</v>
      </c>
      <c r="C207" s="553">
        <v>46.1184</v>
      </c>
      <c r="D207" s="553">
        <v>27.0702</v>
      </c>
      <c r="E207" s="554">
        <f t="shared" si="23"/>
        <v>-19.0482</v>
      </c>
    </row>
    <row r="208" spans="1:5" s="506" customFormat="1" ht="12.75">
      <c r="A208" s="512">
        <v>6</v>
      </c>
      <c r="B208" s="511" t="s">
        <v>533</v>
      </c>
      <c r="C208" s="553">
        <v>1.99</v>
      </c>
      <c r="D208" s="553">
        <v>3.7698</v>
      </c>
      <c r="E208" s="554">
        <f t="shared" si="23"/>
        <v>1.7798</v>
      </c>
    </row>
    <row r="209" spans="1:5" s="506" customFormat="1" ht="12.75">
      <c r="A209" s="512">
        <v>7</v>
      </c>
      <c r="B209" s="511" t="s">
        <v>843</v>
      </c>
      <c r="C209" s="553">
        <v>84.3124</v>
      </c>
      <c r="D209" s="553">
        <v>65.304</v>
      </c>
      <c r="E209" s="554">
        <f t="shared" si="23"/>
        <v>-19.008399999999995</v>
      </c>
    </row>
    <row r="210" spans="1:5" s="506" customFormat="1" ht="12.75">
      <c r="A210" s="512"/>
      <c r="B210" s="516" t="s">
        <v>908</v>
      </c>
      <c r="C210" s="555">
        <f>C204+C205+C208</f>
        <v>2176.8738</v>
      </c>
      <c r="D210" s="555">
        <f>D204+D205+D208</f>
        <v>2138.5872</v>
      </c>
      <c r="E210" s="556">
        <f t="shared" si="23"/>
        <v>-38.28659999999991</v>
      </c>
    </row>
    <row r="211" spans="1:5" s="506" customFormat="1" ht="12.75">
      <c r="A211" s="512"/>
      <c r="B211" s="516" t="s">
        <v>807</v>
      </c>
      <c r="C211" s="555">
        <f>C210+C203</f>
        <v>3877.7884</v>
      </c>
      <c r="D211" s="555">
        <f>D210+D203</f>
        <v>3601.3027</v>
      </c>
      <c r="E211" s="556">
        <f t="shared" si="23"/>
        <v>-276.4856999999997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141</v>
      </c>
      <c r="B213" s="509" t="s">
        <v>909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736</v>
      </c>
      <c r="C215" s="557">
        <f>IF(C14*C137=0,0,C25/C14*C137)</f>
        <v>3654.906343004771</v>
      </c>
      <c r="D215" s="557">
        <f>IF(D14*D137=0,0,D25/D14*D137)</f>
        <v>3724.9091751706874</v>
      </c>
      <c r="E215" s="557">
        <f aca="true" t="shared" si="24" ref="E215:E223">D215-C215</f>
        <v>70.00283216591652</v>
      </c>
    </row>
    <row r="216" spans="1:5" s="506" customFormat="1" ht="12.75">
      <c r="A216" s="512">
        <v>2</v>
      </c>
      <c r="B216" s="511" t="s">
        <v>715</v>
      </c>
      <c r="C216" s="557">
        <f>IF(C15*C138=0,0,C26/C15*C138)</f>
        <v>1791.5129253068549</v>
      </c>
      <c r="D216" s="557">
        <f>IF(D15*D138=0,0,D26/D15*D138)</f>
        <v>1972.656353027979</v>
      </c>
      <c r="E216" s="557">
        <f t="shared" si="24"/>
        <v>181.14342772112423</v>
      </c>
    </row>
    <row r="217" spans="1:5" s="506" customFormat="1" ht="12.75">
      <c r="A217" s="512">
        <v>3</v>
      </c>
      <c r="B217" s="511" t="s">
        <v>861</v>
      </c>
      <c r="C217" s="557">
        <f>C218+C219</f>
        <v>437.6731225959512</v>
      </c>
      <c r="D217" s="557">
        <f>D218+D219</f>
        <v>651.2228021104795</v>
      </c>
      <c r="E217" s="557">
        <f t="shared" si="24"/>
        <v>213.5496795145283</v>
      </c>
    </row>
    <row r="218" spans="1:5" s="506" customFormat="1" ht="12.75">
      <c r="A218" s="512">
        <v>4</v>
      </c>
      <c r="B218" s="511" t="s">
        <v>229</v>
      </c>
      <c r="C218" s="557">
        <f aca="true" t="shared" si="25" ref="C218:D221">IF(C17*C140=0,0,C28/C17*C140)</f>
        <v>403.6427630879981</v>
      </c>
      <c r="D218" s="557">
        <f t="shared" si="25"/>
        <v>595.447698059299</v>
      </c>
      <c r="E218" s="557">
        <f t="shared" si="24"/>
        <v>191.8049349713009</v>
      </c>
    </row>
    <row r="219" spans="1:5" s="506" customFormat="1" ht="12.75">
      <c r="A219" s="512">
        <v>5</v>
      </c>
      <c r="B219" s="511" t="s">
        <v>828</v>
      </c>
      <c r="C219" s="557">
        <f t="shared" si="25"/>
        <v>34.0303595079531</v>
      </c>
      <c r="D219" s="557">
        <f t="shared" si="25"/>
        <v>55.775104051180456</v>
      </c>
      <c r="E219" s="557">
        <f t="shared" si="24"/>
        <v>21.744744543227355</v>
      </c>
    </row>
    <row r="220" spans="1:5" s="506" customFormat="1" ht="12.75">
      <c r="A220" s="512">
        <v>6</v>
      </c>
      <c r="B220" s="511" t="s">
        <v>533</v>
      </c>
      <c r="C220" s="557">
        <f t="shared" si="25"/>
        <v>4.303447323606573</v>
      </c>
      <c r="D220" s="557">
        <f t="shared" si="25"/>
        <v>19.367921947661166</v>
      </c>
      <c r="E220" s="557">
        <f t="shared" si="24"/>
        <v>15.064474624054593</v>
      </c>
    </row>
    <row r="221" spans="1:5" s="506" customFormat="1" ht="12.75">
      <c r="A221" s="512">
        <v>7</v>
      </c>
      <c r="B221" s="511" t="s">
        <v>843</v>
      </c>
      <c r="C221" s="557">
        <f t="shared" si="25"/>
        <v>212.03774496611032</v>
      </c>
      <c r="D221" s="557">
        <f t="shared" si="25"/>
        <v>168.95625771103357</v>
      </c>
      <c r="E221" s="557">
        <f t="shared" si="24"/>
        <v>-43.08148725507675</v>
      </c>
    </row>
    <row r="222" spans="1:5" s="506" customFormat="1" ht="12.75">
      <c r="A222" s="512"/>
      <c r="B222" s="516" t="s">
        <v>910</v>
      </c>
      <c r="C222" s="558">
        <f>C216+C218+C219+C220</f>
        <v>2233.4894952264126</v>
      </c>
      <c r="D222" s="558">
        <f>D216+D218+D219+D220</f>
        <v>2643.2470770861196</v>
      </c>
      <c r="E222" s="558">
        <f t="shared" si="24"/>
        <v>409.757581859707</v>
      </c>
    </row>
    <row r="223" spans="1:5" s="506" customFormat="1" ht="12.75">
      <c r="A223" s="512"/>
      <c r="B223" s="516" t="s">
        <v>911</v>
      </c>
      <c r="C223" s="558">
        <f>C215+C222</f>
        <v>5888.395838231183</v>
      </c>
      <c r="D223" s="558">
        <f>D215+D222</f>
        <v>6368.156252256807</v>
      </c>
      <c r="E223" s="558">
        <f t="shared" si="24"/>
        <v>479.7604140256244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151</v>
      </c>
      <c r="B225" s="509" t="s">
        <v>912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736</v>
      </c>
      <c r="C227" s="560">
        <f aca="true" t="shared" si="26" ref="C227:D235">IF(C203=0,0,C47/C203)</f>
        <v>7739.411490735631</v>
      </c>
      <c r="D227" s="560">
        <f t="shared" si="26"/>
        <v>8183.055419868047</v>
      </c>
      <c r="E227" s="560">
        <f aca="true" t="shared" si="27" ref="E227:E235">D227-C227</f>
        <v>443.6439291324159</v>
      </c>
    </row>
    <row r="228" spans="1:5" s="506" customFormat="1" ht="12.75">
      <c r="A228" s="512">
        <v>2</v>
      </c>
      <c r="B228" s="511" t="s">
        <v>715</v>
      </c>
      <c r="C228" s="560">
        <f t="shared" si="26"/>
        <v>7259.363854143</v>
      </c>
      <c r="D228" s="560">
        <f t="shared" si="26"/>
        <v>6845.655876574068</v>
      </c>
      <c r="E228" s="560">
        <f t="shared" si="27"/>
        <v>-413.7079775689317</v>
      </c>
    </row>
    <row r="229" spans="1:5" s="506" customFormat="1" ht="12.75">
      <c r="A229" s="512">
        <v>3</v>
      </c>
      <c r="B229" s="511" t="s">
        <v>861</v>
      </c>
      <c r="C229" s="560">
        <f t="shared" si="26"/>
        <v>4939.861632116462</v>
      </c>
      <c r="D229" s="560">
        <f t="shared" si="26"/>
        <v>5196.1248640403455</v>
      </c>
      <c r="E229" s="560">
        <f t="shared" si="27"/>
        <v>256.2632319238837</v>
      </c>
    </row>
    <row r="230" spans="1:5" s="506" customFormat="1" ht="12.75">
      <c r="A230" s="512">
        <v>4</v>
      </c>
      <c r="B230" s="511" t="s">
        <v>229</v>
      </c>
      <c r="C230" s="560">
        <f t="shared" si="26"/>
        <v>4389.3909276122395</v>
      </c>
      <c r="D230" s="560">
        <f t="shared" si="26"/>
        <v>5172.674685871897</v>
      </c>
      <c r="E230" s="560">
        <f t="shared" si="27"/>
        <v>783.2837582596576</v>
      </c>
    </row>
    <row r="231" spans="1:5" s="506" customFormat="1" ht="12.75">
      <c r="A231" s="512">
        <v>5</v>
      </c>
      <c r="B231" s="511" t="s">
        <v>828</v>
      </c>
      <c r="C231" s="560">
        <f t="shared" si="26"/>
        <v>6866.174888981404</v>
      </c>
      <c r="D231" s="560">
        <f t="shared" si="26"/>
        <v>5331.803976328213</v>
      </c>
      <c r="E231" s="560">
        <f t="shared" si="27"/>
        <v>-1534.3709126531912</v>
      </c>
    </row>
    <row r="232" spans="1:5" s="506" customFormat="1" ht="12.75">
      <c r="A232" s="512">
        <v>6</v>
      </c>
      <c r="B232" s="511" t="s">
        <v>533</v>
      </c>
      <c r="C232" s="560">
        <f t="shared" si="26"/>
        <v>6754.27135678392</v>
      </c>
      <c r="D232" s="560">
        <f t="shared" si="26"/>
        <v>4159.1065839036555</v>
      </c>
      <c r="E232" s="560">
        <f t="shared" si="27"/>
        <v>-2595.1647728802645</v>
      </c>
    </row>
    <row r="233" spans="1:5" s="506" customFormat="1" ht="12.75">
      <c r="A233" s="512">
        <v>7</v>
      </c>
      <c r="B233" s="511" t="s">
        <v>843</v>
      </c>
      <c r="C233" s="560">
        <f t="shared" si="26"/>
        <v>5513.032483952538</v>
      </c>
      <c r="D233" s="560">
        <f t="shared" si="26"/>
        <v>1005.7576871248315</v>
      </c>
      <c r="E233" s="560">
        <f t="shared" si="27"/>
        <v>-4507.274796827707</v>
      </c>
    </row>
    <row r="234" spans="1:5" ht="12.75">
      <c r="A234" s="512"/>
      <c r="B234" s="516" t="s">
        <v>913</v>
      </c>
      <c r="C234" s="561">
        <f t="shared" si="26"/>
        <v>7037.801640131826</v>
      </c>
      <c r="D234" s="561">
        <f t="shared" si="26"/>
        <v>6699.2334939627435</v>
      </c>
      <c r="E234" s="561">
        <f t="shared" si="27"/>
        <v>-338.56814616908287</v>
      </c>
    </row>
    <row r="235" spans="1:5" s="506" customFormat="1" ht="12.75">
      <c r="A235" s="512"/>
      <c r="B235" s="516" t="s">
        <v>914</v>
      </c>
      <c r="C235" s="561">
        <f t="shared" si="26"/>
        <v>7345.548818496646</v>
      </c>
      <c r="D235" s="561">
        <f t="shared" si="26"/>
        <v>7301.906890526031</v>
      </c>
      <c r="E235" s="561">
        <f t="shared" si="27"/>
        <v>-43.64192797061514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436</v>
      </c>
      <c r="B237" s="509" t="s">
        <v>915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736</v>
      </c>
      <c r="C239" s="560">
        <f aca="true" t="shared" si="28" ref="C239:D247">IF(C215=0,0,C58/C215)</f>
        <v>11049.037707160554</v>
      </c>
      <c r="D239" s="560">
        <f t="shared" si="28"/>
        <v>11783.448652271827</v>
      </c>
      <c r="E239" s="562">
        <f aca="true" t="shared" si="29" ref="E239:E247">D239-C239</f>
        <v>734.4109451112727</v>
      </c>
    </row>
    <row r="240" spans="1:5" s="506" customFormat="1" ht="12.75">
      <c r="A240" s="512">
        <v>2</v>
      </c>
      <c r="B240" s="511" t="s">
        <v>715</v>
      </c>
      <c r="C240" s="560">
        <f t="shared" si="28"/>
        <v>7913.9099694586785</v>
      </c>
      <c r="D240" s="560">
        <f t="shared" si="28"/>
        <v>6931.611265698269</v>
      </c>
      <c r="E240" s="562">
        <f t="shared" si="29"/>
        <v>-982.2987037604098</v>
      </c>
    </row>
    <row r="241" spans="1:5" ht="12.75">
      <c r="A241" s="512">
        <v>3</v>
      </c>
      <c r="B241" s="511" t="s">
        <v>861</v>
      </c>
      <c r="C241" s="560">
        <f t="shared" si="28"/>
        <v>4548.031161231773</v>
      </c>
      <c r="D241" s="560">
        <f t="shared" si="28"/>
        <v>3349.541804941198</v>
      </c>
      <c r="E241" s="562">
        <f t="shared" si="29"/>
        <v>-1198.489356290575</v>
      </c>
    </row>
    <row r="242" spans="1:5" ht="12.75">
      <c r="A242" s="512">
        <v>4</v>
      </c>
      <c r="B242" s="511" t="s">
        <v>229</v>
      </c>
      <c r="C242" s="560">
        <f t="shared" si="28"/>
        <v>4097.1922482838</v>
      </c>
      <c r="D242" s="560">
        <f t="shared" si="28"/>
        <v>3248.7723209022315</v>
      </c>
      <c r="E242" s="562">
        <f t="shared" si="29"/>
        <v>-848.4199273815684</v>
      </c>
    </row>
    <row r="243" spans="1:5" ht="12.75">
      <c r="A243" s="512">
        <v>5</v>
      </c>
      <c r="B243" s="511" t="s">
        <v>828</v>
      </c>
      <c r="C243" s="560">
        <f t="shared" si="28"/>
        <v>9895.546355344843</v>
      </c>
      <c r="D243" s="560">
        <f t="shared" si="28"/>
        <v>4425.343604442385</v>
      </c>
      <c r="E243" s="562">
        <f t="shared" si="29"/>
        <v>-5470.202750902457</v>
      </c>
    </row>
    <row r="244" spans="1:5" ht="12.75">
      <c r="A244" s="512">
        <v>6</v>
      </c>
      <c r="B244" s="511" t="s">
        <v>533</v>
      </c>
      <c r="C244" s="560">
        <f t="shared" si="28"/>
        <v>13398.09591341269</v>
      </c>
      <c r="D244" s="560">
        <f t="shared" si="28"/>
        <v>3229.5669183834884</v>
      </c>
      <c r="E244" s="562">
        <f t="shared" si="29"/>
        <v>-10168.5289950292</v>
      </c>
    </row>
    <row r="245" spans="1:5" ht="12.75">
      <c r="A245" s="512">
        <v>7</v>
      </c>
      <c r="B245" s="511" t="s">
        <v>843</v>
      </c>
      <c r="C245" s="560">
        <f t="shared" si="28"/>
        <v>5668.504917330185</v>
      </c>
      <c r="D245" s="560">
        <f t="shared" si="28"/>
        <v>1094.6679484125548</v>
      </c>
      <c r="E245" s="562">
        <f t="shared" si="29"/>
        <v>-4573.836968917631</v>
      </c>
    </row>
    <row r="246" spans="1:5" ht="25.5">
      <c r="A246" s="512"/>
      <c r="B246" s="516" t="s">
        <v>916</v>
      </c>
      <c r="C246" s="561">
        <f t="shared" si="28"/>
        <v>7264.901417570864</v>
      </c>
      <c r="D246" s="561">
        <f t="shared" si="28"/>
        <v>6021.96258457506</v>
      </c>
      <c r="E246" s="563">
        <f t="shared" si="29"/>
        <v>-1242.9388329958047</v>
      </c>
    </row>
    <row r="247" spans="1:5" ht="12.75">
      <c r="A247" s="512"/>
      <c r="B247" s="516" t="s">
        <v>917</v>
      </c>
      <c r="C247" s="561">
        <f t="shared" si="28"/>
        <v>9613.701346715998</v>
      </c>
      <c r="D247" s="561">
        <f t="shared" si="28"/>
        <v>9392.013736912319</v>
      </c>
      <c r="E247" s="563">
        <f t="shared" si="29"/>
        <v>-221.68760980367915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845</v>
      </c>
      <c r="B249" s="550" t="s">
        <v>842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229</v>
      </c>
      <c r="C251" s="546">
        <f>((IF((IF(C15=0,0,C26/C15)*C138)=0,0,C59/(IF(C15=0,0,C26/C15)*C138)))-(IF((IF(C17=0,0,C28/C17)*C140)=0,0,C61/(IF(C17=0,0,C28/C17)*C140))))*(IF(C17=0,0,C28/C17)*C140)</f>
        <v>1540590.4869019554</v>
      </c>
      <c r="D251" s="546">
        <f>((IF((IF(D15=0,0,D26/D15)*D138)=0,0,D59/(IF(D15=0,0,D26/D15)*D138)))-(IF((IF(D17=0,0,D28/D17)*D140)=0,0,D61/(IF(D17=0,0,D28/D17)*D140))))*(IF(D17=0,0,D28/D17)*D140)</f>
        <v>2192937.972001938</v>
      </c>
      <c r="E251" s="546">
        <f>D251-C251</f>
        <v>652347.4850999827</v>
      </c>
    </row>
    <row r="252" spans="1:5" ht="12.75">
      <c r="A252" s="512">
        <v>2</v>
      </c>
      <c r="B252" s="511" t="s">
        <v>828</v>
      </c>
      <c r="C252" s="546">
        <f>IF(C231=0,0,(C228-C231)*C207)+IF(C243=0,0,(C240-C243)*C219)</f>
        <v>-49302.55265483851</v>
      </c>
      <c r="D252" s="546">
        <f>IF(D231=0,0,(D228-D231)*D207)+IF(D243=0,0,(D240-D243)*D219)</f>
        <v>180767.61329669092</v>
      </c>
      <c r="E252" s="546">
        <f>D252-C252</f>
        <v>230070.16595152943</v>
      </c>
    </row>
    <row r="253" spans="1:5" ht="12.75">
      <c r="A253" s="512">
        <v>3</v>
      </c>
      <c r="B253" s="511" t="s">
        <v>843</v>
      </c>
      <c r="C253" s="546">
        <f>IF(C233=0,0,(C228-C233)*C209+IF(C221=0,0,(C240-C245)*C221))</f>
        <v>623348.0128048834</v>
      </c>
      <c r="D253" s="546">
        <f>IF(D233=0,0,(D228-D233)*D209+IF(D221=0,0,(D240-D245)*D221))</f>
        <v>1367556.8107238133</v>
      </c>
      <c r="E253" s="546">
        <f>D253-C253</f>
        <v>744208.7979189298</v>
      </c>
    </row>
    <row r="254" spans="1:5" ht="15" customHeight="1">
      <c r="A254" s="512"/>
      <c r="B254" s="516" t="s">
        <v>844</v>
      </c>
      <c r="C254" s="564">
        <f>+C251+C252+C253</f>
        <v>2114635.9470520006</v>
      </c>
      <c r="D254" s="564">
        <f>+D251+D252+D253</f>
        <v>3741262.3960224423</v>
      </c>
      <c r="E254" s="564">
        <f>D254-C254</f>
        <v>1626626.4489704417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918</v>
      </c>
      <c r="B256" s="550" t="s">
        <v>919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810</v>
      </c>
      <c r="C258" s="546">
        <f>+C44</f>
        <v>214881435</v>
      </c>
      <c r="D258" s="549">
        <f>+D44</f>
        <v>230831708</v>
      </c>
      <c r="E258" s="546">
        <f aca="true" t="shared" si="30" ref="E258:E271">D258-C258</f>
        <v>15950273</v>
      </c>
    </row>
    <row r="259" spans="1:5" ht="12.75">
      <c r="A259" s="512">
        <v>2</v>
      </c>
      <c r="B259" s="511" t="s">
        <v>827</v>
      </c>
      <c r="C259" s="546">
        <f>+(C43-C76)</f>
        <v>75746912</v>
      </c>
      <c r="D259" s="549">
        <f>+(D43-D76)</f>
        <v>85388249</v>
      </c>
      <c r="E259" s="546">
        <f t="shared" si="30"/>
        <v>9641337</v>
      </c>
    </row>
    <row r="260" spans="1:5" ht="12.75">
      <c r="A260" s="512">
        <v>3</v>
      </c>
      <c r="B260" s="511" t="s">
        <v>831</v>
      </c>
      <c r="C260" s="546">
        <f>C195</f>
        <v>7389498</v>
      </c>
      <c r="D260" s="546">
        <f>D195</f>
        <v>5702221</v>
      </c>
      <c r="E260" s="546">
        <f t="shared" si="30"/>
        <v>-1687277</v>
      </c>
    </row>
    <row r="261" spans="1:5" ht="12.75">
      <c r="A261" s="512">
        <v>4</v>
      </c>
      <c r="B261" s="511" t="s">
        <v>832</v>
      </c>
      <c r="C261" s="546">
        <f>C188</f>
        <v>46651262</v>
      </c>
      <c r="D261" s="546">
        <f>D188</f>
        <v>53635049</v>
      </c>
      <c r="E261" s="546">
        <f t="shared" si="30"/>
        <v>6983787</v>
      </c>
    </row>
    <row r="262" spans="1:5" ht="12.75">
      <c r="A262" s="512">
        <v>5</v>
      </c>
      <c r="B262" s="511" t="s">
        <v>833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ht="12.75">
      <c r="A263" s="512">
        <v>6</v>
      </c>
      <c r="B263" s="511" t="s">
        <v>834</v>
      </c>
      <c r="C263" s="546">
        <f>+C259+C260+C261+C262</f>
        <v>129787672</v>
      </c>
      <c r="D263" s="546">
        <f>+D259+D260+D261+D262</f>
        <v>144725519</v>
      </c>
      <c r="E263" s="546">
        <f t="shared" si="30"/>
        <v>14937847</v>
      </c>
    </row>
    <row r="264" spans="1:5" ht="12.75">
      <c r="A264" s="512">
        <v>7</v>
      </c>
      <c r="B264" s="511" t="s">
        <v>734</v>
      </c>
      <c r="C264" s="546">
        <f>+C258-C263</f>
        <v>85093763</v>
      </c>
      <c r="D264" s="546">
        <f>+D258-D263</f>
        <v>86106189</v>
      </c>
      <c r="E264" s="546">
        <f t="shared" si="30"/>
        <v>1012426</v>
      </c>
    </row>
    <row r="265" spans="1:5" ht="12.75">
      <c r="A265" s="512">
        <v>8</v>
      </c>
      <c r="B265" s="511" t="s">
        <v>920</v>
      </c>
      <c r="C265" s="565">
        <f>C192</f>
        <v>303282</v>
      </c>
      <c r="D265" s="565">
        <f>D192</f>
        <v>319679</v>
      </c>
      <c r="E265" s="546">
        <f t="shared" si="30"/>
        <v>16397</v>
      </c>
    </row>
    <row r="266" spans="1:5" ht="12.75">
      <c r="A266" s="512">
        <v>9</v>
      </c>
      <c r="B266" s="511" t="s">
        <v>921</v>
      </c>
      <c r="C266" s="546">
        <f>+C264+C265</f>
        <v>85397045</v>
      </c>
      <c r="D266" s="546">
        <f>+D264+D265</f>
        <v>86425868</v>
      </c>
      <c r="E266" s="565">
        <f t="shared" si="30"/>
        <v>1028823</v>
      </c>
    </row>
    <row r="267" spans="1:5" ht="12.75">
      <c r="A267" s="512">
        <v>10</v>
      </c>
      <c r="B267" s="511" t="s">
        <v>922</v>
      </c>
      <c r="C267" s="566">
        <f>IF(C258=0,0,C266/C258)</f>
        <v>0.3974147184934799</v>
      </c>
      <c r="D267" s="566">
        <f>IF(D258=0,0,D266/D258)</f>
        <v>0.37441072870283487</v>
      </c>
      <c r="E267" s="567">
        <f t="shared" si="30"/>
        <v>-0.023003989790645052</v>
      </c>
    </row>
    <row r="268" spans="1:5" ht="12.75">
      <c r="A268" s="512">
        <v>11</v>
      </c>
      <c r="B268" s="511" t="s">
        <v>796</v>
      </c>
      <c r="C268" s="546">
        <f>+C260*C267</f>
        <v>2936695.267478133</v>
      </c>
      <c r="D268" s="568">
        <f>+D260*D267</f>
        <v>2134972.7198346076</v>
      </c>
      <c r="E268" s="546">
        <f t="shared" si="30"/>
        <v>-801722.5476435255</v>
      </c>
    </row>
    <row r="269" spans="1:5" ht="12.75">
      <c r="A269" s="512">
        <v>12</v>
      </c>
      <c r="B269" s="511" t="s">
        <v>923</v>
      </c>
      <c r="C269" s="546">
        <f>((C17+C18+C28+C29)*C267)-(C50+C51+C61+C62)</f>
        <v>969666.4771963432</v>
      </c>
      <c r="D269" s="568">
        <f>((D17+D18+D28+D29)*D267)-(D50+D51+D61+D62)</f>
        <v>963751.3729292685</v>
      </c>
      <c r="E269" s="546">
        <f t="shared" si="30"/>
        <v>-5915.1042670747265</v>
      </c>
    </row>
    <row r="270" spans="1:5" s="569" customFormat="1" ht="12.75">
      <c r="A270" s="570">
        <v>13</v>
      </c>
      <c r="B270" s="571" t="s">
        <v>924</v>
      </c>
      <c r="C270" s="572">
        <v>0</v>
      </c>
      <c r="D270" s="572">
        <v>0</v>
      </c>
      <c r="E270" s="546">
        <f t="shared" si="30"/>
        <v>0</v>
      </c>
    </row>
    <row r="271" spans="1:5" ht="12.75">
      <c r="A271" s="512">
        <v>14</v>
      </c>
      <c r="B271" s="511" t="s">
        <v>925</v>
      </c>
      <c r="C271" s="546">
        <f>+C268+C269+C270</f>
        <v>3906361.7446744763</v>
      </c>
      <c r="D271" s="546">
        <f>+D268+D269+D270</f>
        <v>3098724.092763876</v>
      </c>
      <c r="E271" s="549">
        <f t="shared" si="30"/>
        <v>-807637.6519106003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926</v>
      </c>
      <c r="B273" s="550" t="s">
        <v>927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129</v>
      </c>
      <c r="B275" s="509" t="s">
        <v>928</v>
      </c>
      <c r="C275" s="340"/>
      <c r="D275" s="340"/>
      <c r="E275" s="520"/>
    </row>
    <row r="276" spans="1:5" ht="12.75">
      <c r="A276" s="512">
        <v>1</v>
      </c>
      <c r="B276" s="511" t="s">
        <v>736</v>
      </c>
      <c r="C276" s="547">
        <f aca="true" t="shared" si="31" ref="C276:D284">IF(C14=0,0,+C47/C14)</f>
        <v>0.417928678499824</v>
      </c>
      <c r="D276" s="547">
        <f t="shared" si="31"/>
        <v>0.40509162303310536</v>
      </c>
      <c r="E276" s="574">
        <f aca="true" t="shared" si="32" ref="E276:E284">D276-C276</f>
        <v>-0.01283705546671865</v>
      </c>
    </row>
    <row r="277" spans="1:5" ht="12.75">
      <c r="A277" s="512">
        <v>2</v>
      </c>
      <c r="B277" s="511" t="s">
        <v>715</v>
      </c>
      <c r="C277" s="547">
        <f t="shared" si="31"/>
        <v>0.3515868195118632</v>
      </c>
      <c r="D277" s="547">
        <f t="shared" si="31"/>
        <v>0.33014725565633507</v>
      </c>
      <c r="E277" s="574">
        <f t="shared" si="32"/>
        <v>-0.021439563855528143</v>
      </c>
    </row>
    <row r="278" spans="1:5" ht="12.75">
      <c r="A278" s="512">
        <v>3</v>
      </c>
      <c r="B278" s="511" t="s">
        <v>861</v>
      </c>
      <c r="C278" s="547">
        <f t="shared" si="31"/>
        <v>0.2800324331619246</v>
      </c>
      <c r="D278" s="547">
        <f t="shared" si="31"/>
        <v>0.3250150419796369</v>
      </c>
      <c r="E278" s="574">
        <f t="shared" si="32"/>
        <v>0.044982608817712266</v>
      </c>
    </row>
    <row r="279" spans="1:5" ht="12.75">
      <c r="A279" s="512">
        <v>4</v>
      </c>
      <c r="B279" s="511" t="s">
        <v>229</v>
      </c>
      <c r="C279" s="547">
        <f t="shared" si="31"/>
        <v>0.2850802777768835</v>
      </c>
      <c r="D279" s="547">
        <f t="shared" si="31"/>
        <v>0.33181833819901113</v>
      </c>
      <c r="E279" s="574">
        <f t="shared" si="32"/>
        <v>0.046738060422127636</v>
      </c>
    </row>
    <row r="280" spans="1:5" ht="12.75">
      <c r="A280" s="512">
        <v>5</v>
      </c>
      <c r="B280" s="511" t="s">
        <v>828</v>
      </c>
      <c r="C280" s="547">
        <f t="shared" si="31"/>
        <v>0.26936258643613065</v>
      </c>
      <c r="D280" s="547">
        <f t="shared" si="31"/>
        <v>0.29147052943421603</v>
      </c>
      <c r="E280" s="574">
        <f t="shared" si="32"/>
        <v>0.022107942998085384</v>
      </c>
    </row>
    <row r="281" spans="1:5" ht="12.75">
      <c r="A281" s="512">
        <v>6</v>
      </c>
      <c r="B281" s="511" t="s">
        <v>533</v>
      </c>
      <c r="C281" s="547">
        <f t="shared" si="31"/>
        <v>0.3093155981037419</v>
      </c>
      <c r="D281" s="547">
        <f t="shared" si="31"/>
        <v>0.2382754323576791</v>
      </c>
      <c r="E281" s="574">
        <f t="shared" si="32"/>
        <v>-0.07104016574606278</v>
      </c>
    </row>
    <row r="282" spans="1:5" ht="12.75">
      <c r="A282" s="512">
        <v>7</v>
      </c>
      <c r="B282" s="511" t="s">
        <v>843</v>
      </c>
      <c r="C282" s="547">
        <f t="shared" si="31"/>
        <v>0.31994496156739766</v>
      </c>
      <c r="D282" s="547">
        <f t="shared" si="31"/>
        <v>0.054458138208254285</v>
      </c>
      <c r="E282" s="574">
        <f t="shared" si="32"/>
        <v>-0.26548682335914336</v>
      </c>
    </row>
    <row r="283" spans="1:5" ht="29.25" customHeight="1">
      <c r="A283" s="512"/>
      <c r="B283" s="516" t="s">
        <v>929</v>
      </c>
      <c r="C283" s="575">
        <f t="shared" si="31"/>
        <v>0.3456362983216125</v>
      </c>
      <c r="D283" s="575">
        <f t="shared" si="31"/>
        <v>0.3296613418771478</v>
      </c>
      <c r="E283" s="576">
        <f t="shared" si="32"/>
        <v>-0.015974956444464727</v>
      </c>
    </row>
    <row r="284" spans="1:5" ht="12.75">
      <c r="A284" s="512"/>
      <c r="B284" s="516" t="s">
        <v>930</v>
      </c>
      <c r="C284" s="575">
        <f t="shared" si="31"/>
        <v>0.37566775212896425</v>
      </c>
      <c r="D284" s="575">
        <f t="shared" si="31"/>
        <v>0.36018968037664867</v>
      </c>
      <c r="E284" s="576">
        <f t="shared" si="32"/>
        <v>-0.01547807175231558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141</v>
      </c>
      <c r="B286" s="509" t="s">
        <v>931</v>
      </c>
      <c r="C286" s="520"/>
      <c r="D286" s="520"/>
      <c r="E286" s="520"/>
    </row>
    <row r="287" spans="1:5" ht="12.75">
      <c r="A287" s="512">
        <v>1</v>
      </c>
      <c r="B287" s="511" t="s">
        <v>736</v>
      </c>
      <c r="C287" s="547">
        <f aca="true" t="shared" si="33" ref="C287:D295">IF(C25=0,0,+C58/C25)</f>
        <v>0.5307318004293147</v>
      </c>
      <c r="D287" s="547">
        <f t="shared" si="33"/>
        <v>0.5124523012964745</v>
      </c>
      <c r="E287" s="574">
        <f aca="true" t="shared" si="34" ref="E287:E295">D287-C287</f>
        <v>-0.018279499132840216</v>
      </c>
    </row>
    <row r="288" spans="1:5" ht="12.75">
      <c r="A288" s="512">
        <v>2</v>
      </c>
      <c r="B288" s="511" t="s">
        <v>715</v>
      </c>
      <c r="C288" s="547">
        <f t="shared" si="33"/>
        <v>0.2513198577309012</v>
      </c>
      <c r="D288" s="547">
        <f t="shared" si="33"/>
        <v>0.21382413261515512</v>
      </c>
      <c r="E288" s="574">
        <f t="shared" si="34"/>
        <v>-0.03749572511574609</v>
      </c>
    </row>
    <row r="289" spans="1:5" ht="12.75">
      <c r="A289" s="512">
        <v>3</v>
      </c>
      <c r="B289" s="511" t="s">
        <v>861</v>
      </c>
      <c r="C289" s="547">
        <f t="shared" si="33"/>
        <v>0.3126101881455223</v>
      </c>
      <c r="D289" s="547">
        <f t="shared" si="33"/>
        <v>0.2722351470836192</v>
      </c>
      <c r="E289" s="574">
        <f t="shared" si="34"/>
        <v>-0.04037504106190315</v>
      </c>
    </row>
    <row r="290" spans="1:5" ht="12.75">
      <c r="A290" s="512">
        <v>4</v>
      </c>
      <c r="B290" s="511" t="s">
        <v>229</v>
      </c>
      <c r="C290" s="547">
        <f t="shared" si="33"/>
        <v>0.323175471679678</v>
      </c>
      <c r="D290" s="547">
        <f t="shared" si="33"/>
        <v>0.27676394858259046</v>
      </c>
      <c r="E290" s="574">
        <f t="shared" si="34"/>
        <v>-0.046411523097087515</v>
      </c>
    </row>
    <row r="291" spans="1:5" ht="12.75">
      <c r="A291" s="512">
        <v>5</v>
      </c>
      <c r="B291" s="511" t="s">
        <v>828</v>
      </c>
      <c r="C291" s="547">
        <f t="shared" si="33"/>
        <v>0.26936299761312077</v>
      </c>
      <c r="D291" s="547">
        <f t="shared" si="33"/>
        <v>0.24129024941980617</v>
      </c>
      <c r="E291" s="574">
        <f t="shared" si="34"/>
        <v>-0.028072748193314595</v>
      </c>
    </row>
    <row r="292" spans="1:5" ht="12.75">
      <c r="A292" s="512">
        <v>6</v>
      </c>
      <c r="B292" s="511" t="s">
        <v>533</v>
      </c>
      <c r="C292" s="547">
        <f t="shared" si="33"/>
        <v>0.30832825317376283</v>
      </c>
      <c r="D292" s="547">
        <f t="shared" si="33"/>
        <v>0.294480433881963</v>
      </c>
      <c r="E292" s="574">
        <f t="shared" si="34"/>
        <v>-0.013847819291799845</v>
      </c>
    </row>
    <row r="293" spans="1:5" ht="12.75">
      <c r="A293" s="512">
        <v>7</v>
      </c>
      <c r="B293" s="511" t="s">
        <v>843</v>
      </c>
      <c r="C293" s="547">
        <f t="shared" si="33"/>
        <v>0.3199452391143707</v>
      </c>
      <c r="D293" s="547">
        <f t="shared" si="33"/>
        <v>0.054458201973322545</v>
      </c>
      <c r="E293" s="574">
        <f t="shared" si="34"/>
        <v>-0.26548703714104815</v>
      </c>
    </row>
    <row r="294" spans="1:5" ht="29.25" customHeight="1">
      <c r="A294" s="512"/>
      <c r="B294" s="516" t="s">
        <v>932</v>
      </c>
      <c r="C294" s="575">
        <f t="shared" si="33"/>
        <v>0.2576870100223326</v>
      </c>
      <c r="D294" s="575">
        <f t="shared" si="33"/>
        <v>0.22054619796371636</v>
      </c>
      <c r="E294" s="576">
        <f t="shared" si="34"/>
        <v>-0.03714081205861622</v>
      </c>
    </row>
    <row r="295" spans="1:5" ht="12.75">
      <c r="A295" s="512"/>
      <c r="B295" s="516" t="s">
        <v>933</v>
      </c>
      <c r="C295" s="575">
        <f t="shared" si="33"/>
        <v>0.4070916381636566</v>
      </c>
      <c r="D295" s="575">
        <f t="shared" si="33"/>
        <v>0.3789636060919571</v>
      </c>
      <c r="E295" s="576">
        <f t="shared" si="34"/>
        <v>-0.028128032071699505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934</v>
      </c>
      <c r="B297" s="501" t="s">
        <v>935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129</v>
      </c>
      <c r="B299" s="509" t="s">
        <v>936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734</v>
      </c>
      <c r="C301" s="514">
        <f>+C48+C47+C50+C51+C52+C59+C58+C61+C62+C63</f>
        <v>85093763</v>
      </c>
      <c r="D301" s="514">
        <f>+D48+D47+D50+D51+D52+D59+D58+D61+D62+D63</f>
        <v>86106188</v>
      </c>
      <c r="E301" s="514">
        <f>D301-C301</f>
        <v>1012425</v>
      </c>
    </row>
    <row r="302" spans="1:5" ht="25.5">
      <c r="A302" s="512">
        <v>2</v>
      </c>
      <c r="B302" s="511" t="s">
        <v>937</v>
      </c>
      <c r="C302" s="546">
        <f>C265</f>
        <v>303282</v>
      </c>
      <c r="D302" s="546">
        <f>D265</f>
        <v>319679</v>
      </c>
      <c r="E302" s="514">
        <f>D302-C302</f>
        <v>16397</v>
      </c>
    </row>
    <row r="303" spans="1:5" ht="12.75">
      <c r="A303" s="512"/>
      <c r="B303" s="516" t="s">
        <v>938</v>
      </c>
      <c r="C303" s="517">
        <f>+C301+C302</f>
        <v>85397045</v>
      </c>
      <c r="D303" s="517">
        <f>+D301+D302</f>
        <v>86425867</v>
      </c>
      <c r="E303" s="517">
        <f>D303-C303</f>
        <v>1028822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939</v>
      </c>
      <c r="C305" s="513">
        <v>3730727</v>
      </c>
      <c r="D305" s="578">
        <v>3220173</v>
      </c>
      <c r="E305" s="579">
        <f>D305-C305</f>
        <v>-510554</v>
      </c>
    </row>
    <row r="306" spans="1:5" ht="12.75">
      <c r="A306" s="512">
        <v>4</v>
      </c>
      <c r="B306" s="516" t="s">
        <v>940</v>
      </c>
      <c r="C306" s="580">
        <f>+C303+C305+C194+C190-C191</f>
        <v>93936213</v>
      </c>
      <c r="D306" s="580">
        <f>+D303+D305</f>
        <v>89646040</v>
      </c>
      <c r="E306" s="580">
        <f>D306-C306</f>
        <v>-4290173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941</v>
      </c>
      <c r="C308" s="513">
        <v>89127772</v>
      </c>
      <c r="D308" s="513">
        <v>89646041</v>
      </c>
      <c r="E308" s="514">
        <f>D308-C308</f>
        <v>518269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942</v>
      </c>
      <c r="C310" s="581">
        <f>C306-C308</f>
        <v>4808441</v>
      </c>
      <c r="D310" s="582">
        <f>D306-D308</f>
        <v>-1</v>
      </c>
      <c r="E310" s="580">
        <f>D310-C310</f>
        <v>-4808442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141</v>
      </c>
      <c r="B312" s="509" t="s">
        <v>943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944</v>
      </c>
      <c r="C314" s="514">
        <f>+C14+C15+C16+C19+C25+C26+C27+C30</f>
        <v>214881435</v>
      </c>
      <c r="D314" s="514">
        <f>+D14+D15+D16+D19+D25+D26+D27+D30</f>
        <v>230831708</v>
      </c>
      <c r="E314" s="514">
        <f>D314-C314</f>
        <v>15950273</v>
      </c>
    </row>
    <row r="315" spans="1:5" ht="12.75">
      <c r="A315" s="512">
        <v>2</v>
      </c>
      <c r="B315" s="583" t="s">
        <v>945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946</v>
      </c>
      <c r="C316" s="581">
        <f>C314+C315</f>
        <v>214881435</v>
      </c>
      <c r="D316" s="581">
        <f>D314+D315</f>
        <v>230831708</v>
      </c>
      <c r="E316" s="517">
        <f>D316-C316</f>
        <v>15950273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947</v>
      </c>
      <c r="C318" s="513">
        <v>214881435</v>
      </c>
      <c r="D318" s="513">
        <v>230831708</v>
      </c>
      <c r="E318" s="514">
        <f>D318-C318</f>
        <v>15950273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942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151</v>
      </c>
      <c r="B322" s="509" t="s">
        <v>948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949</v>
      </c>
      <c r="C324" s="513">
        <f>+C193+C194</f>
        <v>7389498</v>
      </c>
      <c r="D324" s="513">
        <f>+D193+D194</f>
        <v>5702221</v>
      </c>
      <c r="E324" s="514">
        <f>D324-C324</f>
        <v>-1687277</v>
      </c>
    </row>
    <row r="325" spans="1:5" ht="12.75">
      <c r="A325" s="512">
        <v>2</v>
      </c>
      <c r="B325" s="511" t="s">
        <v>950</v>
      </c>
      <c r="C325" s="513">
        <v>410301</v>
      </c>
      <c r="D325" s="513">
        <v>904175</v>
      </c>
      <c r="E325" s="514">
        <f>D325-C325</f>
        <v>493874</v>
      </c>
    </row>
    <row r="326" spans="1:5" ht="12.75">
      <c r="A326" s="512"/>
      <c r="B326" s="516" t="s">
        <v>951</v>
      </c>
      <c r="C326" s="581">
        <f>C324+C325</f>
        <v>7799799</v>
      </c>
      <c r="D326" s="581">
        <f>D324+D325</f>
        <v>6606396</v>
      </c>
      <c r="E326" s="517">
        <f>D326-C326</f>
        <v>-1193403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952</v>
      </c>
      <c r="C328" s="513">
        <v>7799799</v>
      </c>
      <c r="D328" s="513">
        <v>6606397</v>
      </c>
      <c r="E328" s="514">
        <f>D328-C328</f>
        <v>-1193402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953</v>
      </c>
      <c r="C330" s="581">
        <f>C326-C328</f>
        <v>0</v>
      </c>
      <c r="D330" s="581">
        <f>D326-D328</f>
        <v>-1</v>
      </c>
      <c r="E330" s="517">
        <f>D330-C330</f>
        <v>-1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FILING&amp;RNEW MILFORD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13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115</v>
      </c>
      <c r="B2" s="705"/>
      <c r="C2" s="705"/>
      <c r="D2" s="585"/>
    </row>
    <row r="3" spans="1:4" s="338" customFormat="1" ht="15.75" customHeight="1">
      <c r="A3" s="695" t="s">
        <v>706</v>
      </c>
      <c r="B3" s="696"/>
      <c r="C3" s="697"/>
      <c r="D3" s="585"/>
    </row>
    <row r="4" spans="1:4" s="338" customFormat="1" ht="15.75" customHeight="1">
      <c r="A4" s="695" t="s">
        <v>117</v>
      </c>
      <c r="B4" s="696"/>
      <c r="C4" s="697"/>
      <c r="D4" s="585"/>
    </row>
    <row r="5" spans="1:4" s="338" customFormat="1" ht="15.75" customHeight="1">
      <c r="A5" s="695" t="s">
        <v>954</v>
      </c>
      <c r="B5" s="696"/>
      <c r="C5" s="697"/>
      <c r="D5" s="585"/>
    </row>
    <row r="6" spans="1:4" s="338" customFormat="1" ht="15.75" customHeight="1">
      <c r="A6" s="695" t="s">
        <v>955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123</v>
      </c>
      <c r="B9" s="493" t="s">
        <v>124</v>
      </c>
      <c r="C9" s="494" t="s">
        <v>956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127</v>
      </c>
      <c r="B11" s="501" t="s">
        <v>957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129</v>
      </c>
      <c r="B13" s="509" t="s">
        <v>860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736</v>
      </c>
      <c r="C14" s="513">
        <v>29547592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715</v>
      </c>
      <c r="C15" s="515">
        <v>40456850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861</v>
      </c>
      <c r="C16" s="515">
        <v>2936781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229</v>
      </c>
      <c r="C17" s="515">
        <v>2441592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828</v>
      </c>
      <c r="C18" s="515">
        <v>495189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533</v>
      </c>
      <c r="C19" s="515">
        <v>65802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843</v>
      </c>
      <c r="C20" s="515">
        <v>1206064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862</v>
      </c>
      <c r="C21" s="517">
        <f>SUM(C15+C16+C19)</f>
        <v>43459433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802</v>
      </c>
      <c r="C22" s="517">
        <f>SUM(C14+C21)</f>
        <v>73007025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141</v>
      </c>
      <c r="B24" s="509" t="s">
        <v>863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736</v>
      </c>
      <c r="C25" s="513">
        <v>85651437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715</v>
      </c>
      <c r="C26" s="515">
        <v>63948287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861</v>
      </c>
      <c r="C27" s="515">
        <v>8012551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229</v>
      </c>
      <c r="C28" s="515">
        <v>6989617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828</v>
      </c>
      <c r="C29" s="515">
        <v>1022934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533</v>
      </c>
      <c r="C30" s="515">
        <v>212408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843</v>
      </c>
      <c r="C31" s="518">
        <v>3396201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864</v>
      </c>
      <c r="C32" s="517">
        <f>SUM(C26+C27+C30)</f>
        <v>72173246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808</v>
      </c>
      <c r="C33" s="517">
        <f>SUM(C25+C32)</f>
        <v>157824683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151</v>
      </c>
      <c r="B35" s="509" t="s">
        <v>733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958</v>
      </c>
      <c r="C36" s="514">
        <f>SUM(C14+C25)</f>
        <v>115199029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959</v>
      </c>
      <c r="C37" s="518">
        <f>SUM(C21+C32)</f>
        <v>115632679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733</v>
      </c>
      <c r="C38" s="517">
        <f>SUM(+C36+C37)</f>
        <v>230831708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436</v>
      </c>
      <c r="B40" s="509" t="s">
        <v>873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736</v>
      </c>
      <c r="C41" s="513">
        <v>11969482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715</v>
      </c>
      <c r="C42" s="515">
        <v>13356718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861</v>
      </c>
      <c r="C43" s="515">
        <v>954498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229</v>
      </c>
      <c r="C44" s="515">
        <v>810165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828</v>
      </c>
      <c r="C45" s="515">
        <v>144333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533</v>
      </c>
      <c r="C46" s="515">
        <v>15679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843</v>
      </c>
      <c r="C47" s="515">
        <v>65680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874</v>
      </c>
      <c r="C48" s="517">
        <f>SUM(C42+C43+C46)</f>
        <v>14326895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803</v>
      </c>
      <c r="C49" s="517">
        <f>SUM(C41+C48)</f>
        <v>26296377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457</v>
      </c>
      <c r="B51" s="509" t="s">
        <v>875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736</v>
      </c>
      <c r="C52" s="513">
        <v>43892276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715</v>
      </c>
      <c r="C53" s="515">
        <v>13673687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861</v>
      </c>
      <c r="C54" s="515">
        <v>2181298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229</v>
      </c>
      <c r="C55" s="515">
        <v>1934474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828</v>
      </c>
      <c r="C56" s="515">
        <v>246824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533</v>
      </c>
      <c r="C57" s="515">
        <v>62550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843</v>
      </c>
      <c r="C58" s="515">
        <v>184951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876</v>
      </c>
      <c r="C59" s="517">
        <f>SUM(C53+C54+C57)</f>
        <v>15917535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809</v>
      </c>
      <c r="C60" s="517">
        <f>SUM(C52+C59)</f>
        <v>59809811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469</v>
      </c>
      <c r="B62" s="521" t="s">
        <v>734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960</v>
      </c>
      <c r="C63" s="514">
        <f>SUM(C41+C52)</f>
        <v>55861758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961</v>
      </c>
      <c r="C64" s="518">
        <f>SUM(C48+C59)</f>
        <v>30244430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734</v>
      </c>
      <c r="C65" s="517">
        <f>SUM(+C63+C64)</f>
        <v>86106188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159</v>
      </c>
      <c r="B67" s="501" t="s">
        <v>962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129</v>
      </c>
      <c r="B69" s="509" t="s">
        <v>963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736</v>
      </c>
      <c r="C70" s="530">
        <v>1285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715</v>
      </c>
      <c r="C71" s="530">
        <v>1248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861</v>
      </c>
      <c r="C72" s="530">
        <v>235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229</v>
      </c>
      <c r="C73" s="530">
        <v>208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828</v>
      </c>
      <c r="C74" s="530">
        <v>27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533</v>
      </c>
      <c r="C75" s="545">
        <v>6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843</v>
      </c>
      <c r="C76" s="545">
        <v>60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891</v>
      </c>
      <c r="C77" s="532">
        <f>SUM(C71+C72+C75)</f>
        <v>1489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805</v>
      </c>
      <c r="C78" s="596">
        <f>SUM(C70+C77)</f>
        <v>2774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141</v>
      </c>
      <c r="B80" s="509" t="s">
        <v>896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736</v>
      </c>
      <c r="C81" s="541">
        <v>1.1383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715</v>
      </c>
      <c r="C82" s="541">
        <v>1.5634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861</v>
      </c>
      <c r="C83" s="541">
        <f>((C73*C84)+(C74*C85))/(C73+C74)</f>
        <v>0.7816774468085106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229</v>
      </c>
      <c r="C84" s="541">
        <v>0.753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828</v>
      </c>
      <c r="C85" s="541">
        <v>1.0026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533</v>
      </c>
      <c r="C86" s="541">
        <v>0.6283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843</v>
      </c>
      <c r="C87" s="541">
        <v>1.0884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897</v>
      </c>
      <c r="C88" s="543">
        <f>((C71*C82)+(C73*C84)+(C74*C85)+(C75*C86))/(C71+C73+C74+C75)</f>
        <v>1.4362573539288113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806</v>
      </c>
      <c r="C89" s="543">
        <f>((C70*C81)+(C71*C82)+(C73*C84)+(C74*C85)+(C75*C86))/(C70+C71+C73+C74+C75)</f>
        <v>1.2982345710165824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151</v>
      </c>
      <c r="B91" s="509" t="s">
        <v>898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899</v>
      </c>
      <c r="C92" s="513">
        <v>110596764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900</v>
      </c>
      <c r="C93" s="546">
        <v>56961715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748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832</v>
      </c>
      <c r="C95" s="513">
        <f>+C92-C93</f>
        <v>53635049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750</v>
      </c>
      <c r="C96" s="597">
        <f>(+C92-C93)/C92</f>
        <v>0.4849603827468225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847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833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964</v>
      </c>
      <c r="C101" s="513">
        <v>319679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902</v>
      </c>
      <c r="C103" s="513">
        <v>1620381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903</v>
      </c>
      <c r="C104" s="513">
        <v>4081840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904</v>
      </c>
      <c r="C105" s="578">
        <f>+C103+C104</f>
        <v>5702221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905</v>
      </c>
      <c r="C107" s="513">
        <v>3580001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790</v>
      </c>
      <c r="C108" s="513">
        <v>98752754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250</v>
      </c>
      <c r="B110" s="501" t="s">
        <v>935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129</v>
      </c>
      <c r="B112" s="509" t="s">
        <v>936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734</v>
      </c>
      <c r="C114" s="514">
        <f>+C65</f>
        <v>86106188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937</v>
      </c>
      <c r="C115" s="546">
        <f>+C101</f>
        <v>319679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938</v>
      </c>
      <c r="C116" s="517">
        <f>+C114+C115</f>
        <v>86425867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939</v>
      </c>
      <c r="C118" s="578">
        <v>3220173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940</v>
      </c>
      <c r="C119" s="580">
        <f>+C116+C118</f>
        <v>89646040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941</v>
      </c>
      <c r="C121" s="513">
        <v>89646041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942</v>
      </c>
      <c r="C123" s="582">
        <f>C119-C121</f>
        <v>-1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141</v>
      </c>
      <c r="B125" s="509" t="s">
        <v>943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944</v>
      </c>
      <c r="C127" s="514">
        <f>+C38</f>
        <v>230831708</v>
      </c>
      <c r="D127" s="588"/>
      <c r="AR127" s="507"/>
    </row>
    <row r="128" spans="1:44" s="506" customFormat="1" ht="12.75">
      <c r="A128" s="512">
        <v>2</v>
      </c>
      <c r="B128" s="583" t="s">
        <v>945</v>
      </c>
      <c r="C128" s="513">
        <v>0</v>
      </c>
      <c r="D128" s="588"/>
      <c r="AR128" s="507"/>
    </row>
    <row r="129" spans="1:44" s="506" customFormat="1" ht="12.75">
      <c r="A129" s="512"/>
      <c r="B129" s="516" t="s">
        <v>946</v>
      </c>
      <c r="C129" s="581">
        <f>C127+C128</f>
        <v>230831708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947</v>
      </c>
      <c r="C131" s="513">
        <v>230831708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942</v>
      </c>
      <c r="C133" s="581">
        <f>C129-C131</f>
        <v>0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151</v>
      </c>
      <c r="B135" s="509" t="s">
        <v>948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949</v>
      </c>
      <c r="C137" s="513">
        <f>C105</f>
        <v>5702221</v>
      </c>
      <c r="D137" s="588"/>
      <c r="AR137" s="507"/>
    </row>
    <row r="138" spans="1:44" s="506" customFormat="1" ht="12.75">
      <c r="A138" s="512">
        <v>2</v>
      </c>
      <c r="B138" s="511" t="s">
        <v>965</v>
      </c>
      <c r="C138" s="513">
        <v>904175</v>
      </c>
      <c r="D138" s="588"/>
      <c r="AR138" s="507"/>
    </row>
    <row r="139" spans="1:44" s="506" customFormat="1" ht="12.75">
      <c r="A139" s="512"/>
      <c r="B139" s="516" t="s">
        <v>951</v>
      </c>
      <c r="C139" s="581">
        <f>C137+C138</f>
        <v>6606396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966</v>
      </c>
      <c r="C141" s="513">
        <v>6606397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953</v>
      </c>
      <c r="C143" s="581">
        <f>C139-C141</f>
        <v>-1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FILING&amp;RNEW MILFORD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9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706</v>
      </c>
      <c r="B3" s="715"/>
      <c r="C3" s="715"/>
      <c r="D3" s="715"/>
      <c r="E3" s="715"/>
      <c r="F3" s="716"/>
    </row>
    <row r="4" spans="1:6" ht="15.75" customHeight="1">
      <c r="A4" s="714" t="s">
        <v>707</v>
      </c>
      <c r="B4" s="715"/>
      <c r="C4" s="715"/>
      <c r="D4" s="715"/>
      <c r="E4" s="715"/>
      <c r="F4" s="716"/>
    </row>
    <row r="5" spans="1:6" ht="15.75" customHeight="1">
      <c r="A5" s="714" t="s">
        <v>967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710</v>
      </c>
      <c r="D8" s="35" t="s">
        <v>710</v>
      </c>
      <c r="E8" s="35" t="s">
        <v>121</v>
      </c>
      <c r="F8" s="35" t="s">
        <v>122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123</v>
      </c>
      <c r="B9" s="606" t="s">
        <v>124</v>
      </c>
      <c r="C9" s="607" t="s">
        <v>712</v>
      </c>
      <c r="D9" s="607" t="s">
        <v>713</v>
      </c>
      <c r="E9" s="605" t="s">
        <v>126</v>
      </c>
      <c r="F9" s="605" t="s">
        <v>126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129</v>
      </c>
      <c r="B11" s="606" t="s">
        <v>968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969</v>
      </c>
      <c r="C12" s="49">
        <v>278</v>
      </c>
      <c r="D12" s="49">
        <v>274</v>
      </c>
      <c r="E12" s="49">
        <f>+D12-C12</f>
        <v>-4</v>
      </c>
      <c r="F12" s="70">
        <f>IF(C12=0,0,+E12/C12)</f>
        <v>-0.014388489208633094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970</v>
      </c>
      <c r="C13" s="49">
        <v>254</v>
      </c>
      <c r="D13" s="49">
        <v>250</v>
      </c>
      <c r="E13" s="49">
        <f>+D13-C13</f>
        <v>-4</v>
      </c>
      <c r="F13" s="70">
        <f>IF(C13=0,0,+E13/C13)</f>
        <v>-0.015748031496062992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971</v>
      </c>
      <c r="C15" s="51">
        <v>2581057</v>
      </c>
      <c r="D15" s="51">
        <v>1620381</v>
      </c>
      <c r="E15" s="51">
        <f>+D15-C15</f>
        <v>-960676</v>
      </c>
      <c r="F15" s="70">
        <f>IF(C15=0,0,+E15/C15)</f>
        <v>-0.37220255112537226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972</v>
      </c>
      <c r="C16" s="27">
        <f>IF(C13=0,0,+C15/+C13)</f>
        <v>10161.641732283464</v>
      </c>
      <c r="D16" s="27">
        <f>IF(D13=0,0,+D15/+D13)</f>
        <v>6481.524</v>
      </c>
      <c r="E16" s="27">
        <f>+D16-C16</f>
        <v>-3680.1177322834637</v>
      </c>
      <c r="F16" s="28">
        <f>IF(C16=0,0,+E16/C16)</f>
        <v>-0.36215779194337816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973</v>
      </c>
      <c r="C18" s="210">
        <v>0.421997</v>
      </c>
      <c r="D18" s="210">
        <v>0.418624</v>
      </c>
      <c r="E18" s="210">
        <f>+D18-C18</f>
        <v>-0.003373000000000015</v>
      </c>
      <c r="F18" s="70">
        <f>IF(C18=0,0,+E18/C18)</f>
        <v>-0.007992947817164612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974</v>
      </c>
      <c r="C19" s="27">
        <f>+C15*C18</f>
        <v>1089198.310829</v>
      </c>
      <c r="D19" s="27">
        <f>+D15*D18</f>
        <v>678330.375744</v>
      </c>
      <c r="E19" s="27">
        <f>+D19-C19</f>
        <v>-410867.9350850001</v>
      </c>
      <c r="F19" s="28">
        <f>IF(C19=0,0,+E19/C19)</f>
        <v>-0.37722050337397633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975</v>
      </c>
      <c r="C20" s="27">
        <f>IF(C13=0,0,+C19/C13)</f>
        <v>4288.182326098426</v>
      </c>
      <c r="D20" s="27">
        <f>IF(D13=0,0,+D19/D13)</f>
        <v>2713.321502976</v>
      </c>
      <c r="E20" s="27">
        <f>+D20-C20</f>
        <v>-1574.8608231224257</v>
      </c>
      <c r="F20" s="28">
        <f>IF(C20=0,0,+E20/C20)</f>
        <v>-0.36725603142795993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976</v>
      </c>
      <c r="C22" s="51">
        <v>594246</v>
      </c>
      <c r="D22" s="51">
        <v>749801</v>
      </c>
      <c r="E22" s="51">
        <f>+D22-C22</f>
        <v>155555</v>
      </c>
      <c r="F22" s="70">
        <f>IF(C22=0,0,+E22/C22)</f>
        <v>0.2617686951195296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977</v>
      </c>
      <c r="C23" s="49">
        <v>1843021</v>
      </c>
      <c r="D23" s="49">
        <v>721359</v>
      </c>
      <c r="E23" s="49">
        <f>+D23-C23</f>
        <v>-1121662</v>
      </c>
      <c r="F23" s="70">
        <f>IF(C23=0,0,+E23/C23)</f>
        <v>-0.608599684973747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0</v>
      </c>
      <c r="C24" s="49">
        <v>143790</v>
      </c>
      <c r="D24" s="49">
        <v>149221</v>
      </c>
      <c r="E24" s="49">
        <f>+D24-C24</f>
        <v>5431</v>
      </c>
      <c r="F24" s="70">
        <f>IF(C24=0,0,+E24/C24)</f>
        <v>0.03777035955212463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971</v>
      </c>
      <c r="C25" s="27">
        <f>+C22+C23+C24</f>
        <v>2581057</v>
      </c>
      <c r="D25" s="27">
        <f>+D22+D23+D24</f>
        <v>1620381</v>
      </c>
      <c r="E25" s="27">
        <f>+E22+E23+E24</f>
        <v>-960676</v>
      </c>
      <c r="F25" s="28">
        <f>IF(C25=0,0,+E25/C25)</f>
        <v>-0.37220255112537226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1</v>
      </c>
      <c r="C27" s="49">
        <v>133</v>
      </c>
      <c r="D27" s="49">
        <v>140</v>
      </c>
      <c r="E27" s="49">
        <f>+D27-C27</f>
        <v>7</v>
      </c>
      <c r="F27" s="70">
        <f>IF(C27=0,0,+E27/C27)</f>
        <v>0.05263157894736842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2</v>
      </c>
      <c r="C28" s="49">
        <v>51</v>
      </c>
      <c r="D28" s="49">
        <v>39</v>
      </c>
      <c r="E28" s="49">
        <f>+D28-C28</f>
        <v>-12</v>
      </c>
      <c r="F28" s="70">
        <f>IF(C28=0,0,+E28/C28)</f>
        <v>-0.23529411764705882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3</v>
      </c>
      <c r="C29" s="49">
        <v>557</v>
      </c>
      <c r="D29" s="49">
        <v>174</v>
      </c>
      <c r="E29" s="49">
        <f>+D29-C29</f>
        <v>-383</v>
      </c>
      <c r="F29" s="70">
        <f>IF(C29=0,0,+E29/C29)</f>
        <v>-0.6876122082585279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4</v>
      </c>
      <c r="C30" s="49">
        <v>181</v>
      </c>
      <c r="D30" s="49">
        <v>484</v>
      </c>
      <c r="E30" s="49">
        <f>+D30-C30</f>
        <v>303</v>
      </c>
      <c r="F30" s="70">
        <f>IF(C30=0,0,+E30/C30)</f>
        <v>1.6740331491712708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141</v>
      </c>
      <c r="B32" s="606" t="s">
        <v>5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6</v>
      </c>
      <c r="C33" s="51">
        <v>1692542</v>
      </c>
      <c r="D33" s="51">
        <v>1293341</v>
      </c>
      <c r="E33" s="51">
        <f>+D33-C33</f>
        <v>-399201</v>
      </c>
      <c r="F33" s="70">
        <f>IF(C33=0,0,+E33/C33)</f>
        <v>-0.23585884427092504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7</v>
      </c>
      <c r="C34" s="49">
        <v>2779084</v>
      </c>
      <c r="D34" s="49">
        <v>2490722</v>
      </c>
      <c r="E34" s="49">
        <f>+D34-C34</f>
        <v>-288362</v>
      </c>
      <c r="F34" s="70">
        <f>IF(C34=0,0,+E34/C34)</f>
        <v>-0.10376152717945913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8</v>
      </c>
      <c r="C35" s="49">
        <v>336815</v>
      </c>
      <c r="D35" s="49">
        <v>297777</v>
      </c>
      <c r="E35" s="49">
        <f>+D35-C35</f>
        <v>-39038</v>
      </c>
      <c r="F35" s="70">
        <f>IF(C35=0,0,+E35/C35)</f>
        <v>-0.1159033891008417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9</v>
      </c>
      <c r="C36" s="27">
        <f>+C33+C34+C35</f>
        <v>4808441</v>
      </c>
      <c r="D36" s="27">
        <f>+D33+D34+D35</f>
        <v>4081840</v>
      </c>
      <c r="E36" s="27">
        <f>+E33+E34+E35</f>
        <v>-726601</v>
      </c>
      <c r="F36" s="28">
        <f>IF(C36=0,0,+E36/C36)</f>
        <v>-0.15110947602351782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151</v>
      </c>
      <c r="B38" s="606" t="s">
        <v>10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11</v>
      </c>
      <c r="C39" s="51">
        <f>+C25</f>
        <v>2581057</v>
      </c>
      <c r="D39" s="51">
        <f>+D25</f>
        <v>1620381</v>
      </c>
      <c r="E39" s="51">
        <f>+D39-C39</f>
        <v>-960676</v>
      </c>
      <c r="F39" s="70">
        <f>IF(C39=0,0,+E39/C39)</f>
        <v>-0.37220255112537226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12</v>
      </c>
      <c r="C40" s="49">
        <f>+C36</f>
        <v>4808441</v>
      </c>
      <c r="D40" s="49">
        <f>+D36</f>
        <v>4081840</v>
      </c>
      <c r="E40" s="49">
        <f>+D40-C40</f>
        <v>-726601</v>
      </c>
      <c r="F40" s="70">
        <f>IF(C40=0,0,+E40/C40)</f>
        <v>-0.15110947602351782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13</v>
      </c>
      <c r="C41" s="27">
        <f>+C39+C40</f>
        <v>7389498</v>
      </c>
      <c r="D41" s="27">
        <f>+D39+D40</f>
        <v>5702221</v>
      </c>
      <c r="E41" s="27">
        <f>+E39+E40</f>
        <v>-1687277</v>
      </c>
      <c r="F41" s="28">
        <f>IF(C41=0,0,+E41/C41)</f>
        <v>-0.2283344551957386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14</v>
      </c>
      <c r="C43" s="51">
        <f aca="true" t="shared" si="0" ref="C43:D45">+C22+C33</f>
        <v>2286788</v>
      </c>
      <c r="D43" s="51">
        <f t="shared" si="0"/>
        <v>2043142</v>
      </c>
      <c r="E43" s="51">
        <f>+D43-C43</f>
        <v>-243646</v>
      </c>
      <c r="F43" s="70">
        <f>IF(C43=0,0,+E43/C43)</f>
        <v>-0.10654507545080698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15</v>
      </c>
      <c r="C44" s="49">
        <f t="shared" si="0"/>
        <v>4622105</v>
      </c>
      <c r="D44" s="49">
        <f t="shared" si="0"/>
        <v>3212081</v>
      </c>
      <c r="E44" s="49">
        <f>+D44-C44</f>
        <v>-1410024</v>
      </c>
      <c r="F44" s="70">
        <f>IF(C44=0,0,+E44/C44)</f>
        <v>-0.3050610057538719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16</v>
      </c>
      <c r="C45" s="49">
        <f t="shared" si="0"/>
        <v>480605</v>
      </c>
      <c r="D45" s="49">
        <f t="shared" si="0"/>
        <v>446998</v>
      </c>
      <c r="E45" s="49">
        <f>+D45-C45</f>
        <v>-33607</v>
      </c>
      <c r="F45" s="70">
        <f>IF(C45=0,0,+E45/C45)</f>
        <v>-0.06992644687425224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13</v>
      </c>
      <c r="C46" s="27">
        <f>+C43+C44+C45</f>
        <v>7389498</v>
      </c>
      <c r="D46" s="27">
        <f>+D43+D44+D45</f>
        <v>5702221</v>
      </c>
      <c r="E46" s="27">
        <f>+E43+E44+E45</f>
        <v>-1687277</v>
      </c>
      <c r="F46" s="28">
        <f>IF(C46=0,0,+E46/C46)</f>
        <v>-0.2283344551957386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17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FILING&amp;RNEW MILFORD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I55" sqref="I55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706</v>
      </c>
      <c r="B3" s="715"/>
      <c r="C3" s="715"/>
      <c r="D3" s="715"/>
      <c r="E3" s="715"/>
      <c r="F3" s="716"/>
    </row>
    <row r="4" spans="1:6" ht="15.75" customHeight="1">
      <c r="A4" s="714" t="s">
        <v>707</v>
      </c>
      <c r="B4" s="715"/>
      <c r="C4" s="715"/>
      <c r="D4" s="715"/>
      <c r="E4" s="715"/>
      <c r="F4" s="716"/>
    </row>
    <row r="5" spans="1:6" ht="15.75" customHeight="1">
      <c r="A5" s="714" t="s">
        <v>18</v>
      </c>
      <c r="B5" s="715"/>
      <c r="C5" s="715"/>
      <c r="D5" s="715"/>
      <c r="E5" s="715"/>
      <c r="F5" s="716"/>
    </row>
    <row r="6" spans="1:6" ht="15.75" customHeight="1">
      <c r="A6" s="714" t="s">
        <v>19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712</v>
      </c>
      <c r="D9" s="35" t="s">
        <v>713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20</v>
      </c>
      <c r="D10" s="35" t="s">
        <v>20</v>
      </c>
      <c r="E10" s="35" t="s">
        <v>121</v>
      </c>
      <c r="F10" s="35" t="s">
        <v>122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123</v>
      </c>
      <c r="B11" s="606" t="s">
        <v>124</v>
      </c>
      <c r="C11" s="605" t="s">
        <v>21</v>
      </c>
      <c r="D11" s="605" t="s">
        <v>21</v>
      </c>
      <c r="E11" s="605" t="s">
        <v>126</v>
      </c>
      <c r="F11" s="605" t="s">
        <v>126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22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440</v>
      </c>
      <c r="C15" s="51">
        <v>102378537</v>
      </c>
      <c r="D15" s="51">
        <v>110596764</v>
      </c>
      <c r="E15" s="51">
        <f>+D15-C15</f>
        <v>8218227</v>
      </c>
      <c r="F15" s="70">
        <f>+E15/C15</f>
        <v>0.08027294822546643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619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23</v>
      </c>
      <c r="C17" s="51">
        <v>46651262</v>
      </c>
      <c r="D17" s="51">
        <v>53635049</v>
      </c>
      <c r="E17" s="51">
        <f>+D17-C17</f>
        <v>6983787</v>
      </c>
      <c r="F17" s="70">
        <f>+E17/C17</f>
        <v>0.1497019952000441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24</v>
      </c>
      <c r="C19" s="27">
        <f>+C15-C17</f>
        <v>55727275</v>
      </c>
      <c r="D19" s="27">
        <f>+D15-D17</f>
        <v>56961715</v>
      </c>
      <c r="E19" s="27">
        <f>+D19-C19</f>
        <v>1234440</v>
      </c>
      <c r="F19" s="28">
        <f>+E19/C19</f>
        <v>0.022151450972616192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25</v>
      </c>
      <c r="C21" s="628">
        <f>+C17/C15</f>
        <v>0.4556742396113748</v>
      </c>
      <c r="D21" s="628">
        <f>+D17/D15</f>
        <v>0.4849603827468225</v>
      </c>
      <c r="E21" s="628">
        <f>+D21-C21</f>
        <v>0.029286143135447695</v>
      </c>
      <c r="F21" s="28">
        <f>+E21/C21</f>
        <v>0.06426991168169743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619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619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619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619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26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FILING&amp;R&amp;12NEW MILFORD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8" t="s">
        <v>115</v>
      </c>
      <c r="B1" s="718"/>
      <c r="C1" s="718"/>
      <c r="D1" s="718"/>
      <c r="E1" s="718"/>
      <c r="F1" s="630"/>
    </row>
    <row r="2" spans="1:6" ht="25.5" customHeight="1">
      <c r="A2" s="718" t="s">
        <v>116</v>
      </c>
      <c r="B2" s="718"/>
      <c r="C2" s="718"/>
      <c r="D2" s="718"/>
      <c r="E2" s="718"/>
      <c r="F2" s="630"/>
    </row>
    <row r="3" spans="1:6" ht="25.5" customHeight="1">
      <c r="A3" s="718" t="s">
        <v>117</v>
      </c>
      <c r="B3" s="718"/>
      <c r="C3" s="718"/>
      <c r="D3" s="718"/>
      <c r="E3" s="718"/>
      <c r="F3" s="630"/>
    </row>
    <row r="4" spans="1:6" ht="25.5" customHeight="1">
      <c r="A4" s="718" t="s">
        <v>27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28</v>
      </c>
      <c r="B6" s="632" t="s">
        <v>29</v>
      </c>
      <c r="C6" s="632" t="s">
        <v>30</v>
      </c>
      <c r="D6" s="632" t="s">
        <v>31</v>
      </c>
      <c r="E6" s="632" t="s">
        <v>32</v>
      </c>
    </row>
    <row r="7" spans="1:5" ht="37.5" customHeight="1">
      <c r="A7" s="633" t="s">
        <v>123</v>
      </c>
      <c r="B7" s="634" t="s">
        <v>33</v>
      </c>
      <c r="C7" s="631" t="s">
        <v>34</v>
      </c>
      <c r="D7" s="631" t="s">
        <v>35</v>
      </c>
      <c r="E7" s="631" t="s">
        <v>36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129</v>
      </c>
      <c r="B9" s="637" t="s">
        <v>37</v>
      </c>
      <c r="C9" s="638"/>
      <c r="D9" s="638"/>
      <c r="E9" s="638"/>
    </row>
    <row r="10" spans="1:5" ht="25.5" customHeight="1">
      <c r="A10" s="639">
        <v>1</v>
      </c>
      <c r="B10" s="640" t="s">
        <v>38</v>
      </c>
      <c r="C10" s="641">
        <v>66893286</v>
      </c>
      <c r="D10" s="641">
        <v>75823607</v>
      </c>
      <c r="E10" s="641">
        <v>73007025</v>
      </c>
    </row>
    <row r="11" spans="1:5" ht="25.5" customHeight="1">
      <c r="A11" s="639">
        <v>2</v>
      </c>
      <c r="B11" s="640" t="s">
        <v>39</v>
      </c>
      <c r="C11" s="641">
        <v>129341268</v>
      </c>
      <c r="D11" s="641">
        <v>139057828</v>
      </c>
      <c r="E11" s="641">
        <v>157824683</v>
      </c>
    </row>
    <row r="12" spans="1:5" ht="25.5" customHeight="1">
      <c r="A12" s="639">
        <v>3</v>
      </c>
      <c r="B12" s="640" t="s">
        <v>186</v>
      </c>
      <c r="C12" s="641">
        <f>+C11+C10</f>
        <v>196234554</v>
      </c>
      <c r="D12" s="641">
        <f>+D11+D10</f>
        <v>214881435</v>
      </c>
      <c r="E12" s="641">
        <f>+E11+E10</f>
        <v>230831708</v>
      </c>
    </row>
    <row r="13" spans="1:5" ht="25.5" customHeight="1">
      <c r="A13" s="639">
        <v>4</v>
      </c>
      <c r="B13" s="640" t="s">
        <v>599</v>
      </c>
      <c r="C13" s="641">
        <v>84051521</v>
      </c>
      <c r="D13" s="641">
        <v>88824490</v>
      </c>
      <c r="E13" s="641">
        <v>89326362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141</v>
      </c>
      <c r="B15" s="642" t="s">
        <v>439</v>
      </c>
      <c r="C15" s="641"/>
      <c r="D15" s="641"/>
      <c r="E15" s="641"/>
    </row>
    <row r="16" spans="1:5" ht="25.5" customHeight="1">
      <c r="A16" s="639">
        <v>1</v>
      </c>
      <c r="B16" s="640" t="s">
        <v>40</v>
      </c>
      <c r="C16" s="641">
        <v>87234032</v>
      </c>
      <c r="D16" s="641">
        <v>95880966</v>
      </c>
      <c r="E16" s="641">
        <v>98752754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151</v>
      </c>
      <c r="B18" s="642" t="s">
        <v>41</v>
      </c>
      <c r="C18" s="643"/>
      <c r="D18" s="643"/>
      <c r="E18" s="641"/>
    </row>
    <row r="19" spans="1:5" ht="25.5" customHeight="1">
      <c r="A19" s="639">
        <v>1</v>
      </c>
      <c r="B19" s="640" t="s">
        <v>487</v>
      </c>
      <c r="C19" s="644">
        <v>11268</v>
      </c>
      <c r="D19" s="644">
        <v>11785</v>
      </c>
      <c r="E19" s="644">
        <v>9874</v>
      </c>
    </row>
    <row r="20" spans="1:5" ht="25.5" customHeight="1">
      <c r="A20" s="639">
        <v>2</v>
      </c>
      <c r="B20" s="640" t="s">
        <v>488</v>
      </c>
      <c r="C20" s="645">
        <v>2845</v>
      </c>
      <c r="D20" s="645">
        <v>3032</v>
      </c>
      <c r="E20" s="645">
        <v>2774</v>
      </c>
    </row>
    <row r="21" spans="1:5" ht="25.5" customHeight="1">
      <c r="A21" s="639">
        <v>3</v>
      </c>
      <c r="B21" s="640" t="s">
        <v>42</v>
      </c>
      <c r="C21" s="646">
        <f>IF(C20=0,0,+C19/C20)</f>
        <v>3.960632688927944</v>
      </c>
      <c r="D21" s="646">
        <f>IF(D20=0,0,+D19/D20)</f>
        <v>3.8868733509234827</v>
      </c>
      <c r="E21" s="646">
        <f>IF(E20=0,0,+E19/E20)</f>
        <v>3.5594808940158615</v>
      </c>
    </row>
    <row r="22" spans="1:5" ht="25.5" customHeight="1">
      <c r="A22" s="639">
        <v>4</v>
      </c>
      <c r="B22" s="640" t="s">
        <v>43</v>
      </c>
      <c r="C22" s="645">
        <f>IF(C10=0,0,C19*(C12/C10))</f>
        <v>33055.20010591198</v>
      </c>
      <c r="D22" s="645">
        <f>IF(D10=0,0,D19*(D12/D10))</f>
        <v>33398.27544045748</v>
      </c>
      <c r="E22" s="645">
        <f>IF(E10=0,0,E19*(E12/E10))</f>
        <v>31219.355737232137</v>
      </c>
    </row>
    <row r="23" spans="1:5" ht="25.5" customHeight="1">
      <c r="A23" s="639">
        <v>0</v>
      </c>
      <c r="B23" s="640" t="s">
        <v>44</v>
      </c>
      <c r="C23" s="645">
        <f>IF(C10=0,0,C20*(C12/C10))</f>
        <v>8345.939323865778</v>
      </c>
      <c r="D23" s="645">
        <f>IF(D10=0,0,D20*(D12/D10))</f>
        <v>8592.581343696826</v>
      </c>
      <c r="E23" s="645">
        <f>IF(E10=0,0,E20*(E12/E10))</f>
        <v>8770.760868450674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436</v>
      </c>
      <c r="B25" s="642" t="s">
        <v>45</v>
      </c>
      <c r="C25" s="645"/>
      <c r="D25" s="645"/>
      <c r="E25" s="645"/>
    </row>
    <row r="26" spans="1:5" ht="25.5" customHeight="1">
      <c r="A26" s="639">
        <v>1</v>
      </c>
      <c r="B26" s="640" t="s">
        <v>537</v>
      </c>
      <c r="C26" s="647">
        <v>1.212039121265378</v>
      </c>
      <c r="D26" s="647">
        <v>1.278953957783641</v>
      </c>
      <c r="E26" s="647">
        <v>1.2982345710165824</v>
      </c>
    </row>
    <row r="27" spans="1:5" ht="25.5" customHeight="1">
      <c r="A27" s="639">
        <v>2</v>
      </c>
      <c r="B27" s="640" t="s">
        <v>46</v>
      </c>
      <c r="C27" s="645">
        <f>C19*C26</f>
        <v>13657.25681841828</v>
      </c>
      <c r="D27" s="645">
        <f>D19*D26</f>
        <v>15072.47239248021</v>
      </c>
      <c r="E27" s="645">
        <f>E19*E26</f>
        <v>12818.768154217734</v>
      </c>
    </row>
    <row r="28" spans="1:5" ht="25.5" customHeight="1">
      <c r="A28" s="639">
        <v>3</v>
      </c>
      <c r="B28" s="640" t="s">
        <v>47</v>
      </c>
      <c r="C28" s="645">
        <f>C20*C26</f>
        <v>3448.2513000000004</v>
      </c>
      <c r="D28" s="645">
        <f>D20*D26</f>
        <v>3877.7884</v>
      </c>
      <c r="E28" s="645">
        <f>E20*E26</f>
        <v>3601.3026999999993</v>
      </c>
    </row>
    <row r="29" spans="1:5" ht="25.5" customHeight="1">
      <c r="A29" s="639">
        <v>4</v>
      </c>
      <c r="B29" s="640" t="s">
        <v>48</v>
      </c>
      <c r="C29" s="645">
        <f>C22*C26</f>
        <v>40064.195689620785</v>
      </c>
      <c r="D29" s="645">
        <f>D22*D26</f>
        <v>42714.85655772127</v>
      </c>
      <c r="E29" s="645">
        <f>E22*E26</f>
        <v>40530.04690293964</v>
      </c>
    </row>
    <row r="30" spans="1:5" ht="25.5" customHeight="1">
      <c r="A30" s="639">
        <v>5</v>
      </c>
      <c r="B30" s="640" t="s">
        <v>49</v>
      </c>
      <c r="C30" s="645">
        <f>C23*C26</f>
        <v>10115.60496423244</v>
      </c>
      <c r="D30" s="645">
        <f>D23*D26</f>
        <v>10989.515917098932</v>
      </c>
      <c r="E30" s="645">
        <f>E23*E26</f>
        <v>11386.504973542089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457</v>
      </c>
      <c r="B32" s="634" t="s">
        <v>50</v>
      </c>
      <c r="C32" s="648"/>
      <c r="D32" s="648"/>
      <c r="E32" s="645"/>
    </row>
    <row r="33" spans="1:5" ht="25.5" customHeight="1">
      <c r="A33" s="639">
        <v>1</v>
      </c>
      <c r="B33" s="640" t="s">
        <v>51</v>
      </c>
      <c r="C33" s="641">
        <f>IF(C19=0,0,C12/C19)</f>
        <v>17415.207135250268</v>
      </c>
      <c r="D33" s="641">
        <f>IF(D19=0,0,D12/D19)</f>
        <v>18233.469240560033</v>
      </c>
      <c r="E33" s="641">
        <f>IF(E19=0,0,E12/E19)</f>
        <v>23377.730200526636</v>
      </c>
    </row>
    <row r="34" spans="1:5" ht="25.5" customHeight="1">
      <c r="A34" s="639">
        <v>2</v>
      </c>
      <c r="B34" s="640" t="s">
        <v>52</v>
      </c>
      <c r="C34" s="641">
        <f>IF(C20=0,0,C12/C20)</f>
        <v>68975.23866432338</v>
      </c>
      <c r="D34" s="641">
        <f>IF(D20=0,0,D12/D20)</f>
        <v>70871.18568601583</v>
      </c>
      <c r="E34" s="641">
        <f>IF(E20=0,0,E12/E20)</f>
        <v>83212.58399423216</v>
      </c>
    </row>
    <row r="35" spans="1:5" ht="25.5" customHeight="1">
      <c r="A35" s="639">
        <v>3</v>
      </c>
      <c r="B35" s="640" t="s">
        <v>53</v>
      </c>
      <c r="C35" s="641">
        <f>IF(C22=0,0,C12/C22)</f>
        <v>5936.571352502661</v>
      </c>
      <c r="D35" s="641">
        <f>IF(D22=0,0,D12/D22)</f>
        <v>6433.908103521426</v>
      </c>
      <c r="E35" s="641">
        <f>IF(E22=0,0,E12/E22)</f>
        <v>7393.865201539396</v>
      </c>
    </row>
    <row r="36" spans="1:5" ht="25.5" customHeight="1">
      <c r="A36" s="639">
        <v>4</v>
      </c>
      <c r="B36" s="640" t="s">
        <v>54</v>
      </c>
      <c r="C36" s="641">
        <f>IF(C23=0,0,C12/C23)</f>
        <v>23512.578558875215</v>
      </c>
      <c r="D36" s="641">
        <f>IF(D23=0,0,D12/D23)</f>
        <v>25007.785949868074</v>
      </c>
      <c r="E36" s="641">
        <f>IF(E23=0,0,E12/E23)</f>
        <v>26318.321917808214</v>
      </c>
    </row>
    <row r="37" spans="1:5" ht="25.5" customHeight="1">
      <c r="A37" s="639">
        <v>5</v>
      </c>
      <c r="B37" s="640" t="s">
        <v>55</v>
      </c>
      <c r="C37" s="641">
        <f>IF(C29=0,0,C12/C29)</f>
        <v>4898.003082858279</v>
      </c>
      <c r="D37" s="641">
        <f>IF(D29=0,0,D12/D29)</f>
        <v>5030.601816715158</v>
      </c>
      <c r="E37" s="641">
        <f>IF(E29=0,0,E12/E29)</f>
        <v>5695.322992168997</v>
      </c>
    </row>
    <row r="38" spans="1:5" ht="25.5" customHeight="1">
      <c r="A38" s="639">
        <v>6</v>
      </c>
      <c r="B38" s="640" t="s">
        <v>56</v>
      </c>
      <c r="C38" s="641">
        <f>IF(C30=0,0,C12/C30)</f>
        <v>19399.191120438347</v>
      </c>
      <c r="D38" s="641">
        <f>IF(D30=0,0,D12/D30)</f>
        <v>19553.312140497404</v>
      </c>
      <c r="E38" s="641">
        <f>IF(E30=0,0,E12/E30)</f>
        <v>20272.39337587479</v>
      </c>
    </row>
    <row r="39" spans="1:5" ht="25.5" customHeight="1">
      <c r="A39" s="639">
        <v>7</v>
      </c>
      <c r="B39" s="640" t="s">
        <v>57</v>
      </c>
      <c r="C39" s="641">
        <f>IF(C22=0,0,C10/C22)</f>
        <v>2023.6841944888429</v>
      </c>
      <c r="D39" s="641">
        <f>IF(D22=0,0,D10/D22)</f>
        <v>2270.2850970607296</v>
      </c>
      <c r="E39" s="641">
        <f>IF(E22=0,0,E10/E22)</f>
        <v>2338.517989111863</v>
      </c>
    </row>
    <row r="40" spans="1:5" ht="25.5" customHeight="1">
      <c r="A40" s="639">
        <v>8</v>
      </c>
      <c r="B40" s="640" t="s">
        <v>58</v>
      </c>
      <c r="C40" s="641">
        <f>IF(C23=0,0,C10/C23)</f>
        <v>8015.069772759326</v>
      </c>
      <c r="D40" s="641">
        <f>IF(D23=0,0,D10/D23)</f>
        <v>8824.310642764083</v>
      </c>
      <c r="E40" s="641">
        <f>IF(E23=0,0,E10/E23)</f>
        <v>8323.910102556069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469</v>
      </c>
      <c r="B42" s="634" t="s">
        <v>59</v>
      </c>
      <c r="C42" s="641"/>
      <c r="D42" s="641"/>
      <c r="E42" s="641"/>
    </row>
    <row r="43" spans="1:5" ht="25.5" customHeight="1">
      <c r="A43" s="639">
        <v>1</v>
      </c>
      <c r="B43" s="640" t="s">
        <v>60</v>
      </c>
      <c r="C43" s="641">
        <f>IF(C19=0,0,C13/C19)</f>
        <v>7459.31141285055</v>
      </c>
      <c r="D43" s="641">
        <f>IF(D19=0,0,D13/D19)</f>
        <v>7537.08018667798</v>
      </c>
      <c r="E43" s="641">
        <f>IF(E19=0,0,E13/E19)</f>
        <v>9046.62365809196</v>
      </c>
    </row>
    <row r="44" spans="1:5" ht="25.5" customHeight="1">
      <c r="A44" s="639">
        <v>2</v>
      </c>
      <c r="B44" s="640" t="s">
        <v>61</v>
      </c>
      <c r="C44" s="641">
        <f>IF(C20=0,0,C13/C20)</f>
        <v>29543.592618629173</v>
      </c>
      <c r="D44" s="641">
        <f>IF(D20=0,0,D13/D20)</f>
        <v>29295.67612137203</v>
      </c>
      <c r="E44" s="641">
        <f>IF(E20=0,0,E13/E20)</f>
        <v>32201.28406633021</v>
      </c>
    </row>
    <row r="45" spans="1:5" ht="25.5" customHeight="1">
      <c r="A45" s="639">
        <v>3</v>
      </c>
      <c r="B45" s="640" t="s">
        <v>62</v>
      </c>
      <c r="C45" s="641">
        <f>IF(C22=0,0,C13/C22)</f>
        <v>2542.762431650421</v>
      </c>
      <c r="D45" s="641">
        <f>IF(D22=0,0,D13/D22)</f>
        <v>2659.553190354289</v>
      </c>
      <c r="E45" s="641">
        <f>IF(E22=0,0,E13/E22)</f>
        <v>2861.24937208328</v>
      </c>
    </row>
    <row r="46" spans="1:5" ht="25.5" customHeight="1">
      <c r="A46" s="639">
        <v>4</v>
      </c>
      <c r="B46" s="640" t="s">
        <v>63</v>
      </c>
      <c r="C46" s="641">
        <f>IF(C23=0,0,C13/C23)</f>
        <v>10070.948006972563</v>
      </c>
      <c r="D46" s="641">
        <f>IF(D23=0,0,D13/D23)</f>
        <v>10337.346420951615</v>
      </c>
      <c r="E46" s="641">
        <f>IF(E23=0,0,E13/E23)</f>
        <v>10184.562472945316</v>
      </c>
    </row>
    <row r="47" spans="1:5" ht="25.5" customHeight="1">
      <c r="A47" s="639">
        <v>5</v>
      </c>
      <c r="B47" s="640" t="s">
        <v>64</v>
      </c>
      <c r="C47" s="641">
        <f>IF(C29=0,0,C13/C29)</f>
        <v>2097.9210877250875</v>
      </c>
      <c r="D47" s="641">
        <f>IF(D29=0,0,D13/D29)</f>
        <v>2079.475319786455</v>
      </c>
      <c r="E47" s="641">
        <f>IF(E29=0,0,E13/E29)</f>
        <v>2203.954074218482</v>
      </c>
    </row>
    <row r="48" spans="1:5" ht="25.5" customHeight="1">
      <c r="A48" s="639">
        <v>6</v>
      </c>
      <c r="B48" s="640" t="s">
        <v>65</v>
      </c>
      <c r="C48" s="641">
        <f>IF(C30=0,0,C13/C30)</f>
        <v>8309.09483883525</v>
      </c>
      <c r="D48" s="641">
        <f>IF(D30=0,0,D13/D30)</f>
        <v>8082.657204381058</v>
      </c>
      <c r="E48" s="641">
        <f>IF(E30=0,0,E13/E30)</f>
        <v>7844.932418469102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481</v>
      </c>
      <c r="B50" s="634" t="s">
        <v>66</v>
      </c>
      <c r="C50" s="648"/>
      <c r="D50" s="648"/>
      <c r="E50" s="641"/>
    </row>
    <row r="51" spans="1:5" ht="25.5" customHeight="1">
      <c r="A51" s="639">
        <v>1</v>
      </c>
      <c r="B51" s="640" t="s">
        <v>67</v>
      </c>
      <c r="C51" s="641">
        <f>IF(C19=0,0,C16/C19)</f>
        <v>7741.749378771743</v>
      </c>
      <c r="D51" s="641">
        <f>IF(D19=0,0,D16/D19)</f>
        <v>8135.8477725922785</v>
      </c>
      <c r="E51" s="641">
        <f>IF(E19=0,0,E16/E19)</f>
        <v>10001.29167510634</v>
      </c>
    </row>
    <row r="52" spans="1:5" ht="25.5" customHeight="1">
      <c r="A52" s="639">
        <v>2</v>
      </c>
      <c r="B52" s="640" t="s">
        <v>68</v>
      </c>
      <c r="C52" s="641">
        <f>IF(C20=0,0,C16/C20)</f>
        <v>30662.225659050968</v>
      </c>
      <c r="D52" s="641">
        <f>IF(D20=0,0,D16/D20)</f>
        <v>31623.009894459105</v>
      </c>
      <c r="E52" s="641">
        <f>IF(E20=0,0,E16/E20)</f>
        <v>35599.40663302091</v>
      </c>
    </row>
    <row r="53" spans="1:5" ht="25.5" customHeight="1">
      <c r="A53" s="639">
        <v>3</v>
      </c>
      <c r="B53" s="640" t="s">
        <v>69</v>
      </c>
      <c r="C53" s="641">
        <f>IF(C22=0,0,C16/C22)</f>
        <v>2639.041110642015</v>
      </c>
      <c r="D53" s="641">
        <f>IF(D22=0,0,D16/D22)</f>
        <v>2870.8358361477913</v>
      </c>
      <c r="E53" s="641">
        <f>IF(E22=0,0,E16/E22)</f>
        <v>3163.190004021373</v>
      </c>
    </row>
    <row r="54" spans="1:5" ht="25.5" customHeight="1">
      <c r="A54" s="639">
        <v>4</v>
      </c>
      <c r="B54" s="640" t="s">
        <v>70</v>
      </c>
      <c r="C54" s="641">
        <f>IF(C23=0,0,C16/C23)</f>
        <v>10452.27249023347</v>
      </c>
      <c r="D54" s="641">
        <f>IF(D23=0,0,D16/D23)</f>
        <v>11158.575306398983</v>
      </c>
      <c r="E54" s="641">
        <f>IF(E23=0,0,E16/E23)</f>
        <v>11259.314383456032</v>
      </c>
    </row>
    <row r="55" spans="1:5" ht="25.5" customHeight="1">
      <c r="A55" s="639">
        <v>5</v>
      </c>
      <c r="B55" s="640" t="s">
        <v>71</v>
      </c>
      <c r="C55" s="641">
        <f>IF(C29=0,0,C16/C29)</f>
        <v>2177.356377644672</v>
      </c>
      <c r="D55" s="641">
        <f>IF(D29=0,0,D16/D29)</f>
        <v>2244.674891285998</v>
      </c>
      <c r="E55" s="641">
        <f>IF(E29=0,0,E16/E29)</f>
        <v>2436.5319447196957</v>
      </c>
    </row>
    <row r="56" spans="1:5" ht="25.5" customHeight="1">
      <c r="A56" s="639">
        <v>6</v>
      </c>
      <c r="B56" s="640" t="s">
        <v>72</v>
      </c>
      <c r="C56" s="641">
        <f>IF(C30=0,0,C16/C30)</f>
        <v>8623.708844745226</v>
      </c>
      <c r="D56" s="641">
        <f>IF(D30=0,0,D16/D30)</f>
        <v>8724.767016426611</v>
      </c>
      <c r="E56" s="641">
        <f>IF(E30=0,0,E16/E30)</f>
        <v>8672.788904889067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485</v>
      </c>
      <c r="B58" s="642" t="s">
        <v>73</v>
      </c>
      <c r="C58" s="641"/>
      <c r="D58" s="641"/>
      <c r="E58" s="641"/>
    </row>
    <row r="59" spans="1:5" ht="25.5" customHeight="1">
      <c r="A59" s="639">
        <v>1</v>
      </c>
      <c r="B59" s="640" t="s">
        <v>74</v>
      </c>
      <c r="C59" s="649">
        <v>12482927</v>
      </c>
      <c r="D59" s="649">
        <v>13452782</v>
      </c>
      <c r="E59" s="649">
        <v>13297685</v>
      </c>
    </row>
    <row r="60" spans="1:5" ht="25.5" customHeight="1">
      <c r="A60" s="639">
        <v>2</v>
      </c>
      <c r="B60" s="640" t="s">
        <v>75</v>
      </c>
      <c r="C60" s="649">
        <v>3753448</v>
      </c>
      <c r="D60" s="649">
        <v>4141553</v>
      </c>
      <c r="E60" s="649">
        <v>4423223</v>
      </c>
    </row>
    <row r="61" spans="1:5" ht="25.5" customHeight="1">
      <c r="A61" s="650">
        <v>3</v>
      </c>
      <c r="B61" s="651" t="s">
        <v>76</v>
      </c>
      <c r="C61" s="652">
        <f>C59+C60</f>
        <v>16236375</v>
      </c>
      <c r="D61" s="652">
        <f>D59+D60</f>
        <v>17594335</v>
      </c>
      <c r="E61" s="652">
        <f>E59+E60</f>
        <v>17720908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127</v>
      </c>
      <c r="B63" s="642" t="s">
        <v>77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78</v>
      </c>
      <c r="C64" s="641">
        <v>4671709</v>
      </c>
      <c r="D64" s="641">
        <v>4926356</v>
      </c>
      <c r="E64" s="649">
        <v>5922680</v>
      </c>
      <c r="F64" s="653"/>
    </row>
    <row r="65" spans="1:6" ht="25.5" customHeight="1">
      <c r="A65" s="639">
        <v>2</v>
      </c>
      <c r="B65" s="640" t="s">
        <v>79</v>
      </c>
      <c r="C65" s="649">
        <v>1404720</v>
      </c>
      <c r="D65" s="649">
        <v>1516620</v>
      </c>
      <c r="E65" s="649">
        <v>1970068</v>
      </c>
      <c r="F65" s="653"/>
    </row>
    <row r="66" spans="1:6" ht="25.5" customHeight="1">
      <c r="A66" s="650">
        <v>3</v>
      </c>
      <c r="B66" s="651" t="s">
        <v>80</v>
      </c>
      <c r="C66" s="654">
        <f>C64+C65</f>
        <v>6076429</v>
      </c>
      <c r="D66" s="654">
        <f>D64+D65</f>
        <v>6442976</v>
      </c>
      <c r="E66" s="654">
        <f>E64+E65</f>
        <v>7892748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511</v>
      </c>
      <c r="B68" s="642" t="s">
        <v>81</v>
      </c>
      <c r="C68" s="649"/>
      <c r="D68" s="649"/>
      <c r="E68" s="649"/>
    </row>
    <row r="69" spans="1:5" ht="25.5" customHeight="1">
      <c r="A69" s="639">
        <v>1</v>
      </c>
      <c r="B69" s="640" t="s">
        <v>82</v>
      </c>
      <c r="C69" s="649">
        <v>17956887</v>
      </c>
      <c r="D69" s="649">
        <v>19645289</v>
      </c>
      <c r="E69" s="649">
        <v>20701766</v>
      </c>
    </row>
    <row r="70" spans="1:5" ht="25.5" customHeight="1">
      <c r="A70" s="639">
        <v>2</v>
      </c>
      <c r="B70" s="640" t="s">
        <v>83</v>
      </c>
      <c r="C70" s="649">
        <v>5399394</v>
      </c>
      <c r="D70" s="649">
        <v>6047969</v>
      </c>
      <c r="E70" s="649">
        <v>6886051</v>
      </c>
    </row>
    <row r="71" spans="1:5" ht="25.5" customHeight="1">
      <c r="A71" s="650">
        <v>3</v>
      </c>
      <c r="B71" s="651" t="s">
        <v>84</v>
      </c>
      <c r="C71" s="652">
        <f>C69+C70</f>
        <v>23356281</v>
      </c>
      <c r="D71" s="652">
        <f>D69+D70</f>
        <v>25693258</v>
      </c>
      <c r="E71" s="652">
        <f>E69+E70</f>
        <v>27587817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527</v>
      </c>
      <c r="B74" s="642" t="s">
        <v>85</v>
      </c>
      <c r="C74" s="641"/>
      <c r="D74" s="641"/>
      <c r="E74" s="641"/>
    </row>
    <row r="75" spans="1:5" ht="25.5" customHeight="1">
      <c r="A75" s="639">
        <v>1</v>
      </c>
      <c r="B75" s="640" t="s">
        <v>86</v>
      </c>
      <c r="C75" s="641">
        <f aca="true" t="shared" si="0" ref="C75:E76">+C59+C64+C69</f>
        <v>35111523</v>
      </c>
      <c r="D75" s="641">
        <f t="shared" si="0"/>
        <v>38024427</v>
      </c>
      <c r="E75" s="641">
        <f t="shared" si="0"/>
        <v>39922131</v>
      </c>
    </row>
    <row r="76" spans="1:5" ht="25.5" customHeight="1">
      <c r="A76" s="639">
        <v>2</v>
      </c>
      <c r="B76" s="640" t="s">
        <v>87</v>
      </c>
      <c r="C76" s="641">
        <f t="shared" si="0"/>
        <v>10557562</v>
      </c>
      <c r="D76" s="641">
        <f t="shared" si="0"/>
        <v>11706142</v>
      </c>
      <c r="E76" s="641">
        <f t="shared" si="0"/>
        <v>13279342</v>
      </c>
    </row>
    <row r="77" spans="1:5" ht="25.5" customHeight="1">
      <c r="A77" s="650">
        <v>3</v>
      </c>
      <c r="B77" s="651" t="s">
        <v>85</v>
      </c>
      <c r="C77" s="654">
        <f>C75+C76</f>
        <v>45669085</v>
      </c>
      <c r="D77" s="654">
        <f>D75+D76</f>
        <v>49730569</v>
      </c>
      <c r="E77" s="654">
        <f>E75+E76</f>
        <v>53201473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536</v>
      </c>
      <c r="B79" s="642" t="s">
        <v>88</v>
      </c>
      <c r="C79" s="649"/>
      <c r="D79" s="649"/>
      <c r="E79" s="649"/>
    </row>
    <row r="80" spans="1:5" ht="25.5" customHeight="1">
      <c r="A80" s="639">
        <v>1</v>
      </c>
      <c r="B80" s="640" t="s">
        <v>693</v>
      </c>
      <c r="C80" s="646">
        <v>154.6</v>
      </c>
      <c r="D80" s="646">
        <v>160.9</v>
      </c>
      <c r="E80" s="646">
        <v>154.5</v>
      </c>
    </row>
    <row r="81" spans="1:5" ht="25.5" customHeight="1">
      <c r="A81" s="639">
        <v>2</v>
      </c>
      <c r="B81" s="640" t="s">
        <v>694</v>
      </c>
      <c r="C81" s="646">
        <v>21</v>
      </c>
      <c r="D81" s="646">
        <v>20.7</v>
      </c>
      <c r="E81" s="646">
        <v>24.4</v>
      </c>
    </row>
    <row r="82" spans="1:5" ht="25.5" customHeight="1">
      <c r="A82" s="639">
        <v>3</v>
      </c>
      <c r="B82" s="640" t="s">
        <v>89</v>
      </c>
      <c r="C82" s="646">
        <v>294.7</v>
      </c>
      <c r="D82" s="646">
        <v>306.5</v>
      </c>
      <c r="E82" s="646">
        <v>309.9</v>
      </c>
    </row>
    <row r="83" spans="1:5" ht="25.5" customHeight="1">
      <c r="A83" s="650">
        <v>4</v>
      </c>
      <c r="B83" s="651" t="s">
        <v>88</v>
      </c>
      <c r="C83" s="656">
        <f>C80+C81+C82</f>
        <v>470.29999999999995</v>
      </c>
      <c r="D83" s="656">
        <f>D80+D81+D82</f>
        <v>488.1</v>
      </c>
      <c r="E83" s="656">
        <f>E80+E81+E82</f>
        <v>488.79999999999995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539</v>
      </c>
      <c r="B85" s="642" t="s">
        <v>90</v>
      </c>
      <c r="C85" s="657"/>
      <c r="D85" s="657"/>
      <c r="E85" s="657"/>
    </row>
    <row r="86" spans="1:5" ht="25.5" customHeight="1">
      <c r="A86" s="639">
        <v>1</v>
      </c>
      <c r="B86" s="640" t="s">
        <v>91</v>
      </c>
      <c r="C86" s="649">
        <f>IF(C80=0,0,C59/C80)</f>
        <v>80743.382923674</v>
      </c>
      <c r="D86" s="649">
        <f>IF(D80=0,0,D59/D80)</f>
        <v>83609.58359229335</v>
      </c>
      <c r="E86" s="649">
        <f>IF(E80=0,0,E59/E80)</f>
        <v>86069.15857605178</v>
      </c>
    </row>
    <row r="87" spans="1:5" ht="25.5" customHeight="1">
      <c r="A87" s="639">
        <v>2</v>
      </c>
      <c r="B87" s="640" t="s">
        <v>92</v>
      </c>
      <c r="C87" s="649">
        <f>IF(C80=0,0,C60/C80)</f>
        <v>24278.447606727037</v>
      </c>
      <c r="D87" s="649">
        <f>IF(D80=0,0,D60/D80)</f>
        <v>25739.919204474827</v>
      </c>
      <c r="E87" s="649">
        <f>IF(E80=0,0,E60/E80)</f>
        <v>28629.275080906147</v>
      </c>
    </row>
    <row r="88" spans="1:5" ht="25.5" customHeight="1">
      <c r="A88" s="650">
        <v>3</v>
      </c>
      <c r="B88" s="651" t="s">
        <v>93</v>
      </c>
      <c r="C88" s="652">
        <f>+C86+C87</f>
        <v>105021.83053040103</v>
      </c>
      <c r="D88" s="652">
        <f>+D86+D87</f>
        <v>109349.50279676818</v>
      </c>
      <c r="E88" s="652">
        <f>+E86+E87</f>
        <v>114698.43365695793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691</v>
      </c>
      <c r="B90" s="642" t="s">
        <v>94</v>
      </c>
    </row>
    <row r="91" spans="1:5" ht="25.5" customHeight="1">
      <c r="A91" s="639">
        <v>1</v>
      </c>
      <c r="B91" s="640" t="s">
        <v>95</v>
      </c>
      <c r="C91" s="641">
        <f>IF(C81=0,0,C64/C81)</f>
        <v>222462.33333333334</v>
      </c>
      <c r="D91" s="641">
        <f>IF(D81=0,0,D64/D81)</f>
        <v>237988.21256038648</v>
      </c>
      <c r="E91" s="641">
        <f>IF(E81=0,0,E64/E81)</f>
        <v>242732.7868852459</v>
      </c>
    </row>
    <row r="92" spans="1:5" ht="25.5" customHeight="1">
      <c r="A92" s="639">
        <v>2</v>
      </c>
      <c r="B92" s="640" t="s">
        <v>96</v>
      </c>
      <c r="C92" s="641">
        <f>IF(C81=0,0,C65/C81)</f>
        <v>66891.42857142857</v>
      </c>
      <c r="D92" s="641">
        <f>IF(D81=0,0,D65/D81)</f>
        <v>73266.66666666667</v>
      </c>
      <c r="E92" s="641">
        <f>IF(E81=0,0,E65/E81)</f>
        <v>80740.4918032787</v>
      </c>
    </row>
    <row r="93" spans="1:5" ht="25.5" customHeight="1">
      <c r="A93" s="650">
        <v>3</v>
      </c>
      <c r="B93" s="651" t="s">
        <v>97</v>
      </c>
      <c r="C93" s="654">
        <f>+C91+C92</f>
        <v>289353.7619047619</v>
      </c>
      <c r="D93" s="654">
        <f>+D91+D92</f>
        <v>311254.87922705314</v>
      </c>
      <c r="E93" s="654">
        <f>+E91+E92</f>
        <v>323473.2786885246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98</v>
      </c>
      <c r="B95" s="642" t="s">
        <v>99</v>
      </c>
      <c r="C95" s="649"/>
      <c r="D95" s="649"/>
      <c r="E95" s="649"/>
    </row>
    <row r="96" spans="1:5" ht="25.5" customHeight="1">
      <c r="A96" s="639">
        <v>1</v>
      </c>
      <c r="B96" s="640" t="s">
        <v>100</v>
      </c>
      <c r="C96" s="649">
        <f>IF(C82=0,0,C69/C82)</f>
        <v>60932.76891754327</v>
      </c>
      <c r="D96" s="649">
        <f>IF(D82=0,0,D69/D82)</f>
        <v>64095.55954323002</v>
      </c>
      <c r="E96" s="649">
        <f>IF(E82=0,0,E69/E82)</f>
        <v>66801.43917392708</v>
      </c>
    </row>
    <row r="97" spans="1:5" ht="25.5" customHeight="1">
      <c r="A97" s="639">
        <v>2</v>
      </c>
      <c r="B97" s="640" t="s">
        <v>101</v>
      </c>
      <c r="C97" s="649">
        <f>IF(C82=0,0,C70/C82)</f>
        <v>18321.66270783848</v>
      </c>
      <c r="D97" s="649">
        <f>IF(D82=0,0,D70/D82)</f>
        <v>19732.36215334421</v>
      </c>
      <c r="E97" s="649">
        <f>IF(E82=0,0,E70/E82)</f>
        <v>22220.23555985802</v>
      </c>
    </row>
    <row r="98" spans="1:5" ht="25.5" customHeight="1">
      <c r="A98" s="650">
        <v>3</v>
      </c>
      <c r="B98" s="651" t="s">
        <v>102</v>
      </c>
      <c r="C98" s="654">
        <f>+C96+C97</f>
        <v>79254.43162538175</v>
      </c>
      <c r="D98" s="654">
        <f>+D96+D97</f>
        <v>83827.92169657422</v>
      </c>
      <c r="E98" s="654">
        <f>+E96+E97</f>
        <v>89021.6747337851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103</v>
      </c>
      <c r="B100" s="642" t="s">
        <v>104</v>
      </c>
    </row>
    <row r="101" spans="1:5" ht="25.5" customHeight="1">
      <c r="A101" s="639">
        <v>1</v>
      </c>
      <c r="B101" s="640" t="s">
        <v>105</v>
      </c>
      <c r="C101" s="641">
        <f>IF(C83=0,0,C75/C83)</f>
        <v>74657.7142249628</v>
      </c>
      <c r="D101" s="641">
        <f>IF(D83=0,0,D75/D83)</f>
        <v>77902.94406883835</v>
      </c>
      <c r="E101" s="641">
        <f>IF(E83=0,0,E75/E83)</f>
        <v>81673.75409165304</v>
      </c>
    </row>
    <row r="102" spans="1:5" ht="25.5" customHeight="1">
      <c r="A102" s="639">
        <v>2</v>
      </c>
      <c r="B102" s="640" t="s">
        <v>106</v>
      </c>
      <c r="C102" s="658">
        <f>IF(C83=0,0,C76/C83)</f>
        <v>22448.56899851159</v>
      </c>
      <c r="D102" s="658">
        <f>IF(D83=0,0,D76/D83)</f>
        <v>23983.081335791845</v>
      </c>
      <c r="E102" s="658">
        <f>IF(E83=0,0,E76/E83)</f>
        <v>27167.229950900168</v>
      </c>
    </row>
    <row r="103" spans="1:5" ht="25.5" customHeight="1">
      <c r="A103" s="650">
        <v>3</v>
      </c>
      <c r="B103" s="651" t="s">
        <v>104</v>
      </c>
      <c r="C103" s="654">
        <f>+C101+C102</f>
        <v>97106.28322347438</v>
      </c>
      <c r="D103" s="654">
        <f>+D101+D102</f>
        <v>101886.0254046302</v>
      </c>
      <c r="E103" s="654">
        <f>+E101+E102</f>
        <v>108840.9840425532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107</v>
      </c>
      <c r="B107" s="634" t="s">
        <v>108</v>
      </c>
      <c r="C107" s="659"/>
      <c r="D107" s="659"/>
      <c r="E107" s="641"/>
    </row>
    <row r="108" spans="1:5" ht="25.5" customHeight="1">
      <c r="A108" s="639">
        <v>1</v>
      </c>
      <c r="B108" s="640" t="s">
        <v>109</v>
      </c>
      <c r="C108" s="641">
        <f>IF(C19=0,0,C77/C19)</f>
        <v>4052.989439119631</v>
      </c>
      <c r="D108" s="641">
        <f>IF(D19=0,0,D77/D19)</f>
        <v>4219.819176919813</v>
      </c>
      <c r="E108" s="641">
        <f>IF(E19=0,0,E77/E19)</f>
        <v>5388.036560664371</v>
      </c>
    </row>
    <row r="109" spans="1:5" ht="25.5" customHeight="1">
      <c r="A109" s="639">
        <v>2</v>
      </c>
      <c r="B109" s="640" t="s">
        <v>110</v>
      </c>
      <c r="C109" s="641">
        <f>IF(C20=0,0,C77/C20)</f>
        <v>16052.402460456942</v>
      </c>
      <c r="D109" s="641">
        <f>IF(D20=0,0,D77/D20)</f>
        <v>16401.90270448549</v>
      </c>
      <c r="E109" s="641">
        <f>IF(E20=0,0,E77/E20)</f>
        <v>19178.613193943762</v>
      </c>
    </row>
    <row r="110" spans="1:5" ht="25.5" customHeight="1">
      <c r="A110" s="639">
        <v>3</v>
      </c>
      <c r="B110" s="640" t="s">
        <v>111</v>
      </c>
      <c r="C110" s="641">
        <f>IF(C22=0,0,C77/C22)</f>
        <v>1381.600621193396</v>
      </c>
      <c r="D110" s="641">
        <f>IF(D22=0,0,D77/D22)</f>
        <v>1489.0160747569068</v>
      </c>
      <c r="E110" s="641">
        <f>IF(E22=0,0,E77/E22)</f>
        <v>1704.1182222909245</v>
      </c>
    </row>
    <row r="111" spans="1:5" ht="25.5" customHeight="1">
      <c r="A111" s="639">
        <v>4</v>
      </c>
      <c r="B111" s="640" t="s">
        <v>112</v>
      </c>
      <c r="C111" s="641">
        <f>IF(C23=0,0,C77/C23)</f>
        <v>5472.012583341718</v>
      </c>
      <c r="D111" s="641">
        <f>IF(D23=0,0,D77/D23)</f>
        <v>5787.616900069309</v>
      </c>
      <c r="E111" s="641">
        <f>IF(E23=0,0,E77/E23)</f>
        <v>6065.77625338882</v>
      </c>
    </row>
    <row r="112" spans="1:5" ht="25.5" customHeight="1">
      <c r="A112" s="639">
        <v>5</v>
      </c>
      <c r="B112" s="640" t="s">
        <v>113</v>
      </c>
      <c r="C112" s="641">
        <f>IF(C29=0,0,C77/C29)</f>
        <v>1139.897712007014</v>
      </c>
      <c r="D112" s="641">
        <f>IF(D29=0,0,D77/D29)</f>
        <v>1164.2452534704942</v>
      </c>
      <c r="E112" s="641">
        <f>IF(E29=0,0,E77/E29)</f>
        <v>1312.6427691387967</v>
      </c>
    </row>
    <row r="113" spans="1:5" ht="25.5" customHeight="1">
      <c r="A113" s="639">
        <v>6</v>
      </c>
      <c r="B113" s="640" t="s">
        <v>114</v>
      </c>
      <c r="C113" s="641">
        <f>IF(C30=0,0,C77/C30)</f>
        <v>4514.716140209151</v>
      </c>
      <c r="D113" s="641">
        <f>IF(D30=0,0,D77/D30)</f>
        <v>4525.2738496536185</v>
      </c>
      <c r="E113" s="641">
        <f>IF(E30=0,0,E77/E30)</f>
        <v>4672.326857417619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FILING&amp;R&amp;12NEW MILFORD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115</v>
      </c>
      <c r="C1" s="57"/>
      <c r="D1" s="57"/>
      <c r="E1" s="57"/>
      <c r="F1" s="58"/>
    </row>
    <row r="2" spans="1:6" ht="22.5" customHeight="1">
      <c r="A2" s="57"/>
      <c r="B2" s="57" t="s">
        <v>116</v>
      </c>
      <c r="C2" s="57"/>
      <c r="D2" s="57"/>
      <c r="E2" s="57"/>
      <c r="F2" s="58"/>
    </row>
    <row r="3" spans="1:6" ht="22.5" customHeight="1">
      <c r="A3" s="57"/>
      <c r="B3" s="57" t="s">
        <v>117</v>
      </c>
      <c r="C3" s="57"/>
      <c r="D3" s="57"/>
      <c r="E3" s="57"/>
      <c r="F3" s="58"/>
    </row>
    <row r="4" spans="1:6" ht="22.5" customHeight="1">
      <c r="A4" s="57"/>
      <c r="B4" s="57" t="s">
        <v>184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214881435</v>
      </c>
      <c r="D12" s="51">
        <v>230831708</v>
      </c>
      <c r="E12" s="51">
        <f aca="true" t="shared" si="0" ref="E12:E19">D12-C12</f>
        <v>15950273</v>
      </c>
      <c r="F12" s="70">
        <f aca="true" t="shared" si="1" ref="F12:F19">IF(C12=0,0,E12/C12)</f>
        <v>0.0742282505699015</v>
      </c>
    </row>
    <row r="13" spans="1:6" ht="22.5" customHeight="1">
      <c r="A13" s="25">
        <v>2</v>
      </c>
      <c r="B13" s="48" t="s">
        <v>187</v>
      </c>
      <c r="C13" s="51">
        <v>121987873</v>
      </c>
      <c r="D13" s="51">
        <v>138119123</v>
      </c>
      <c r="E13" s="51">
        <f t="shared" si="0"/>
        <v>16131250</v>
      </c>
      <c r="F13" s="70">
        <f t="shared" si="1"/>
        <v>0.13223650518113386</v>
      </c>
    </row>
    <row r="14" spans="1:6" ht="22.5" customHeight="1">
      <c r="A14" s="25">
        <v>3</v>
      </c>
      <c r="B14" s="48" t="s">
        <v>188</v>
      </c>
      <c r="C14" s="51">
        <v>4069072</v>
      </c>
      <c r="D14" s="51">
        <v>3386223</v>
      </c>
      <c r="E14" s="51">
        <f t="shared" si="0"/>
        <v>-682849</v>
      </c>
      <c r="F14" s="70">
        <f t="shared" si="1"/>
        <v>-0.1678144304155837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88824490</v>
      </c>
      <c r="D16" s="27">
        <f>D12-D13-D14-D15</f>
        <v>89326362</v>
      </c>
      <c r="E16" s="27">
        <f t="shared" si="0"/>
        <v>501872</v>
      </c>
      <c r="F16" s="28">
        <f t="shared" si="1"/>
        <v>0.005650153465558879</v>
      </c>
    </row>
    <row r="17" spans="1:7" ht="22.5" customHeight="1">
      <c r="A17" s="25">
        <v>5</v>
      </c>
      <c r="B17" s="48" t="s">
        <v>191</v>
      </c>
      <c r="C17" s="51">
        <v>5548110</v>
      </c>
      <c r="D17" s="51">
        <v>3899680</v>
      </c>
      <c r="E17" s="51">
        <f t="shared" si="0"/>
        <v>-1648430</v>
      </c>
      <c r="F17" s="70">
        <f t="shared" si="1"/>
        <v>-0.297115594319507</v>
      </c>
      <c r="G17" s="64"/>
    </row>
    <row r="18" spans="1:7" ht="22.5" customHeight="1">
      <c r="A18" s="25">
        <v>6</v>
      </c>
      <c r="B18" s="45" t="s">
        <v>192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6" ht="22.5" customHeight="1">
      <c r="A19" s="29"/>
      <c r="B19" s="71" t="s">
        <v>193</v>
      </c>
      <c r="C19" s="27">
        <f>SUM(C16:C18)</f>
        <v>94372600</v>
      </c>
      <c r="D19" s="27">
        <f>SUM(D16:D18)</f>
        <v>93226042</v>
      </c>
      <c r="E19" s="27">
        <f t="shared" si="0"/>
        <v>-1146558</v>
      </c>
      <c r="F19" s="28">
        <f t="shared" si="1"/>
        <v>-0.012149267901912208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38024427</v>
      </c>
      <c r="D22" s="51">
        <v>39922131</v>
      </c>
      <c r="E22" s="51">
        <f aca="true" t="shared" si="2" ref="E22:E31">D22-C22</f>
        <v>1897704</v>
      </c>
      <c r="F22" s="70">
        <f aca="true" t="shared" si="3" ref="F22:F31">IF(C22=0,0,E22/C22)</f>
        <v>0.049907497619885235</v>
      </c>
    </row>
    <row r="23" spans="1:6" ht="22.5" customHeight="1">
      <c r="A23" s="25">
        <v>2</v>
      </c>
      <c r="B23" s="48" t="s">
        <v>196</v>
      </c>
      <c r="C23" s="51">
        <v>11706142</v>
      </c>
      <c r="D23" s="51">
        <v>13279342</v>
      </c>
      <c r="E23" s="51">
        <f t="shared" si="2"/>
        <v>1573200</v>
      </c>
      <c r="F23" s="70">
        <f t="shared" si="3"/>
        <v>0.13439098893555196</v>
      </c>
    </row>
    <row r="24" spans="1:7" ht="22.5" customHeight="1">
      <c r="A24" s="25">
        <v>3</v>
      </c>
      <c r="B24" s="48" t="s">
        <v>197</v>
      </c>
      <c r="C24" s="51">
        <v>1670354</v>
      </c>
      <c r="D24" s="51">
        <v>1429887</v>
      </c>
      <c r="E24" s="51">
        <f t="shared" si="2"/>
        <v>-240467</v>
      </c>
      <c r="F24" s="70">
        <f t="shared" si="3"/>
        <v>-0.14396169913682968</v>
      </c>
      <c r="G24" s="64"/>
    </row>
    <row r="25" spans="1:6" ht="22.5" customHeight="1">
      <c r="A25" s="25">
        <v>4</v>
      </c>
      <c r="B25" s="48" t="s">
        <v>198</v>
      </c>
      <c r="C25" s="51">
        <v>14251377</v>
      </c>
      <c r="D25" s="51">
        <v>14176511</v>
      </c>
      <c r="E25" s="51">
        <f t="shared" si="2"/>
        <v>-74866</v>
      </c>
      <c r="F25" s="70">
        <f t="shared" si="3"/>
        <v>-0.005253246756436238</v>
      </c>
    </row>
    <row r="26" spans="1:6" ht="22.5" customHeight="1">
      <c r="A26" s="25">
        <v>5</v>
      </c>
      <c r="B26" s="48" t="s">
        <v>199</v>
      </c>
      <c r="C26" s="51">
        <v>4944502</v>
      </c>
      <c r="D26" s="51">
        <v>4946076</v>
      </c>
      <c r="E26" s="51">
        <f t="shared" si="2"/>
        <v>1574</v>
      </c>
      <c r="F26" s="70">
        <f t="shared" si="3"/>
        <v>0.0003183333731081512</v>
      </c>
    </row>
    <row r="27" spans="1:6" ht="22.5" customHeight="1">
      <c r="A27" s="25">
        <v>6</v>
      </c>
      <c r="B27" s="48" t="s">
        <v>200</v>
      </c>
      <c r="C27" s="51">
        <v>3730727</v>
      </c>
      <c r="D27" s="51">
        <v>3220173</v>
      </c>
      <c r="E27" s="51">
        <f t="shared" si="2"/>
        <v>-510554</v>
      </c>
      <c r="F27" s="70">
        <f t="shared" si="3"/>
        <v>-0.13685107487092998</v>
      </c>
    </row>
    <row r="28" spans="1:6" ht="22.5" customHeight="1">
      <c r="A28" s="25">
        <v>7</v>
      </c>
      <c r="B28" s="48" t="s">
        <v>201</v>
      </c>
      <c r="C28" s="51">
        <v>730698</v>
      </c>
      <c r="D28" s="51">
        <v>675584</v>
      </c>
      <c r="E28" s="51">
        <f t="shared" si="2"/>
        <v>-55114</v>
      </c>
      <c r="F28" s="70">
        <f t="shared" si="3"/>
        <v>-0.07542650999455315</v>
      </c>
    </row>
    <row r="29" spans="1:6" ht="22.5" customHeight="1">
      <c r="A29" s="25">
        <v>8</v>
      </c>
      <c r="B29" s="48" t="s">
        <v>202</v>
      </c>
      <c r="C29" s="51">
        <v>2235043</v>
      </c>
      <c r="D29" s="51">
        <v>2375725</v>
      </c>
      <c r="E29" s="51">
        <f t="shared" si="2"/>
        <v>140682</v>
      </c>
      <c r="F29" s="70">
        <f t="shared" si="3"/>
        <v>0.06294375544452613</v>
      </c>
    </row>
    <row r="30" spans="1:6" ht="22.5" customHeight="1">
      <c r="A30" s="25">
        <v>9</v>
      </c>
      <c r="B30" s="48" t="s">
        <v>203</v>
      </c>
      <c r="C30" s="51">
        <v>18587696</v>
      </c>
      <c r="D30" s="51">
        <v>18727325</v>
      </c>
      <c r="E30" s="51">
        <f t="shared" si="2"/>
        <v>139629</v>
      </c>
      <c r="F30" s="70">
        <f t="shared" si="3"/>
        <v>0.007511904649182987</v>
      </c>
    </row>
    <row r="31" spans="1:6" ht="22.5" customHeight="1">
      <c r="A31" s="29"/>
      <c r="B31" s="71" t="s">
        <v>204</v>
      </c>
      <c r="C31" s="27">
        <f>SUM(C22:C30)</f>
        <v>95880966</v>
      </c>
      <c r="D31" s="27">
        <f>SUM(D22:D30)</f>
        <v>98752754</v>
      </c>
      <c r="E31" s="27">
        <f t="shared" si="2"/>
        <v>2871788</v>
      </c>
      <c r="F31" s="28">
        <f t="shared" si="3"/>
        <v>0.02995159644094533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-1508366</v>
      </c>
      <c r="D33" s="27">
        <f>+D19-D31</f>
        <v>-5526712</v>
      </c>
      <c r="E33" s="27">
        <f>D33-C33</f>
        <v>-4018346</v>
      </c>
      <c r="F33" s="28">
        <f>IF(C33=0,0,E33/C33)</f>
        <v>2.6640390992637064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123633</v>
      </c>
      <c r="D36" s="51">
        <v>81496</v>
      </c>
      <c r="E36" s="51">
        <f>D36-C36</f>
        <v>-42137</v>
      </c>
      <c r="F36" s="70">
        <f>IF(C36=0,0,E36/C36)</f>
        <v>-0.3408232429852871</v>
      </c>
    </row>
    <row r="37" spans="1:6" ht="22.5" customHeight="1">
      <c r="A37" s="44">
        <v>2</v>
      </c>
      <c r="B37" s="48" t="s">
        <v>208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209</v>
      </c>
      <c r="C38" s="51">
        <v>233788</v>
      </c>
      <c r="D38" s="51">
        <v>280146</v>
      </c>
      <c r="E38" s="51">
        <f>D38-C38</f>
        <v>46358</v>
      </c>
      <c r="F38" s="70">
        <f>IF(C38=0,0,E38/C38)</f>
        <v>0.19829075914931477</v>
      </c>
    </row>
    <row r="39" spans="1:6" ht="22.5" customHeight="1">
      <c r="A39" s="20"/>
      <c r="B39" s="71" t="s">
        <v>210</v>
      </c>
      <c r="C39" s="27">
        <f>SUM(C36:C38)</f>
        <v>357421</v>
      </c>
      <c r="D39" s="27">
        <f>SUM(D36:D38)</f>
        <v>361642</v>
      </c>
      <c r="E39" s="27">
        <f>D39-C39</f>
        <v>4221</v>
      </c>
      <c r="F39" s="28">
        <f>IF(C39=0,0,E39/C39)</f>
        <v>0.011809602681431702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-1150945</v>
      </c>
      <c r="D41" s="27">
        <f>D33+D39</f>
        <v>-5165070</v>
      </c>
      <c r="E41" s="27">
        <f>D41-C41</f>
        <v>-4014125</v>
      </c>
      <c r="F41" s="28">
        <f>IF(C41=0,0,E41/C41)</f>
        <v>3.4876775171706726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216</v>
      </c>
      <c r="C48" s="27">
        <f>C41+C46</f>
        <v>-1150945</v>
      </c>
      <c r="D48" s="27">
        <f>D41+D46</f>
        <v>-5165070</v>
      </c>
      <c r="E48" s="27">
        <f>D48-C48</f>
        <v>-4014125</v>
      </c>
      <c r="F48" s="28">
        <f>IF(C48=0,0,E48/C48)</f>
        <v>3.4876775171706726</v>
      </c>
    </row>
    <row r="49" spans="1:6" ht="22.5" customHeight="1">
      <c r="A49" s="44"/>
      <c r="B49" s="48" t="s">
        <v>217</v>
      </c>
      <c r="C49" s="51">
        <v>0</v>
      </c>
      <c r="D49" s="51">
        <v>1412730</v>
      </c>
      <c r="E49" s="51">
        <f>D49-C49</f>
        <v>1412730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FILING&amp;RNEW MILFORD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9"/>
  <sheetViews>
    <sheetView zoomScale="75" zoomScaleNormal="75" zoomScalePageLayoutView="0" workbookViewId="0" topLeftCell="A1">
      <selection activeCell="D93" sqref="D93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18.57421875" style="75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5" t="s">
        <v>115</v>
      </c>
      <c r="B2" s="675"/>
      <c r="C2" s="675"/>
      <c r="D2" s="675"/>
      <c r="E2" s="675"/>
      <c r="F2" s="675"/>
    </row>
    <row r="3" spans="1:6" ht="18" customHeight="1">
      <c r="A3" s="675" t="s">
        <v>116</v>
      </c>
      <c r="B3" s="675"/>
      <c r="C3" s="675"/>
      <c r="D3" s="675"/>
      <c r="E3" s="675"/>
      <c r="F3" s="675"/>
    </row>
    <row r="4" spans="1:6" ht="18" customHeight="1">
      <c r="A4" s="675" t="s">
        <v>117</v>
      </c>
      <c r="B4" s="675"/>
      <c r="C4" s="675"/>
      <c r="D4" s="675"/>
      <c r="E4" s="675"/>
      <c r="F4" s="675"/>
    </row>
    <row r="5" spans="1:6" ht="18" customHeight="1">
      <c r="A5" s="675" t="s">
        <v>218</v>
      </c>
      <c r="B5" s="675"/>
      <c r="C5" s="675"/>
      <c r="D5" s="675"/>
      <c r="E5" s="675"/>
      <c r="F5" s="675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123</v>
      </c>
      <c r="B8" s="87" t="s">
        <v>219</v>
      </c>
      <c r="C8" s="88" t="s">
        <v>220</v>
      </c>
      <c r="D8" s="89" t="s">
        <v>221</v>
      </c>
      <c r="E8" s="90" t="s">
        <v>222</v>
      </c>
      <c r="F8" s="91" t="s">
        <v>223</v>
      </c>
    </row>
    <row r="9" spans="1:6" ht="18" customHeight="1">
      <c r="A9" s="92"/>
      <c r="B9" s="93"/>
      <c r="C9" s="662"/>
      <c r="D9" s="663"/>
      <c r="E9" s="663"/>
      <c r="F9" s="664"/>
    </row>
    <row r="10" spans="1:6" ht="18" customHeight="1">
      <c r="A10" s="665" t="s">
        <v>127</v>
      </c>
      <c r="B10" s="667" t="s">
        <v>224</v>
      </c>
      <c r="C10" s="669"/>
      <c r="D10" s="670"/>
      <c r="E10" s="670"/>
      <c r="F10" s="671"/>
    </row>
    <row r="11" spans="1:6" ht="18" customHeight="1">
      <c r="A11" s="666"/>
      <c r="B11" s="668"/>
      <c r="C11" s="672"/>
      <c r="D11" s="673"/>
      <c r="E11" s="673"/>
      <c r="F11" s="674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225</v>
      </c>
      <c r="B13" s="95" t="s">
        <v>226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227</v>
      </c>
      <c r="C14" s="97">
        <v>39004264</v>
      </c>
      <c r="D14" s="97">
        <v>38677463</v>
      </c>
      <c r="E14" s="97">
        <f aca="true" t="shared" si="0" ref="E14:E25">D14-C14</f>
        <v>-326801</v>
      </c>
      <c r="F14" s="98">
        <f aca="true" t="shared" si="1" ref="F14:F25">IF(C14=0,0,E14/C14)</f>
        <v>-0.008378596760600328</v>
      </c>
    </row>
    <row r="15" spans="1:6" ht="18" customHeight="1">
      <c r="A15" s="99">
        <v>2</v>
      </c>
      <c r="B15" s="100" t="s">
        <v>228</v>
      </c>
      <c r="C15" s="97">
        <v>1617054</v>
      </c>
      <c r="D15" s="97">
        <v>1779387</v>
      </c>
      <c r="E15" s="97">
        <f t="shared" si="0"/>
        <v>162333</v>
      </c>
      <c r="F15" s="98">
        <f t="shared" si="1"/>
        <v>0.10038811319844607</v>
      </c>
    </row>
    <row r="16" spans="1:6" ht="18" customHeight="1">
      <c r="A16" s="99">
        <v>3</v>
      </c>
      <c r="B16" s="100" t="s">
        <v>229</v>
      </c>
      <c r="C16" s="97">
        <v>1482601</v>
      </c>
      <c r="D16" s="97">
        <v>1258906</v>
      </c>
      <c r="E16" s="97">
        <f t="shared" si="0"/>
        <v>-223695</v>
      </c>
      <c r="F16" s="98">
        <f t="shared" si="1"/>
        <v>-0.15088010867387786</v>
      </c>
    </row>
    <row r="17" spans="1:6" ht="18" customHeight="1">
      <c r="A17" s="99">
        <v>4</v>
      </c>
      <c r="B17" s="100" t="s">
        <v>230</v>
      </c>
      <c r="C17" s="97">
        <v>1002271</v>
      </c>
      <c r="D17" s="97">
        <v>1182686</v>
      </c>
      <c r="E17" s="97">
        <f t="shared" si="0"/>
        <v>180415</v>
      </c>
      <c r="F17" s="98">
        <f t="shared" si="1"/>
        <v>0.1800062059063866</v>
      </c>
    </row>
    <row r="18" spans="1:6" ht="18" customHeight="1">
      <c r="A18" s="99">
        <v>5</v>
      </c>
      <c r="B18" s="100" t="s">
        <v>231</v>
      </c>
      <c r="C18" s="97">
        <v>43454</v>
      </c>
      <c r="D18" s="97">
        <v>65802</v>
      </c>
      <c r="E18" s="97">
        <f t="shared" si="0"/>
        <v>22348</v>
      </c>
      <c r="F18" s="98">
        <f t="shared" si="1"/>
        <v>0.514290974363695</v>
      </c>
    </row>
    <row r="19" spans="1:6" ht="18" customHeight="1">
      <c r="A19" s="99">
        <v>6</v>
      </c>
      <c r="B19" s="100" t="s">
        <v>232</v>
      </c>
      <c r="C19" s="97">
        <v>1273864</v>
      </c>
      <c r="D19" s="97">
        <v>1802193</v>
      </c>
      <c r="E19" s="97">
        <f t="shared" si="0"/>
        <v>528329</v>
      </c>
      <c r="F19" s="98">
        <f t="shared" si="1"/>
        <v>0.41474521612982235</v>
      </c>
    </row>
    <row r="20" spans="1:6" ht="18" customHeight="1">
      <c r="A20" s="99">
        <v>7</v>
      </c>
      <c r="B20" s="100" t="s">
        <v>233</v>
      </c>
      <c r="C20" s="97">
        <v>26150269</v>
      </c>
      <c r="D20" s="97">
        <v>24798525</v>
      </c>
      <c r="E20" s="97">
        <f t="shared" si="0"/>
        <v>-1351744</v>
      </c>
      <c r="F20" s="98">
        <f t="shared" si="1"/>
        <v>-0.05169139942690456</v>
      </c>
    </row>
    <row r="21" spans="1:6" ht="18" customHeight="1">
      <c r="A21" s="99">
        <v>8</v>
      </c>
      <c r="B21" s="100" t="s">
        <v>234</v>
      </c>
      <c r="C21" s="97">
        <v>2621448</v>
      </c>
      <c r="D21" s="97">
        <v>1740810</v>
      </c>
      <c r="E21" s="97">
        <f t="shared" si="0"/>
        <v>-880638</v>
      </c>
      <c r="F21" s="98">
        <f t="shared" si="1"/>
        <v>-0.3359357118661137</v>
      </c>
    </row>
    <row r="22" spans="1:6" ht="18" customHeight="1">
      <c r="A22" s="99">
        <v>9</v>
      </c>
      <c r="B22" s="100" t="s">
        <v>235</v>
      </c>
      <c r="C22" s="97">
        <v>1452803</v>
      </c>
      <c r="D22" s="97">
        <v>1206064</v>
      </c>
      <c r="E22" s="97">
        <f t="shared" si="0"/>
        <v>-246739</v>
      </c>
      <c r="F22" s="98">
        <f t="shared" si="1"/>
        <v>-0.16983651603142338</v>
      </c>
    </row>
    <row r="23" spans="1:6" ht="18" customHeight="1">
      <c r="A23" s="99">
        <v>10</v>
      </c>
      <c r="B23" s="100" t="s">
        <v>236</v>
      </c>
      <c r="C23" s="97">
        <v>1117977</v>
      </c>
      <c r="D23" s="97">
        <v>393529</v>
      </c>
      <c r="E23" s="97">
        <f t="shared" si="0"/>
        <v>-724448</v>
      </c>
      <c r="F23" s="98">
        <f t="shared" si="1"/>
        <v>-0.6479990196578284</v>
      </c>
    </row>
    <row r="24" spans="1:6" ht="18" customHeight="1">
      <c r="A24" s="99">
        <v>11</v>
      </c>
      <c r="B24" s="100" t="s">
        <v>237</v>
      </c>
      <c r="C24" s="97">
        <v>57602</v>
      </c>
      <c r="D24" s="97">
        <v>101660</v>
      </c>
      <c r="E24" s="97">
        <f t="shared" si="0"/>
        <v>44058</v>
      </c>
      <c r="F24" s="98">
        <f t="shared" si="1"/>
        <v>0.7648692753723829</v>
      </c>
    </row>
    <row r="25" spans="1:6" ht="18" customHeight="1">
      <c r="A25" s="101"/>
      <c r="B25" s="102" t="s">
        <v>238</v>
      </c>
      <c r="C25" s="103">
        <f>SUM(C14:C24)</f>
        <v>75823607</v>
      </c>
      <c r="D25" s="103">
        <f>SUM(D14:D24)</f>
        <v>73007025</v>
      </c>
      <c r="E25" s="103">
        <f t="shared" si="0"/>
        <v>-2816582</v>
      </c>
      <c r="F25" s="104">
        <f t="shared" si="1"/>
        <v>-0.03714650504558561</v>
      </c>
    </row>
    <row r="26" spans="1:6" ht="18" customHeight="1">
      <c r="A26" s="94" t="s">
        <v>239</v>
      </c>
      <c r="B26" s="95" t="s">
        <v>240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227</v>
      </c>
      <c r="C27" s="97">
        <v>53569357</v>
      </c>
      <c r="D27" s="97">
        <v>59901818</v>
      </c>
      <c r="E27" s="97">
        <f aca="true" t="shared" si="2" ref="E27:E38">D27-C27</f>
        <v>6332461</v>
      </c>
      <c r="F27" s="98">
        <f aca="true" t="shared" si="3" ref="F27:F38">IF(C27=0,0,E27/C27)</f>
        <v>0.11821050978827317</v>
      </c>
    </row>
    <row r="28" spans="1:6" ht="18" customHeight="1">
      <c r="A28" s="99">
        <v>2</v>
      </c>
      <c r="B28" s="100" t="s">
        <v>228</v>
      </c>
      <c r="C28" s="97">
        <v>2844299</v>
      </c>
      <c r="D28" s="97">
        <v>4046469</v>
      </c>
      <c r="E28" s="97">
        <f t="shared" si="2"/>
        <v>1202170</v>
      </c>
      <c r="F28" s="98">
        <f t="shared" si="3"/>
        <v>0.4226595023940873</v>
      </c>
    </row>
    <row r="29" spans="1:6" ht="18" customHeight="1">
      <c r="A29" s="99">
        <v>3</v>
      </c>
      <c r="B29" s="100" t="s">
        <v>229</v>
      </c>
      <c r="C29" s="97">
        <v>2044790</v>
      </c>
      <c r="D29" s="97">
        <v>3822182</v>
      </c>
      <c r="E29" s="97">
        <f t="shared" si="2"/>
        <v>1777392</v>
      </c>
      <c r="F29" s="98">
        <f t="shared" si="3"/>
        <v>0.8692296030399209</v>
      </c>
    </row>
    <row r="30" spans="1:6" ht="18" customHeight="1">
      <c r="A30" s="99">
        <v>4</v>
      </c>
      <c r="B30" s="100" t="s">
        <v>230</v>
      </c>
      <c r="C30" s="97">
        <v>3072560</v>
      </c>
      <c r="D30" s="97">
        <v>3167435</v>
      </c>
      <c r="E30" s="97">
        <f t="shared" si="2"/>
        <v>94875</v>
      </c>
      <c r="F30" s="98">
        <f t="shared" si="3"/>
        <v>0.030878160231207853</v>
      </c>
    </row>
    <row r="31" spans="1:6" ht="18" customHeight="1">
      <c r="A31" s="99">
        <v>5</v>
      </c>
      <c r="B31" s="100" t="s">
        <v>231</v>
      </c>
      <c r="C31" s="97">
        <v>187002</v>
      </c>
      <c r="D31" s="97">
        <v>212408</v>
      </c>
      <c r="E31" s="97">
        <f t="shared" si="2"/>
        <v>25406</v>
      </c>
      <c r="F31" s="98">
        <f t="shared" si="3"/>
        <v>0.1358595095239623</v>
      </c>
    </row>
    <row r="32" spans="1:6" ht="18" customHeight="1">
      <c r="A32" s="99">
        <v>6</v>
      </c>
      <c r="B32" s="100" t="s">
        <v>232</v>
      </c>
      <c r="C32" s="97">
        <v>5538188</v>
      </c>
      <c r="D32" s="97">
        <v>5357707</v>
      </c>
      <c r="E32" s="97">
        <f t="shared" si="2"/>
        <v>-180481</v>
      </c>
      <c r="F32" s="98">
        <f t="shared" si="3"/>
        <v>-0.03258845672989071</v>
      </c>
    </row>
    <row r="33" spans="1:6" ht="18" customHeight="1">
      <c r="A33" s="99">
        <v>7</v>
      </c>
      <c r="B33" s="100" t="s">
        <v>233</v>
      </c>
      <c r="C33" s="97">
        <v>65493951</v>
      </c>
      <c r="D33" s="97">
        <v>75387106</v>
      </c>
      <c r="E33" s="97">
        <f t="shared" si="2"/>
        <v>9893155</v>
      </c>
      <c r="F33" s="98">
        <f t="shared" si="3"/>
        <v>0.15105448440574307</v>
      </c>
    </row>
    <row r="34" spans="1:6" ht="18" customHeight="1">
      <c r="A34" s="99">
        <v>8</v>
      </c>
      <c r="B34" s="100" t="s">
        <v>234</v>
      </c>
      <c r="C34" s="97">
        <v>1300817</v>
      </c>
      <c r="D34" s="97">
        <v>1510423</v>
      </c>
      <c r="E34" s="97">
        <f t="shared" si="2"/>
        <v>209606</v>
      </c>
      <c r="F34" s="98">
        <f t="shared" si="3"/>
        <v>0.16113411801967534</v>
      </c>
    </row>
    <row r="35" spans="1:6" ht="18" customHeight="1">
      <c r="A35" s="99">
        <v>9</v>
      </c>
      <c r="B35" s="100" t="s">
        <v>235</v>
      </c>
      <c r="C35" s="97">
        <v>3756696</v>
      </c>
      <c r="D35" s="97">
        <v>3396201</v>
      </c>
      <c r="E35" s="97">
        <f t="shared" si="2"/>
        <v>-360495</v>
      </c>
      <c r="F35" s="98">
        <f t="shared" si="3"/>
        <v>-0.09596065265861278</v>
      </c>
    </row>
    <row r="36" spans="1:6" ht="18" customHeight="1">
      <c r="A36" s="99">
        <v>10</v>
      </c>
      <c r="B36" s="100" t="s">
        <v>236</v>
      </c>
      <c r="C36" s="97">
        <v>771912</v>
      </c>
      <c r="D36" s="97">
        <v>837929</v>
      </c>
      <c r="E36" s="97">
        <f t="shared" si="2"/>
        <v>66017</v>
      </c>
      <c r="F36" s="98">
        <f t="shared" si="3"/>
        <v>0.08552399755412535</v>
      </c>
    </row>
    <row r="37" spans="1:6" ht="18" customHeight="1">
      <c r="A37" s="99">
        <v>11</v>
      </c>
      <c r="B37" s="100" t="s">
        <v>237</v>
      </c>
      <c r="C37" s="97">
        <v>478256</v>
      </c>
      <c r="D37" s="97">
        <v>185005</v>
      </c>
      <c r="E37" s="97">
        <f t="shared" si="2"/>
        <v>-293251</v>
      </c>
      <c r="F37" s="98">
        <f t="shared" si="3"/>
        <v>-0.6131674249774179</v>
      </c>
    </row>
    <row r="38" spans="1:6" ht="18" customHeight="1">
      <c r="A38" s="101"/>
      <c r="B38" s="102" t="s">
        <v>241</v>
      </c>
      <c r="C38" s="103">
        <f>SUM(C27:C37)</f>
        <v>139057828</v>
      </c>
      <c r="D38" s="103">
        <f>SUM(D27:D37)</f>
        <v>157824683</v>
      </c>
      <c r="E38" s="103">
        <f t="shared" si="2"/>
        <v>18766855</v>
      </c>
      <c r="F38" s="104">
        <f t="shared" si="3"/>
        <v>0.1349571992451946</v>
      </c>
    </row>
    <row r="39" spans="1:6" ht="18" customHeight="1">
      <c r="A39" s="665" t="s">
        <v>242</v>
      </c>
      <c r="B39" s="667" t="s">
        <v>243</v>
      </c>
      <c r="C39" s="669"/>
      <c r="D39" s="670"/>
      <c r="E39" s="670"/>
      <c r="F39" s="671"/>
    </row>
    <row r="40" spans="1:6" ht="18" customHeight="1">
      <c r="A40" s="666"/>
      <c r="B40" s="668"/>
      <c r="C40" s="672"/>
      <c r="D40" s="673"/>
      <c r="E40" s="673"/>
      <c r="F40" s="674"/>
    </row>
    <row r="41" spans="1:6" ht="18" customHeight="1">
      <c r="A41" s="105">
        <v>1</v>
      </c>
      <c r="B41" s="106" t="s">
        <v>227</v>
      </c>
      <c r="C41" s="103">
        <f aca="true" t="shared" si="4" ref="C41:D51">+C27+C14</f>
        <v>92573621</v>
      </c>
      <c r="D41" s="103">
        <f t="shared" si="4"/>
        <v>98579281</v>
      </c>
      <c r="E41" s="107">
        <f aca="true" t="shared" si="5" ref="E41:E52">D41-C41</f>
        <v>6005660</v>
      </c>
      <c r="F41" s="108">
        <f aca="true" t="shared" si="6" ref="F41:F52">IF(C41=0,0,E41/C41)</f>
        <v>0.06487442032757906</v>
      </c>
    </row>
    <row r="42" spans="1:6" ht="18" customHeight="1">
      <c r="A42" s="105">
        <v>2</v>
      </c>
      <c r="B42" s="106" t="s">
        <v>228</v>
      </c>
      <c r="C42" s="103">
        <f t="shared" si="4"/>
        <v>4461353</v>
      </c>
      <c r="D42" s="103">
        <f t="shared" si="4"/>
        <v>5825856</v>
      </c>
      <c r="E42" s="107">
        <f t="shared" si="5"/>
        <v>1364503</v>
      </c>
      <c r="F42" s="108">
        <f t="shared" si="6"/>
        <v>0.3058495931615364</v>
      </c>
    </row>
    <row r="43" spans="1:6" ht="18" customHeight="1">
      <c r="A43" s="105">
        <v>3</v>
      </c>
      <c r="B43" s="106" t="s">
        <v>229</v>
      </c>
      <c r="C43" s="103">
        <f t="shared" si="4"/>
        <v>3527391</v>
      </c>
      <c r="D43" s="103">
        <f t="shared" si="4"/>
        <v>5081088</v>
      </c>
      <c r="E43" s="107">
        <f t="shared" si="5"/>
        <v>1553697</v>
      </c>
      <c r="F43" s="108">
        <f t="shared" si="6"/>
        <v>0.44046633900239585</v>
      </c>
    </row>
    <row r="44" spans="1:6" ht="18" customHeight="1">
      <c r="A44" s="105">
        <v>4</v>
      </c>
      <c r="B44" s="106" t="s">
        <v>230</v>
      </c>
      <c r="C44" s="103">
        <f t="shared" si="4"/>
        <v>4074831</v>
      </c>
      <c r="D44" s="103">
        <f t="shared" si="4"/>
        <v>4350121</v>
      </c>
      <c r="E44" s="107">
        <f t="shared" si="5"/>
        <v>275290</v>
      </c>
      <c r="F44" s="108">
        <f t="shared" si="6"/>
        <v>0.06755863003888996</v>
      </c>
    </row>
    <row r="45" spans="1:6" ht="18" customHeight="1">
      <c r="A45" s="105">
        <v>5</v>
      </c>
      <c r="B45" s="106" t="s">
        <v>231</v>
      </c>
      <c r="C45" s="103">
        <f t="shared" si="4"/>
        <v>230456</v>
      </c>
      <c r="D45" s="103">
        <f t="shared" si="4"/>
        <v>278210</v>
      </c>
      <c r="E45" s="107">
        <f t="shared" si="5"/>
        <v>47754</v>
      </c>
      <c r="F45" s="108">
        <f t="shared" si="6"/>
        <v>0.2072152601798174</v>
      </c>
    </row>
    <row r="46" spans="1:6" ht="18" customHeight="1">
      <c r="A46" s="105">
        <v>6</v>
      </c>
      <c r="B46" s="106" t="s">
        <v>232</v>
      </c>
      <c r="C46" s="103">
        <f t="shared" si="4"/>
        <v>6812052</v>
      </c>
      <c r="D46" s="103">
        <f t="shared" si="4"/>
        <v>7159900</v>
      </c>
      <c r="E46" s="107">
        <f t="shared" si="5"/>
        <v>347848</v>
      </c>
      <c r="F46" s="108">
        <f t="shared" si="6"/>
        <v>0.05106361489900547</v>
      </c>
    </row>
    <row r="47" spans="1:6" ht="18" customHeight="1">
      <c r="A47" s="105">
        <v>7</v>
      </c>
      <c r="B47" s="106" t="s">
        <v>233</v>
      </c>
      <c r="C47" s="103">
        <f t="shared" si="4"/>
        <v>91644220</v>
      </c>
      <c r="D47" s="103">
        <f t="shared" si="4"/>
        <v>100185631</v>
      </c>
      <c r="E47" s="107">
        <f t="shared" si="5"/>
        <v>8541411</v>
      </c>
      <c r="F47" s="108">
        <f t="shared" si="6"/>
        <v>0.09320185168251746</v>
      </c>
    </row>
    <row r="48" spans="1:6" ht="18" customHeight="1">
      <c r="A48" s="105">
        <v>8</v>
      </c>
      <c r="B48" s="106" t="s">
        <v>234</v>
      </c>
      <c r="C48" s="103">
        <f t="shared" si="4"/>
        <v>3922265</v>
      </c>
      <c r="D48" s="103">
        <f t="shared" si="4"/>
        <v>3251233</v>
      </c>
      <c r="E48" s="107">
        <f t="shared" si="5"/>
        <v>-671032</v>
      </c>
      <c r="F48" s="108">
        <f t="shared" si="6"/>
        <v>-0.17108277997534588</v>
      </c>
    </row>
    <row r="49" spans="1:6" ht="18" customHeight="1">
      <c r="A49" s="105">
        <v>9</v>
      </c>
      <c r="B49" s="106" t="s">
        <v>235</v>
      </c>
      <c r="C49" s="103">
        <f t="shared" si="4"/>
        <v>5209499</v>
      </c>
      <c r="D49" s="103">
        <f t="shared" si="4"/>
        <v>4602265</v>
      </c>
      <c r="E49" s="107">
        <f t="shared" si="5"/>
        <v>-607234</v>
      </c>
      <c r="F49" s="108">
        <f t="shared" si="6"/>
        <v>-0.11656284030383728</v>
      </c>
    </row>
    <row r="50" spans="1:6" ht="18" customHeight="1">
      <c r="A50" s="105">
        <v>10</v>
      </c>
      <c r="B50" s="106" t="s">
        <v>236</v>
      </c>
      <c r="C50" s="103">
        <f t="shared" si="4"/>
        <v>1889889</v>
      </c>
      <c r="D50" s="103">
        <f t="shared" si="4"/>
        <v>1231458</v>
      </c>
      <c r="E50" s="107">
        <f t="shared" si="5"/>
        <v>-658431</v>
      </c>
      <c r="F50" s="108">
        <f t="shared" si="6"/>
        <v>-0.3483966518668557</v>
      </c>
    </row>
    <row r="51" spans="1:6" ht="18" customHeight="1" thickBot="1">
      <c r="A51" s="105">
        <v>11</v>
      </c>
      <c r="B51" s="106" t="s">
        <v>237</v>
      </c>
      <c r="C51" s="103">
        <f t="shared" si="4"/>
        <v>535858</v>
      </c>
      <c r="D51" s="103">
        <f t="shared" si="4"/>
        <v>286665</v>
      </c>
      <c r="E51" s="107">
        <f t="shared" si="5"/>
        <v>-249193</v>
      </c>
      <c r="F51" s="108">
        <f t="shared" si="6"/>
        <v>-0.46503551313967506</v>
      </c>
    </row>
    <row r="52" spans="1:6" ht="18.75" customHeight="1" thickBot="1">
      <c r="A52" s="109"/>
      <c r="B52" s="110" t="s">
        <v>243</v>
      </c>
      <c r="C52" s="111">
        <f>SUM(C41:C51)</f>
        <v>214881435</v>
      </c>
      <c r="D52" s="112">
        <f>SUM(D41:D51)</f>
        <v>230831708</v>
      </c>
      <c r="E52" s="111">
        <f t="shared" si="5"/>
        <v>15950273</v>
      </c>
      <c r="F52" s="113">
        <f t="shared" si="6"/>
        <v>0.0742282505699015</v>
      </c>
    </row>
    <row r="53" spans="1:6" ht="18" customHeight="1">
      <c r="A53" s="665" t="s">
        <v>159</v>
      </c>
      <c r="B53" s="667" t="s">
        <v>244</v>
      </c>
      <c r="C53" s="669"/>
      <c r="D53" s="670"/>
      <c r="E53" s="670"/>
      <c r="F53" s="671"/>
    </row>
    <row r="54" spans="1:6" ht="18" customHeight="1">
      <c r="A54" s="666"/>
      <c r="B54" s="668"/>
      <c r="C54" s="672"/>
      <c r="D54" s="673"/>
      <c r="E54" s="673"/>
      <c r="F54" s="674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225</v>
      </c>
      <c r="B56" s="95" t="s">
        <v>245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227</v>
      </c>
      <c r="C57" s="97">
        <v>13736074</v>
      </c>
      <c r="D57" s="97">
        <v>12709505</v>
      </c>
      <c r="E57" s="97">
        <f aca="true" t="shared" si="7" ref="E57:E68">D57-C57</f>
        <v>-1026569</v>
      </c>
      <c r="F57" s="98">
        <f aca="true" t="shared" si="8" ref="F57:F68">IF(C57=0,0,E57/C57)</f>
        <v>-0.07473525550313721</v>
      </c>
    </row>
    <row r="58" spans="1:6" ht="18" customHeight="1">
      <c r="A58" s="99">
        <v>2</v>
      </c>
      <c r="B58" s="100" t="s">
        <v>228</v>
      </c>
      <c r="C58" s="97">
        <v>545846</v>
      </c>
      <c r="D58" s="97">
        <v>647213</v>
      </c>
      <c r="E58" s="97">
        <f t="shared" si="7"/>
        <v>101367</v>
      </c>
      <c r="F58" s="98">
        <f t="shared" si="8"/>
        <v>0.1857062248326451</v>
      </c>
    </row>
    <row r="59" spans="1:6" ht="18" customHeight="1">
      <c r="A59" s="99">
        <v>3</v>
      </c>
      <c r="B59" s="100" t="s">
        <v>229</v>
      </c>
      <c r="C59" s="97">
        <v>399357</v>
      </c>
      <c r="D59" s="97">
        <v>366933</v>
      </c>
      <c r="E59" s="97">
        <f t="shared" si="7"/>
        <v>-32424</v>
      </c>
      <c r="F59" s="98">
        <f t="shared" si="8"/>
        <v>-0.0811905137508545</v>
      </c>
    </row>
    <row r="60" spans="1:6" ht="18" customHeight="1">
      <c r="A60" s="99">
        <v>4</v>
      </c>
      <c r="B60" s="100" t="s">
        <v>230</v>
      </c>
      <c r="C60" s="97">
        <v>309031</v>
      </c>
      <c r="D60" s="97">
        <v>443232</v>
      </c>
      <c r="E60" s="97">
        <f t="shared" si="7"/>
        <v>134201</v>
      </c>
      <c r="F60" s="98">
        <f t="shared" si="8"/>
        <v>0.4342638764395805</v>
      </c>
    </row>
    <row r="61" spans="1:6" ht="18" customHeight="1">
      <c r="A61" s="99">
        <v>5</v>
      </c>
      <c r="B61" s="100" t="s">
        <v>231</v>
      </c>
      <c r="C61" s="97">
        <v>13441</v>
      </c>
      <c r="D61" s="97">
        <v>15679</v>
      </c>
      <c r="E61" s="97">
        <f t="shared" si="7"/>
        <v>2238</v>
      </c>
      <c r="F61" s="98">
        <f t="shared" si="8"/>
        <v>0.16650546834312924</v>
      </c>
    </row>
    <row r="62" spans="1:6" ht="18" customHeight="1">
      <c r="A62" s="99">
        <v>6</v>
      </c>
      <c r="B62" s="100" t="s">
        <v>232</v>
      </c>
      <c r="C62" s="97">
        <v>725035</v>
      </c>
      <c r="D62" s="97">
        <v>724301</v>
      </c>
      <c r="E62" s="97">
        <f t="shared" si="7"/>
        <v>-734</v>
      </c>
      <c r="F62" s="98">
        <f t="shared" si="8"/>
        <v>-0.0010123649203141918</v>
      </c>
    </row>
    <row r="63" spans="1:6" ht="18" customHeight="1">
      <c r="A63" s="99">
        <v>7</v>
      </c>
      <c r="B63" s="100" t="s">
        <v>233</v>
      </c>
      <c r="C63" s="97">
        <v>10553050</v>
      </c>
      <c r="D63" s="97">
        <v>10099075</v>
      </c>
      <c r="E63" s="97">
        <f t="shared" si="7"/>
        <v>-453975</v>
      </c>
      <c r="F63" s="98">
        <f t="shared" si="8"/>
        <v>-0.043018369097085674</v>
      </c>
    </row>
    <row r="64" spans="1:6" ht="18" customHeight="1">
      <c r="A64" s="99">
        <v>8</v>
      </c>
      <c r="B64" s="100" t="s">
        <v>234</v>
      </c>
      <c r="C64" s="97">
        <v>1421176</v>
      </c>
      <c r="D64" s="97">
        <v>1080426</v>
      </c>
      <c r="E64" s="97">
        <f t="shared" si="7"/>
        <v>-340750</v>
      </c>
      <c r="F64" s="98">
        <f t="shared" si="8"/>
        <v>-0.23976622177689463</v>
      </c>
    </row>
    <row r="65" spans="1:6" ht="18" customHeight="1">
      <c r="A65" s="99">
        <v>9</v>
      </c>
      <c r="B65" s="100" t="s">
        <v>235</v>
      </c>
      <c r="C65" s="97">
        <v>464817</v>
      </c>
      <c r="D65" s="97">
        <v>65680</v>
      </c>
      <c r="E65" s="97">
        <f t="shared" si="7"/>
        <v>-399137</v>
      </c>
      <c r="F65" s="98">
        <f t="shared" si="8"/>
        <v>-0.8586970786352478</v>
      </c>
    </row>
    <row r="66" spans="1:6" ht="18" customHeight="1">
      <c r="A66" s="99">
        <v>10</v>
      </c>
      <c r="B66" s="100" t="s">
        <v>236</v>
      </c>
      <c r="C66" s="97">
        <v>301142</v>
      </c>
      <c r="D66" s="97">
        <v>114702</v>
      </c>
      <c r="E66" s="97">
        <f t="shared" si="7"/>
        <v>-186440</v>
      </c>
      <c r="F66" s="98">
        <f t="shared" si="8"/>
        <v>-0.6191099215652417</v>
      </c>
    </row>
    <row r="67" spans="1:6" ht="18" customHeight="1">
      <c r="A67" s="99">
        <v>11</v>
      </c>
      <c r="B67" s="100" t="s">
        <v>237</v>
      </c>
      <c r="C67" s="97">
        <v>15516</v>
      </c>
      <c r="D67" s="97">
        <v>29631</v>
      </c>
      <c r="E67" s="97">
        <f t="shared" si="7"/>
        <v>14115</v>
      </c>
      <c r="F67" s="98">
        <f t="shared" si="8"/>
        <v>0.9097061098221191</v>
      </c>
    </row>
    <row r="68" spans="1:6" ht="18" customHeight="1">
      <c r="A68" s="101"/>
      <c r="B68" s="102" t="s">
        <v>246</v>
      </c>
      <c r="C68" s="103">
        <f>SUM(C57:C67)</f>
        <v>28484485</v>
      </c>
      <c r="D68" s="103">
        <f>SUM(D57:D67)</f>
        <v>26296377</v>
      </c>
      <c r="E68" s="103">
        <f t="shared" si="7"/>
        <v>-2188108</v>
      </c>
      <c r="F68" s="104">
        <f t="shared" si="8"/>
        <v>-0.07681753768762188</v>
      </c>
    </row>
    <row r="69" spans="1:6" ht="18" customHeight="1">
      <c r="A69" s="94" t="s">
        <v>239</v>
      </c>
      <c r="B69" s="95" t="s">
        <v>247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227</v>
      </c>
      <c r="C70" s="97">
        <v>12968384</v>
      </c>
      <c r="D70" s="97">
        <v>12469898</v>
      </c>
      <c r="E70" s="97">
        <f aca="true" t="shared" si="9" ref="E70:E81">D70-C70</f>
        <v>-498486</v>
      </c>
      <c r="F70" s="98">
        <f aca="true" t="shared" si="10" ref="F70:F81">IF(C70=0,0,E70/C70)</f>
        <v>-0.03843855949978039</v>
      </c>
    </row>
    <row r="71" spans="1:6" ht="18" customHeight="1">
      <c r="A71" s="99">
        <v>2</v>
      </c>
      <c r="B71" s="100" t="s">
        <v>228</v>
      </c>
      <c r="C71" s="97">
        <v>1209488</v>
      </c>
      <c r="D71" s="97">
        <v>1203789</v>
      </c>
      <c r="E71" s="97">
        <f t="shared" si="9"/>
        <v>-5699</v>
      </c>
      <c r="F71" s="98">
        <f t="shared" si="10"/>
        <v>-0.004711911155794848</v>
      </c>
    </row>
    <row r="72" spans="1:6" ht="18" customHeight="1">
      <c r="A72" s="99">
        <v>3</v>
      </c>
      <c r="B72" s="100" t="s">
        <v>229</v>
      </c>
      <c r="C72" s="97">
        <v>550791</v>
      </c>
      <c r="D72" s="97">
        <v>922256</v>
      </c>
      <c r="E72" s="97">
        <f t="shared" si="9"/>
        <v>371465</v>
      </c>
      <c r="F72" s="98">
        <f t="shared" si="10"/>
        <v>0.6744209691153269</v>
      </c>
    </row>
    <row r="73" spans="1:6" ht="18" customHeight="1">
      <c r="A73" s="99">
        <v>4</v>
      </c>
      <c r="B73" s="100" t="s">
        <v>230</v>
      </c>
      <c r="C73" s="97">
        <v>1103011</v>
      </c>
      <c r="D73" s="97">
        <v>1012218</v>
      </c>
      <c r="E73" s="97">
        <f t="shared" si="9"/>
        <v>-90793</v>
      </c>
      <c r="F73" s="98">
        <f t="shared" si="10"/>
        <v>-0.08231377565590914</v>
      </c>
    </row>
    <row r="74" spans="1:6" ht="18" customHeight="1">
      <c r="A74" s="99">
        <v>5</v>
      </c>
      <c r="B74" s="100" t="s">
        <v>231</v>
      </c>
      <c r="C74" s="97">
        <v>57658</v>
      </c>
      <c r="D74" s="97">
        <v>62550</v>
      </c>
      <c r="E74" s="97">
        <f t="shared" si="9"/>
        <v>4892</v>
      </c>
      <c r="F74" s="98">
        <f t="shared" si="10"/>
        <v>0.08484512123209269</v>
      </c>
    </row>
    <row r="75" spans="1:6" ht="18" customHeight="1">
      <c r="A75" s="99">
        <v>6</v>
      </c>
      <c r="B75" s="100" t="s">
        <v>232</v>
      </c>
      <c r="C75" s="97">
        <v>3491915</v>
      </c>
      <c r="D75" s="97">
        <v>2661747</v>
      </c>
      <c r="E75" s="97">
        <f t="shared" si="9"/>
        <v>-830168</v>
      </c>
      <c r="F75" s="98">
        <f t="shared" si="10"/>
        <v>-0.2377400366274666</v>
      </c>
    </row>
    <row r="76" spans="1:6" ht="18" customHeight="1">
      <c r="A76" s="99">
        <v>7</v>
      </c>
      <c r="B76" s="100" t="s">
        <v>233</v>
      </c>
      <c r="C76" s="97">
        <v>34714208</v>
      </c>
      <c r="D76" s="97">
        <v>40015675</v>
      </c>
      <c r="E76" s="97">
        <f t="shared" si="9"/>
        <v>5301467</v>
      </c>
      <c r="F76" s="98">
        <f t="shared" si="10"/>
        <v>0.15271749826468747</v>
      </c>
    </row>
    <row r="77" spans="1:6" ht="18" customHeight="1">
      <c r="A77" s="99">
        <v>8</v>
      </c>
      <c r="B77" s="100" t="s">
        <v>234</v>
      </c>
      <c r="C77" s="97">
        <v>975138</v>
      </c>
      <c r="D77" s="97">
        <v>1029903</v>
      </c>
      <c r="E77" s="97">
        <f t="shared" si="9"/>
        <v>54765</v>
      </c>
      <c r="F77" s="98">
        <f t="shared" si="10"/>
        <v>0.05616128178780849</v>
      </c>
    </row>
    <row r="78" spans="1:6" ht="18" customHeight="1">
      <c r="A78" s="99">
        <v>9</v>
      </c>
      <c r="B78" s="100" t="s">
        <v>235</v>
      </c>
      <c r="C78" s="97">
        <v>1201937</v>
      </c>
      <c r="D78" s="97">
        <v>184951</v>
      </c>
      <c r="E78" s="97">
        <f t="shared" si="9"/>
        <v>-1016986</v>
      </c>
      <c r="F78" s="98">
        <f t="shared" si="10"/>
        <v>-0.8461225505163749</v>
      </c>
    </row>
    <row r="79" spans="1:6" ht="18" customHeight="1">
      <c r="A79" s="99">
        <v>10</v>
      </c>
      <c r="B79" s="100" t="s">
        <v>236</v>
      </c>
      <c r="C79" s="97">
        <v>207925</v>
      </c>
      <c r="D79" s="97">
        <v>202184</v>
      </c>
      <c r="E79" s="97">
        <f t="shared" si="9"/>
        <v>-5741</v>
      </c>
      <c r="F79" s="98">
        <f t="shared" si="10"/>
        <v>-0.027610917398100277</v>
      </c>
    </row>
    <row r="80" spans="1:6" ht="18" customHeight="1">
      <c r="A80" s="99">
        <v>11</v>
      </c>
      <c r="B80" s="100" t="s">
        <v>237</v>
      </c>
      <c r="C80" s="97">
        <v>128824</v>
      </c>
      <c r="D80" s="97">
        <v>44640</v>
      </c>
      <c r="E80" s="97">
        <f t="shared" si="9"/>
        <v>-84184</v>
      </c>
      <c r="F80" s="98">
        <f t="shared" si="10"/>
        <v>-0.6534807178786561</v>
      </c>
    </row>
    <row r="81" spans="1:6" ht="18" customHeight="1">
      <c r="A81" s="101"/>
      <c r="B81" s="102" t="s">
        <v>248</v>
      </c>
      <c r="C81" s="103">
        <f>SUM(C70:C80)</f>
        <v>56609279</v>
      </c>
      <c r="D81" s="103">
        <f>SUM(D70:D80)</f>
        <v>59809811</v>
      </c>
      <c r="E81" s="103">
        <f t="shared" si="9"/>
        <v>3200532</v>
      </c>
      <c r="F81" s="104">
        <f t="shared" si="10"/>
        <v>0.05653723305679269</v>
      </c>
    </row>
    <row r="82" spans="1:6" ht="18" customHeight="1">
      <c r="A82" s="665" t="s">
        <v>242</v>
      </c>
      <c r="B82" s="667" t="s">
        <v>249</v>
      </c>
      <c r="C82" s="669"/>
      <c r="D82" s="670"/>
      <c r="E82" s="670"/>
      <c r="F82" s="671"/>
    </row>
    <row r="83" spans="1:6" ht="18" customHeight="1">
      <c r="A83" s="666"/>
      <c r="B83" s="668"/>
      <c r="C83" s="672"/>
      <c r="D83" s="673"/>
      <c r="E83" s="673"/>
      <c r="F83" s="674"/>
    </row>
    <row r="84" spans="1:6" ht="18" customHeight="1">
      <c r="A84" s="114">
        <v>1</v>
      </c>
      <c r="B84" s="106" t="s">
        <v>227</v>
      </c>
      <c r="C84" s="103">
        <f aca="true" t="shared" si="11" ref="C84:D94">+C70+C57</f>
        <v>26704458</v>
      </c>
      <c r="D84" s="103">
        <f t="shared" si="11"/>
        <v>25179403</v>
      </c>
      <c r="E84" s="103">
        <f aca="true" t="shared" si="12" ref="E84:E95">D84-C84</f>
        <v>-1525055</v>
      </c>
      <c r="F84" s="104">
        <f aca="true" t="shared" si="13" ref="F84:F95">IF(C84=0,0,E84/C84)</f>
        <v>-0.05710862957787797</v>
      </c>
    </row>
    <row r="85" spans="1:6" ht="18" customHeight="1">
      <c r="A85" s="114">
        <v>2</v>
      </c>
      <c r="B85" s="106" t="s">
        <v>228</v>
      </c>
      <c r="C85" s="103">
        <f t="shared" si="11"/>
        <v>1755334</v>
      </c>
      <c r="D85" s="103">
        <f t="shared" si="11"/>
        <v>1851002</v>
      </c>
      <c r="E85" s="103">
        <f t="shared" si="12"/>
        <v>95668</v>
      </c>
      <c r="F85" s="104">
        <f t="shared" si="13"/>
        <v>0.05450130858286799</v>
      </c>
    </row>
    <row r="86" spans="1:6" ht="18" customHeight="1">
      <c r="A86" s="114">
        <v>3</v>
      </c>
      <c r="B86" s="106" t="s">
        <v>229</v>
      </c>
      <c r="C86" s="103">
        <f t="shared" si="11"/>
        <v>950148</v>
      </c>
      <c r="D86" s="103">
        <f t="shared" si="11"/>
        <v>1289189</v>
      </c>
      <c r="E86" s="103">
        <f t="shared" si="12"/>
        <v>339041</v>
      </c>
      <c r="F86" s="104">
        <f t="shared" si="13"/>
        <v>0.3568296728509664</v>
      </c>
    </row>
    <row r="87" spans="1:6" ht="18" customHeight="1">
      <c r="A87" s="114">
        <v>4</v>
      </c>
      <c r="B87" s="106" t="s">
        <v>230</v>
      </c>
      <c r="C87" s="103">
        <f t="shared" si="11"/>
        <v>1412042</v>
      </c>
      <c r="D87" s="103">
        <f t="shared" si="11"/>
        <v>1455450</v>
      </c>
      <c r="E87" s="103">
        <f t="shared" si="12"/>
        <v>43408</v>
      </c>
      <c r="F87" s="104">
        <f t="shared" si="13"/>
        <v>0.030741295230595125</v>
      </c>
    </row>
    <row r="88" spans="1:6" ht="18" customHeight="1">
      <c r="A88" s="114">
        <v>5</v>
      </c>
      <c r="B88" s="106" t="s">
        <v>231</v>
      </c>
      <c r="C88" s="103">
        <f t="shared" si="11"/>
        <v>71099</v>
      </c>
      <c r="D88" s="103">
        <f t="shared" si="11"/>
        <v>78229</v>
      </c>
      <c r="E88" s="103">
        <f t="shared" si="12"/>
        <v>7130</v>
      </c>
      <c r="F88" s="104">
        <f t="shared" si="13"/>
        <v>0.1002827043980928</v>
      </c>
    </row>
    <row r="89" spans="1:6" ht="18" customHeight="1">
      <c r="A89" s="114">
        <v>6</v>
      </c>
      <c r="B89" s="106" t="s">
        <v>232</v>
      </c>
      <c r="C89" s="103">
        <f t="shared" si="11"/>
        <v>4216950</v>
      </c>
      <c r="D89" s="103">
        <f t="shared" si="11"/>
        <v>3386048</v>
      </c>
      <c r="E89" s="103">
        <f t="shared" si="12"/>
        <v>-830902</v>
      </c>
      <c r="F89" s="104">
        <f t="shared" si="13"/>
        <v>-0.1970386179584771</v>
      </c>
    </row>
    <row r="90" spans="1:6" ht="18" customHeight="1">
      <c r="A90" s="114">
        <v>7</v>
      </c>
      <c r="B90" s="106" t="s">
        <v>233</v>
      </c>
      <c r="C90" s="103">
        <f t="shared" si="11"/>
        <v>45267258</v>
      </c>
      <c r="D90" s="103">
        <f t="shared" si="11"/>
        <v>50114750</v>
      </c>
      <c r="E90" s="103">
        <f t="shared" si="12"/>
        <v>4847492</v>
      </c>
      <c r="F90" s="104">
        <f t="shared" si="13"/>
        <v>0.10708605323521031</v>
      </c>
    </row>
    <row r="91" spans="1:6" ht="18" customHeight="1">
      <c r="A91" s="114">
        <v>8</v>
      </c>
      <c r="B91" s="106" t="s">
        <v>234</v>
      </c>
      <c r="C91" s="103">
        <f t="shared" si="11"/>
        <v>2396314</v>
      </c>
      <c r="D91" s="103">
        <f t="shared" si="11"/>
        <v>2110329</v>
      </c>
      <c r="E91" s="103">
        <f t="shared" si="12"/>
        <v>-285985</v>
      </c>
      <c r="F91" s="104">
        <f t="shared" si="13"/>
        <v>-0.11934370871263116</v>
      </c>
    </row>
    <row r="92" spans="1:6" ht="18" customHeight="1">
      <c r="A92" s="114">
        <v>9</v>
      </c>
      <c r="B92" s="106" t="s">
        <v>235</v>
      </c>
      <c r="C92" s="103">
        <f t="shared" si="11"/>
        <v>1666754</v>
      </c>
      <c r="D92" s="103">
        <f t="shared" si="11"/>
        <v>250631</v>
      </c>
      <c r="E92" s="103">
        <f t="shared" si="12"/>
        <v>-1416123</v>
      </c>
      <c r="F92" s="104">
        <f t="shared" si="13"/>
        <v>-0.849629279425758</v>
      </c>
    </row>
    <row r="93" spans="1:6" ht="18" customHeight="1">
      <c r="A93" s="114">
        <v>10</v>
      </c>
      <c r="B93" s="106" t="s">
        <v>236</v>
      </c>
      <c r="C93" s="103">
        <f t="shared" si="11"/>
        <v>509067</v>
      </c>
      <c r="D93" s="103">
        <f t="shared" si="11"/>
        <v>316886</v>
      </c>
      <c r="E93" s="103">
        <f t="shared" si="12"/>
        <v>-192181</v>
      </c>
      <c r="F93" s="104">
        <f t="shared" si="13"/>
        <v>-0.3775161226321879</v>
      </c>
    </row>
    <row r="94" spans="1:6" ht="18" customHeight="1" thickBot="1">
      <c r="A94" s="114">
        <v>11</v>
      </c>
      <c r="B94" s="106" t="s">
        <v>237</v>
      </c>
      <c r="C94" s="103">
        <f t="shared" si="11"/>
        <v>144340</v>
      </c>
      <c r="D94" s="103">
        <f t="shared" si="11"/>
        <v>74271</v>
      </c>
      <c r="E94" s="103">
        <f t="shared" si="12"/>
        <v>-70069</v>
      </c>
      <c r="F94" s="104">
        <f t="shared" si="13"/>
        <v>-0.48544409034224745</v>
      </c>
    </row>
    <row r="95" spans="1:6" ht="18.75" customHeight="1" thickBot="1">
      <c r="A95" s="115"/>
      <c r="B95" s="116" t="s">
        <v>249</v>
      </c>
      <c r="C95" s="112">
        <f>SUM(C84:C94)</f>
        <v>85093764</v>
      </c>
      <c r="D95" s="112">
        <f>SUM(D84:D94)</f>
        <v>86106188</v>
      </c>
      <c r="E95" s="112">
        <f t="shared" si="12"/>
        <v>1012424</v>
      </c>
      <c r="F95" s="113">
        <f t="shared" si="13"/>
        <v>0.011897746114509637</v>
      </c>
    </row>
    <row r="96" spans="1:6" ht="18" customHeight="1">
      <c r="A96" s="665" t="s">
        <v>250</v>
      </c>
      <c r="B96" s="667" t="s">
        <v>251</v>
      </c>
      <c r="C96" s="669"/>
      <c r="D96" s="670"/>
      <c r="E96" s="670"/>
      <c r="F96" s="671"/>
    </row>
    <row r="97" spans="1:6" ht="18" customHeight="1">
      <c r="A97" s="666"/>
      <c r="B97" s="668"/>
      <c r="C97" s="672"/>
      <c r="D97" s="673"/>
      <c r="E97" s="673"/>
      <c r="F97" s="674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225</v>
      </c>
      <c r="B99" s="95" t="s">
        <v>252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227</v>
      </c>
      <c r="C100" s="117">
        <v>1235</v>
      </c>
      <c r="D100" s="117">
        <v>1184</v>
      </c>
      <c r="E100" s="117">
        <f aca="true" t="shared" si="14" ref="E100:E111">D100-C100</f>
        <v>-51</v>
      </c>
      <c r="F100" s="98">
        <f aca="true" t="shared" si="15" ref="F100:F111">IF(C100=0,0,E100/C100)</f>
        <v>-0.04129554655870445</v>
      </c>
    </row>
    <row r="101" spans="1:6" ht="18" customHeight="1">
      <c r="A101" s="99">
        <v>2</v>
      </c>
      <c r="B101" s="100" t="s">
        <v>228</v>
      </c>
      <c r="C101" s="117">
        <v>55</v>
      </c>
      <c r="D101" s="117">
        <v>64</v>
      </c>
      <c r="E101" s="117">
        <f t="shared" si="14"/>
        <v>9</v>
      </c>
      <c r="F101" s="98">
        <f t="shared" si="15"/>
        <v>0.16363636363636364</v>
      </c>
    </row>
    <row r="102" spans="1:6" ht="18" customHeight="1">
      <c r="A102" s="99">
        <v>3</v>
      </c>
      <c r="B102" s="100" t="s">
        <v>229</v>
      </c>
      <c r="C102" s="117">
        <v>70</v>
      </c>
      <c r="D102" s="117">
        <v>72</v>
      </c>
      <c r="E102" s="117">
        <f t="shared" si="14"/>
        <v>2</v>
      </c>
      <c r="F102" s="98">
        <f t="shared" si="15"/>
        <v>0.02857142857142857</v>
      </c>
    </row>
    <row r="103" spans="1:6" ht="18" customHeight="1">
      <c r="A103" s="99">
        <v>4</v>
      </c>
      <c r="B103" s="100" t="s">
        <v>230</v>
      </c>
      <c r="C103" s="117">
        <v>126</v>
      </c>
      <c r="D103" s="117">
        <v>136</v>
      </c>
      <c r="E103" s="117">
        <f t="shared" si="14"/>
        <v>10</v>
      </c>
      <c r="F103" s="98">
        <f t="shared" si="15"/>
        <v>0.07936507936507936</v>
      </c>
    </row>
    <row r="104" spans="1:6" ht="18" customHeight="1">
      <c r="A104" s="99">
        <v>5</v>
      </c>
      <c r="B104" s="100" t="s">
        <v>231</v>
      </c>
      <c r="C104" s="117">
        <v>1</v>
      </c>
      <c r="D104" s="117">
        <v>6</v>
      </c>
      <c r="E104" s="117">
        <f t="shared" si="14"/>
        <v>5</v>
      </c>
      <c r="F104" s="98">
        <f t="shared" si="15"/>
        <v>5</v>
      </c>
    </row>
    <row r="105" spans="1:6" ht="18" customHeight="1">
      <c r="A105" s="99">
        <v>6</v>
      </c>
      <c r="B105" s="100" t="s">
        <v>232</v>
      </c>
      <c r="C105" s="117">
        <v>74</v>
      </c>
      <c r="D105" s="117">
        <v>82</v>
      </c>
      <c r="E105" s="117">
        <f t="shared" si="14"/>
        <v>8</v>
      </c>
      <c r="F105" s="98">
        <f t="shared" si="15"/>
        <v>0.10810810810810811</v>
      </c>
    </row>
    <row r="106" spans="1:6" ht="18" customHeight="1">
      <c r="A106" s="99">
        <v>7</v>
      </c>
      <c r="B106" s="100" t="s">
        <v>233</v>
      </c>
      <c r="C106" s="117">
        <v>1303</v>
      </c>
      <c r="D106" s="117">
        <v>1113</v>
      </c>
      <c r="E106" s="117">
        <f t="shared" si="14"/>
        <v>-190</v>
      </c>
      <c r="F106" s="98">
        <f t="shared" si="15"/>
        <v>-0.14581734458940906</v>
      </c>
    </row>
    <row r="107" spans="1:6" ht="18" customHeight="1">
      <c r="A107" s="99">
        <v>8</v>
      </c>
      <c r="B107" s="100" t="s">
        <v>234</v>
      </c>
      <c r="C107" s="117">
        <v>54</v>
      </c>
      <c r="D107" s="117">
        <v>30</v>
      </c>
      <c r="E107" s="117">
        <f t="shared" si="14"/>
        <v>-24</v>
      </c>
      <c r="F107" s="98">
        <f t="shared" si="15"/>
        <v>-0.4444444444444444</v>
      </c>
    </row>
    <row r="108" spans="1:6" ht="18" customHeight="1">
      <c r="A108" s="99">
        <v>9</v>
      </c>
      <c r="B108" s="100" t="s">
        <v>235</v>
      </c>
      <c r="C108" s="117">
        <v>82</v>
      </c>
      <c r="D108" s="117">
        <v>60</v>
      </c>
      <c r="E108" s="117">
        <f t="shared" si="14"/>
        <v>-22</v>
      </c>
      <c r="F108" s="98">
        <f t="shared" si="15"/>
        <v>-0.2682926829268293</v>
      </c>
    </row>
    <row r="109" spans="1:6" ht="18" customHeight="1">
      <c r="A109" s="99">
        <v>10</v>
      </c>
      <c r="B109" s="100" t="s">
        <v>236</v>
      </c>
      <c r="C109" s="117">
        <v>31</v>
      </c>
      <c r="D109" s="117">
        <v>22</v>
      </c>
      <c r="E109" s="117">
        <f t="shared" si="14"/>
        <v>-9</v>
      </c>
      <c r="F109" s="98">
        <f t="shared" si="15"/>
        <v>-0.2903225806451613</v>
      </c>
    </row>
    <row r="110" spans="1:6" ht="18" customHeight="1">
      <c r="A110" s="99">
        <v>11</v>
      </c>
      <c r="B110" s="100" t="s">
        <v>237</v>
      </c>
      <c r="C110" s="117">
        <v>1</v>
      </c>
      <c r="D110" s="117">
        <v>5</v>
      </c>
      <c r="E110" s="117">
        <f t="shared" si="14"/>
        <v>4</v>
      </c>
      <c r="F110" s="98">
        <f t="shared" si="15"/>
        <v>4</v>
      </c>
    </row>
    <row r="111" spans="1:6" ht="18" customHeight="1">
      <c r="A111" s="101"/>
      <c r="B111" s="102" t="s">
        <v>253</v>
      </c>
      <c r="C111" s="118">
        <f>SUM(C100:C110)</f>
        <v>3032</v>
      </c>
      <c r="D111" s="118">
        <f>SUM(D100:D110)</f>
        <v>2774</v>
      </c>
      <c r="E111" s="118">
        <f t="shared" si="14"/>
        <v>-258</v>
      </c>
      <c r="F111" s="104">
        <f t="shared" si="15"/>
        <v>-0.08509234828496043</v>
      </c>
    </row>
    <row r="112" spans="1:6" ht="18" customHeight="1">
      <c r="A112" s="94" t="s">
        <v>239</v>
      </c>
      <c r="B112" s="95" t="s">
        <v>254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227</v>
      </c>
      <c r="C113" s="117">
        <v>6043</v>
      </c>
      <c r="D113" s="117">
        <v>5137</v>
      </c>
      <c r="E113" s="117">
        <f aca="true" t="shared" si="16" ref="E113:E124">D113-C113</f>
        <v>-906</v>
      </c>
      <c r="F113" s="98">
        <f aca="true" t="shared" si="17" ref="F113:F124">IF(C113=0,0,E113/C113)</f>
        <v>-0.14992553367532682</v>
      </c>
    </row>
    <row r="114" spans="1:6" ht="18" customHeight="1">
      <c r="A114" s="99">
        <v>2</v>
      </c>
      <c r="B114" s="100" t="s">
        <v>228</v>
      </c>
      <c r="C114" s="117">
        <v>224</v>
      </c>
      <c r="D114" s="117">
        <v>233</v>
      </c>
      <c r="E114" s="117">
        <f t="shared" si="16"/>
        <v>9</v>
      </c>
      <c r="F114" s="98">
        <f t="shared" si="17"/>
        <v>0.04017857142857143</v>
      </c>
    </row>
    <row r="115" spans="1:6" ht="18" customHeight="1">
      <c r="A115" s="99">
        <v>3</v>
      </c>
      <c r="B115" s="100" t="s">
        <v>229</v>
      </c>
      <c r="C115" s="117">
        <v>369</v>
      </c>
      <c r="D115" s="117">
        <v>234</v>
      </c>
      <c r="E115" s="117">
        <f t="shared" si="16"/>
        <v>-135</v>
      </c>
      <c r="F115" s="98">
        <f t="shared" si="17"/>
        <v>-0.36585365853658536</v>
      </c>
    </row>
    <row r="116" spans="1:6" ht="18" customHeight="1">
      <c r="A116" s="99">
        <v>4</v>
      </c>
      <c r="B116" s="100" t="s">
        <v>230</v>
      </c>
      <c r="C116" s="117">
        <v>306</v>
      </c>
      <c r="D116" s="117">
        <v>320</v>
      </c>
      <c r="E116" s="117">
        <f t="shared" si="16"/>
        <v>14</v>
      </c>
      <c r="F116" s="98">
        <f t="shared" si="17"/>
        <v>0.0457516339869281</v>
      </c>
    </row>
    <row r="117" spans="1:6" ht="18" customHeight="1">
      <c r="A117" s="99">
        <v>5</v>
      </c>
      <c r="B117" s="100" t="s">
        <v>231</v>
      </c>
      <c r="C117" s="117">
        <v>3</v>
      </c>
      <c r="D117" s="117">
        <v>17</v>
      </c>
      <c r="E117" s="117">
        <f t="shared" si="16"/>
        <v>14</v>
      </c>
      <c r="F117" s="98">
        <f t="shared" si="17"/>
        <v>4.666666666666667</v>
      </c>
    </row>
    <row r="118" spans="1:6" ht="18" customHeight="1">
      <c r="A118" s="99">
        <v>6</v>
      </c>
      <c r="B118" s="100" t="s">
        <v>232</v>
      </c>
      <c r="C118" s="117">
        <v>220</v>
      </c>
      <c r="D118" s="117">
        <v>248</v>
      </c>
      <c r="E118" s="117">
        <f t="shared" si="16"/>
        <v>28</v>
      </c>
      <c r="F118" s="98">
        <f t="shared" si="17"/>
        <v>0.12727272727272726</v>
      </c>
    </row>
    <row r="119" spans="1:6" ht="18" customHeight="1">
      <c r="A119" s="99">
        <v>7</v>
      </c>
      <c r="B119" s="100" t="s">
        <v>233</v>
      </c>
      <c r="C119" s="117">
        <v>4030</v>
      </c>
      <c r="D119" s="117">
        <v>3353</v>
      </c>
      <c r="E119" s="117">
        <f t="shared" si="16"/>
        <v>-677</v>
      </c>
      <c r="F119" s="98">
        <f t="shared" si="17"/>
        <v>-0.16799007444168734</v>
      </c>
    </row>
    <row r="120" spans="1:6" ht="18" customHeight="1">
      <c r="A120" s="99">
        <v>8</v>
      </c>
      <c r="B120" s="100" t="s">
        <v>234</v>
      </c>
      <c r="C120" s="117">
        <v>124</v>
      </c>
      <c r="D120" s="117">
        <v>68</v>
      </c>
      <c r="E120" s="117">
        <f t="shared" si="16"/>
        <v>-56</v>
      </c>
      <c r="F120" s="98">
        <f t="shared" si="17"/>
        <v>-0.45161290322580644</v>
      </c>
    </row>
    <row r="121" spans="1:6" ht="18" customHeight="1">
      <c r="A121" s="99">
        <v>9</v>
      </c>
      <c r="B121" s="100" t="s">
        <v>235</v>
      </c>
      <c r="C121" s="117">
        <v>283</v>
      </c>
      <c r="D121" s="117">
        <v>189</v>
      </c>
      <c r="E121" s="117">
        <f t="shared" si="16"/>
        <v>-94</v>
      </c>
      <c r="F121" s="98">
        <f t="shared" si="17"/>
        <v>-0.3321554770318021</v>
      </c>
    </row>
    <row r="122" spans="1:6" ht="18" customHeight="1">
      <c r="A122" s="99">
        <v>10</v>
      </c>
      <c r="B122" s="100" t="s">
        <v>236</v>
      </c>
      <c r="C122" s="117">
        <v>178</v>
      </c>
      <c r="D122" s="117">
        <v>56</v>
      </c>
      <c r="E122" s="117">
        <f t="shared" si="16"/>
        <v>-122</v>
      </c>
      <c r="F122" s="98">
        <f t="shared" si="17"/>
        <v>-0.6853932584269663</v>
      </c>
    </row>
    <row r="123" spans="1:6" ht="18" customHeight="1">
      <c r="A123" s="99">
        <v>11</v>
      </c>
      <c r="B123" s="100" t="s">
        <v>237</v>
      </c>
      <c r="C123" s="117">
        <v>5</v>
      </c>
      <c r="D123" s="117">
        <v>19</v>
      </c>
      <c r="E123" s="117">
        <f t="shared" si="16"/>
        <v>14</v>
      </c>
      <c r="F123" s="98">
        <f t="shared" si="17"/>
        <v>2.8</v>
      </c>
    </row>
    <row r="124" spans="1:6" ht="18" customHeight="1">
      <c r="A124" s="101"/>
      <c r="B124" s="102" t="s">
        <v>255</v>
      </c>
      <c r="C124" s="118">
        <f>SUM(C113:C123)</f>
        <v>11785</v>
      </c>
      <c r="D124" s="118">
        <f>SUM(D113:D123)</f>
        <v>9874</v>
      </c>
      <c r="E124" s="118">
        <f t="shared" si="16"/>
        <v>-1911</v>
      </c>
      <c r="F124" s="104">
        <f t="shared" si="17"/>
        <v>-0.1621552821383114</v>
      </c>
    </row>
    <row r="125" spans="1:6" ht="18" customHeight="1">
      <c r="A125" s="94" t="s">
        <v>256</v>
      </c>
      <c r="B125" s="95" t="s">
        <v>257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227</v>
      </c>
      <c r="C126" s="117">
        <v>33658</v>
      </c>
      <c r="D126" s="117">
        <v>34475</v>
      </c>
      <c r="E126" s="117">
        <f aca="true" t="shared" si="18" ref="E126:E137">D126-C126</f>
        <v>817</v>
      </c>
      <c r="F126" s="98">
        <f aca="true" t="shared" si="19" ref="F126:F137">IF(C126=0,0,E126/C126)</f>
        <v>0.024273575375839324</v>
      </c>
    </row>
    <row r="127" spans="1:6" ht="18" customHeight="1">
      <c r="A127" s="99">
        <v>2</v>
      </c>
      <c r="B127" s="100" t="s">
        <v>228</v>
      </c>
      <c r="C127" s="117">
        <v>1902</v>
      </c>
      <c r="D127" s="117">
        <v>2563</v>
      </c>
      <c r="E127" s="117">
        <f t="shared" si="18"/>
        <v>661</v>
      </c>
      <c r="F127" s="98">
        <f t="shared" si="19"/>
        <v>0.34752891692954785</v>
      </c>
    </row>
    <row r="128" spans="1:6" ht="18" customHeight="1">
      <c r="A128" s="99">
        <v>3</v>
      </c>
      <c r="B128" s="100" t="s">
        <v>229</v>
      </c>
      <c r="C128" s="117">
        <v>2932</v>
      </c>
      <c r="D128" s="117">
        <v>3641</v>
      </c>
      <c r="E128" s="117">
        <f t="shared" si="18"/>
        <v>709</v>
      </c>
      <c r="F128" s="98">
        <f t="shared" si="19"/>
        <v>0.24181446111869032</v>
      </c>
    </row>
    <row r="129" spans="1:6" ht="18" customHeight="1">
      <c r="A129" s="99">
        <v>4</v>
      </c>
      <c r="B129" s="100" t="s">
        <v>230</v>
      </c>
      <c r="C129" s="117">
        <v>3397</v>
      </c>
      <c r="D129" s="117">
        <v>3784</v>
      </c>
      <c r="E129" s="117">
        <f t="shared" si="18"/>
        <v>387</v>
      </c>
      <c r="F129" s="98">
        <f t="shared" si="19"/>
        <v>0.11392405063291139</v>
      </c>
    </row>
    <row r="130" spans="1:6" ht="18" customHeight="1">
      <c r="A130" s="99">
        <v>5</v>
      </c>
      <c r="B130" s="100" t="s">
        <v>231</v>
      </c>
      <c r="C130" s="117">
        <v>252</v>
      </c>
      <c r="D130" s="117">
        <v>259</v>
      </c>
      <c r="E130" s="117">
        <f t="shared" si="18"/>
        <v>7</v>
      </c>
      <c r="F130" s="98">
        <f t="shared" si="19"/>
        <v>0.027777777777777776</v>
      </c>
    </row>
    <row r="131" spans="1:6" ht="18" customHeight="1">
      <c r="A131" s="99">
        <v>6</v>
      </c>
      <c r="B131" s="100" t="s">
        <v>232</v>
      </c>
      <c r="C131" s="117">
        <v>4125</v>
      </c>
      <c r="D131" s="117">
        <v>5457</v>
      </c>
      <c r="E131" s="117">
        <f t="shared" si="18"/>
        <v>1332</v>
      </c>
      <c r="F131" s="98">
        <f t="shared" si="19"/>
        <v>0.3229090909090909</v>
      </c>
    </row>
    <row r="132" spans="1:6" ht="18" customHeight="1">
      <c r="A132" s="99">
        <v>7</v>
      </c>
      <c r="B132" s="100" t="s">
        <v>233</v>
      </c>
      <c r="C132" s="117">
        <v>49952</v>
      </c>
      <c r="D132" s="117">
        <v>51409</v>
      </c>
      <c r="E132" s="117">
        <f t="shared" si="18"/>
        <v>1457</v>
      </c>
      <c r="F132" s="98">
        <f t="shared" si="19"/>
        <v>0.02916800128122998</v>
      </c>
    </row>
    <row r="133" spans="1:6" ht="18" customHeight="1">
      <c r="A133" s="99">
        <v>8</v>
      </c>
      <c r="B133" s="100" t="s">
        <v>234</v>
      </c>
      <c r="C133" s="117">
        <v>1012</v>
      </c>
      <c r="D133" s="117">
        <v>855</v>
      </c>
      <c r="E133" s="117">
        <f t="shared" si="18"/>
        <v>-157</v>
      </c>
      <c r="F133" s="98">
        <f t="shared" si="19"/>
        <v>-0.1551383399209486</v>
      </c>
    </row>
    <row r="134" spans="1:6" ht="18" customHeight="1">
      <c r="A134" s="99">
        <v>9</v>
      </c>
      <c r="B134" s="100" t="s">
        <v>235</v>
      </c>
      <c r="C134" s="117">
        <v>5861</v>
      </c>
      <c r="D134" s="117">
        <v>5963</v>
      </c>
      <c r="E134" s="117">
        <f t="shared" si="18"/>
        <v>102</v>
      </c>
      <c r="F134" s="98">
        <f t="shared" si="19"/>
        <v>0.017403173519877153</v>
      </c>
    </row>
    <row r="135" spans="1:6" ht="18" customHeight="1">
      <c r="A135" s="99">
        <v>10</v>
      </c>
      <c r="B135" s="100" t="s">
        <v>236</v>
      </c>
      <c r="C135" s="117">
        <v>950</v>
      </c>
      <c r="D135" s="117">
        <v>1212</v>
      </c>
      <c r="E135" s="117">
        <f t="shared" si="18"/>
        <v>262</v>
      </c>
      <c r="F135" s="98">
        <f t="shared" si="19"/>
        <v>0.27578947368421053</v>
      </c>
    </row>
    <row r="136" spans="1:6" ht="18" customHeight="1">
      <c r="A136" s="99">
        <v>11</v>
      </c>
      <c r="B136" s="100" t="s">
        <v>237</v>
      </c>
      <c r="C136" s="117">
        <v>275</v>
      </c>
      <c r="D136" s="117">
        <v>212</v>
      </c>
      <c r="E136" s="117">
        <f t="shared" si="18"/>
        <v>-63</v>
      </c>
      <c r="F136" s="98">
        <f t="shared" si="19"/>
        <v>-0.2290909090909091</v>
      </c>
    </row>
    <row r="137" spans="1:6" ht="18" customHeight="1">
      <c r="A137" s="101"/>
      <c r="B137" s="102" t="s">
        <v>258</v>
      </c>
      <c r="C137" s="118">
        <f>SUM(C126:C136)</f>
        <v>104316</v>
      </c>
      <c r="D137" s="118">
        <f>SUM(D126:D136)</f>
        <v>109830</v>
      </c>
      <c r="E137" s="118">
        <f t="shared" si="18"/>
        <v>5514</v>
      </c>
      <c r="F137" s="104">
        <f t="shared" si="19"/>
        <v>0.0528586218796733</v>
      </c>
    </row>
    <row r="138" spans="1:6" ht="18" customHeight="1">
      <c r="A138" s="665" t="s">
        <v>259</v>
      </c>
      <c r="B138" s="667" t="s">
        <v>260</v>
      </c>
      <c r="C138" s="669"/>
      <c r="D138" s="670"/>
      <c r="E138" s="670"/>
      <c r="F138" s="671"/>
    </row>
    <row r="139" spans="1:6" ht="18" customHeight="1">
      <c r="A139" s="666"/>
      <c r="B139" s="668"/>
      <c r="C139" s="672"/>
      <c r="D139" s="673"/>
      <c r="E139" s="673"/>
      <c r="F139" s="674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225</v>
      </c>
      <c r="B141" s="95" t="s">
        <v>261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227</v>
      </c>
      <c r="C142" s="97">
        <v>3296083</v>
      </c>
      <c r="D142" s="97">
        <v>3676806</v>
      </c>
      <c r="E142" s="97">
        <f aca="true" t="shared" si="20" ref="E142:E153">D142-C142</f>
        <v>380723</v>
      </c>
      <c r="F142" s="98">
        <f aca="true" t="shared" si="21" ref="F142:F153">IF(C142=0,0,E142/C142)</f>
        <v>0.11550771021239453</v>
      </c>
    </row>
    <row r="143" spans="1:6" ht="18" customHeight="1">
      <c r="A143" s="99">
        <v>2</v>
      </c>
      <c r="B143" s="100" t="s">
        <v>228</v>
      </c>
      <c r="C143" s="97">
        <v>127595</v>
      </c>
      <c r="D143" s="97">
        <v>180079</v>
      </c>
      <c r="E143" s="97">
        <f t="shared" si="20"/>
        <v>52484</v>
      </c>
      <c r="F143" s="98">
        <f t="shared" si="21"/>
        <v>0.411332732473843</v>
      </c>
    </row>
    <row r="144" spans="1:6" ht="18" customHeight="1">
      <c r="A144" s="99">
        <v>3</v>
      </c>
      <c r="B144" s="100" t="s">
        <v>229</v>
      </c>
      <c r="C144" s="97">
        <v>370527</v>
      </c>
      <c r="D144" s="97">
        <v>436206</v>
      </c>
      <c r="E144" s="97">
        <f t="shared" si="20"/>
        <v>65679</v>
      </c>
      <c r="F144" s="98">
        <f t="shared" si="21"/>
        <v>0.17725833744909278</v>
      </c>
    </row>
    <row r="145" spans="1:6" ht="18" customHeight="1">
      <c r="A145" s="99">
        <v>4</v>
      </c>
      <c r="B145" s="100" t="s">
        <v>230</v>
      </c>
      <c r="C145" s="97">
        <v>813341</v>
      </c>
      <c r="D145" s="97">
        <v>1105212</v>
      </c>
      <c r="E145" s="97">
        <f t="shared" si="20"/>
        <v>291871</v>
      </c>
      <c r="F145" s="98">
        <f t="shared" si="21"/>
        <v>0.3588544042412715</v>
      </c>
    </row>
    <row r="146" spans="1:6" ht="18" customHeight="1">
      <c r="A146" s="99">
        <v>5</v>
      </c>
      <c r="B146" s="100" t="s">
        <v>231</v>
      </c>
      <c r="C146" s="97">
        <v>52628</v>
      </c>
      <c r="D146" s="97">
        <v>31608</v>
      </c>
      <c r="E146" s="97">
        <f t="shared" si="20"/>
        <v>-21020</v>
      </c>
      <c r="F146" s="98">
        <f t="shared" si="21"/>
        <v>-0.3994071596868587</v>
      </c>
    </row>
    <row r="147" spans="1:6" ht="18" customHeight="1">
      <c r="A147" s="99">
        <v>6</v>
      </c>
      <c r="B147" s="100" t="s">
        <v>232</v>
      </c>
      <c r="C147" s="97">
        <v>932973</v>
      </c>
      <c r="D147" s="97">
        <v>1092159</v>
      </c>
      <c r="E147" s="97">
        <f t="shared" si="20"/>
        <v>159186</v>
      </c>
      <c r="F147" s="98">
        <f t="shared" si="21"/>
        <v>0.170622300966909</v>
      </c>
    </row>
    <row r="148" spans="1:6" ht="18" customHeight="1">
      <c r="A148" s="99">
        <v>7</v>
      </c>
      <c r="B148" s="100" t="s">
        <v>233</v>
      </c>
      <c r="C148" s="97">
        <v>8007295</v>
      </c>
      <c r="D148" s="97">
        <v>8468583</v>
      </c>
      <c r="E148" s="97">
        <f t="shared" si="20"/>
        <v>461288</v>
      </c>
      <c r="F148" s="98">
        <f t="shared" si="21"/>
        <v>0.05760846827798901</v>
      </c>
    </row>
    <row r="149" spans="1:6" ht="18" customHeight="1">
      <c r="A149" s="99">
        <v>8</v>
      </c>
      <c r="B149" s="100" t="s">
        <v>234</v>
      </c>
      <c r="C149" s="97">
        <v>398711</v>
      </c>
      <c r="D149" s="97">
        <v>405907</v>
      </c>
      <c r="E149" s="97">
        <f t="shared" si="20"/>
        <v>7196</v>
      </c>
      <c r="F149" s="98">
        <f t="shared" si="21"/>
        <v>0.018048160196232357</v>
      </c>
    </row>
    <row r="150" spans="1:6" ht="18" customHeight="1">
      <c r="A150" s="99">
        <v>9</v>
      </c>
      <c r="B150" s="100" t="s">
        <v>235</v>
      </c>
      <c r="C150" s="97">
        <v>1162251</v>
      </c>
      <c r="D150" s="97">
        <v>1262006</v>
      </c>
      <c r="E150" s="97">
        <f t="shared" si="20"/>
        <v>99755</v>
      </c>
      <c r="F150" s="98">
        <f t="shared" si="21"/>
        <v>0.08582913673552442</v>
      </c>
    </row>
    <row r="151" spans="1:6" ht="18" customHeight="1">
      <c r="A151" s="99">
        <v>10</v>
      </c>
      <c r="B151" s="100" t="s">
        <v>236</v>
      </c>
      <c r="C151" s="97">
        <v>260037</v>
      </c>
      <c r="D151" s="97">
        <v>390794</v>
      </c>
      <c r="E151" s="97">
        <f t="shared" si="20"/>
        <v>130757</v>
      </c>
      <c r="F151" s="98">
        <f t="shared" si="21"/>
        <v>0.5028399804643185</v>
      </c>
    </row>
    <row r="152" spans="1:6" ht="18" customHeight="1">
      <c r="A152" s="99">
        <v>11</v>
      </c>
      <c r="B152" s="100" t="s">
        <v>237</v>
      </c>
      <c r="C152" s="97">
        <v>36845</v>
      </c>
      <c r="D152" s="97">
        <v>99541</v>
      </c>
      <c r="E152" s="97">
        <f t="shared" si="20"/>
        <v>62696</v>
      </c>
      <c r="F152" s="98">
        <f t="shared" si="21"/>
        <v>1.7016148731171121</v>
      </c>
    </row>
    <row r="153" spans="1:6" ht="33.75" customHeight="1">
      <c r="A153" s="101"/>
      <c r="B153" s="102" t="s">
        <v>262</v>
      </c>
      <c r="C153" s="103">
        <f>SUM(C142:C152)</f>
        <v>15458286</v>
      </c>
      <c r="D153" s="103">
        <f>SUM(D142:D152)</f>
        <v>17148901</v>
      </c>
      <c r="E153" s="103">
        <f t="shared" si="20"/>
        <v>1690615</v>
      </c>
      <c r="F153" s="104">
        <f t="shared" si="21"/>
        <v>0.1093662647980507</v>
      </c>
    </row>
    <row r="154" spans="1:6" ht="18" customHeight="1">
      <c r="A154" s="94" t="s">
        <v>239</v>
      </c>
      <c r="B154" s="95" t="s">
        <v>263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227</v>
      </c>
      <c r="C155" s="97">
        <v>1111439</v>
      </c>
      <c r="D155" s="97">
        <v>1106231</v>
      </c>
      <c r="E155" s="97">
        <f aca="true" t="shared" si="22" ref="E155:E166">D155-C155</f>
        <v>-5208</v>
      </c>
      <c r="F155" s="98">
        <f aca="true" t="shared" si="23" ref="F155:F166">IF(C155=0,0,E155/C155)</f>
        <v>-0.004685817215339753</v>
      </c>
    </row>
    <row r="156" spans="1:6" ht="18" customHeight="1">
      <c r="A156" s="99">
        <v>2</v>
      </c>
      <c r="B156" s="100" t="s">
        <v>228</v>
      </c>
      <c r="C156" s="97">
        <v>39874</v>
      </c>
      <c r="D156" s="97">
        <v>61805</v>
      </c>
      <c r="E156" s="97">
        <f t="shared" si="22"/>
        <v>21931</v>
      </c>
      <c r="F156" s="98">
        <f t="shared" si="23"/>
        <v>0.5500075236996539</v>
      </c>
    </row>
    <row r="157" spans="1:6" ht="18" customHeight="1">
      <c r="A157" s="99">
        <v>3</v>
      </c>
      <c r="B157" s="100" t="s">
        <v>229</v>
      </c>
      <c r="C157" s="97">
        <v>105667</v>
      </c>
      <c r="D157" s="97">
        <v>131212</v>
      </c>
      <c r="E157" s="97">
        <f t="shared" si="22"/>
        <v>25545</v>
      </c>
      <c r="F157" s="98">
        <f t="shared" si="23"/>
        <v>0.2417500260251545</v>
      </c>
    </row>
    <row r="158" spans="1:6" ht="18" customHeight="1">
      <c r="A158" s="99">
        <v>4</v>
      </c>
      <c r="B158" s="100" t="s">
        <v>230</v>
      </c>
      <c r="C158" s="97">
        <v>325520</v>
      </c>
      <c r="D158" s="97">
        <v>447347</v>
      </c>
      <c r="E158" s="97">
        <f t="shared" si="22"/>
        <v>121827</v>
      </c>
      <c r="F158" s="98">
        <f t="shared" si="23"/>
        <v>0.37425350208896535</v>
      </c>
    </row>
    <row r="159" spans="1:6" ht="18" customHeight="1">
      <c r="A159" s="99">
        <v>5</v>
      </c>
      <c r="B159" s="100" t="s">
        <v>231</v>
      </c>
      <c r="C159" s="97">
        <v>21594</v>
      </c>
      <c r="D159" s="97">
        <v>12027</v>
      </c>
      <c r="E159" s="97">
        <f t="shared" si="22"/>
        <v>-9567</v>
      </c>
      <c r="F159" s="98">
        <f t="shared" si="23"/>
        <v>-0.4430397332592387</v>
      </c>
    </row>
    <row r="160" spans="1:6" ht="18" customHeight="1">
      <c r="A160" s="99">
        <v>6</v>
      </c>
      <c r="B160" s="100" t="s">
        <v>232</v>
      </c>
      <c r="C160" s="97">
        <v>552748</v>
      </c>
      <c r="D160" s="97">
        <v>624278</v>
      </c>
      <c r="E160" s="97">
        <f t="shared" si="22"/>
        <v>71530</v>
      </c>
      <c r="F160" s="98">
        <f t="shared" si="23"/>
        <v>0.12940797614826285</v>
      </c>
    </row>
    <row r="161" spans="1:6" ht="18" customHeight="1">
      <c r="A161" s="99">
        <v>7</v>
      </c>
      <c r="B161" s="100" t="s">
        <v>233</v>
      </c>
      <c r="C161" s="97">
        <v>4547477</v>
      </c>
      <c r="D161" s="97">
        <v>4577332</v>
      </c>
      <c r="E161" s="97">
        <f t="shared" si="22"/>
        <v>29855</v>
      </c>
      <c r="F161" s="98">
        <f t="shared" si="23"/>
        <v>0.006565178889304993</v>
      </c>
    </row>
    <row r="162" spans="1:6" ht="18" customHeight="1">
      <c r="A162" s="99">
        <v>8</v>
      </c>
      <c r="B162" s="100" t="s">
        <v>234</v>
      </c>
      <c r="C162" s="97">
        <v>291142</v>
      </c>
      <c r="D162" s="97">
        <v>275729</v>
      </c>
      <c r="E162" s="97">
        <f t="shared" si="22"/>
        <v>-15413</v>
      </c>
      <c r="F162" s="98">
        <f t="shared" si="23"/>
        <v>-0.05293980257056694</v>
      </c>
    </row>
    <row r="163" spans="1:6" ht="18" customHeight="1">
      <c r="A163" s="99">
        <v>9</v>
      </c>
      <c r="B163" s="100" t="s">
        <v>235</v>
      </c>
      <c r="C163" s="97">
        <v>113880</v>
      </c>
      <c r="D163" s="97">
        <v>93035</v>
      </c>
      <c r="E163" s="97">
        <f t="shared" si="22"/>
        <v>-20845</v>
      </c>
      <c r="F163" s="98">
        <f t="shared" si="23"/>
        <v>-0.1830435546188971</v>
      </c>
    </row>
    <row r="164" spans="1:6" ht="18" customHeight="1">
      <c r="A164" s="99">
        <v>10</v>
      </c>
      <c r="B164" s="100" t="s">
        <v>236</v>
      </c>
      <c r="C164" s="97">
        <v>51925</v>
      </c>
      <c r="D164" s="97">
        <v>56736</v>
      </c>
      <c r="E164" s="97">
        <f t="shared" si="22"/>
        <v>4811</v>
      </c>
      <c r="F164" s="98">
        <f t="shared" si="23"/>
        <v>0.09265286470871449</v>
      </c>
    </row>
    <row r="165" spans="1:6" ht="18" customHeight="1">
      <c r="A165" s="99">
        <v>11</v>
      </c>
      <c r="B165" s="100" t="s">
        <v>237</v>
      </c>
      <c r="C165" s="97">
        <v>2586</v>
      </c>
      <c r="D165" s="97">
        <v>12136</v>
      </c>
      <c r="E165" s="97">
        <f t="shared" si="22"/>
        <v>9550</v>
      </c>
      <c r="F165" s="98">
        <f t="shared" si="23"/>
        <v>3.6929621036349576</v>
      </c>
    </row>
    <row r="166" spans="1:6" ht="33.75" customHeight="1">
      <c r="A166" s="101"/>
      <c r="B166" s="102" t="s">
        <v>264</v>
      </c>
      <c r="C166" s="103">
        <f>SUM(C155:C165)</f>
        <v>7163852</v>
      </c>
      <c r="D166" s="103">
        <f>SUM(D155:D165)</f>
        <v>7397868</v>
      </c>
      <c r="E166" s="103">
        <f t="shared" si="22"/>
        <v>234016</v>
      </c>
      <c r="F166" s="104">
        <f t="shared" si="23"/>
        <v>0.03266622481871485</v>
      </c>
    </row>
    <row r="167" spans="1:6" ht="18" customHeight="1">
      <c r="A167" s="94" t="s">
        <v>256</v>
      </c>
      <c r="B167" s="95" t="s">
        <v>265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227</v>
      </c>
      <c r="C168" s="117">
        <v>3113</v>
      </c>
      <c r="D168" s="117">
        <v>2865</v>
      </c>
      <c r="E168" s="117">
        <f aca="true" t="shared" si="24" ref="E168:E179">D168-C168</f>
        <v>-248</v>
      </c>
      <c r="F168" s="98">
        <f aca="true" t="shared" si="25" ref="F168:F179">IF(C168=0,0,E168/C168)</f>
        <v>-0.0796659171217475</v>
      </c>
    </row>
    <row r="169" spans="1:6" ht="18" customHeight="1">
      <c r="A169" s="99">
        <v>2</v>
      </c>
      <c r="B169" s="100" t="s">
        <v>228</v>
      </c>
      <c r="C169" s="117">
        <v>96</v>
      </c>
      <c r="D169" s="117">
        <v>132</v>
      </c>
      <c r="E169" s="117">
        <f t="shared" si="24"/>
        <v>36</v>
      </c>
      <c r="F169" s="98">
        <f t="shared" si="25"/>
        <v>0.375</v>
      </c>
    </row>
    <row r="170" spans="1:6" ht="18" customHeight="1">
      <c r="A170" s="99">
        <v>3</v>
      </c>
      <c r="B170" s="100" t="s">
        <v>229</v>
      </c>
      <c r="C170" s="117">
        <v>434</v>
      </c>
      <c r="D170" s="117">
        <v>474</v>
      </c>
      <c r="E170" s="117">
        <f t="shared" si="24"/>
        <v>40</v>
      </c>
      <c r="F170" s="98">
        <f t="shared" si="25"/>
        <v>0.09216589861751152</v>
      </c>
    </row>
    <row r="171" spans="1:6" ht="18" customHeight="1">
      <c r="A171" s="99">
        <v>4</v>
      </c>
      <c r="B171" s="100" t="s">
        <v>230</v>
      </c>
      <c r="C171" s="117">
        <v>1300</v>
      </c>
      <c r="D171" s="117">
        <v>1516</v>
      </c>
      <c r="E171" s="117">
        <f t="shared" si="24"/>
        <v>216</v>
      </c>
      <c r="F171" s="98">
        <f t="shared" si="25"/>
        <v>0.16615384615384615</v>
      </c>
    </row>
    <row r="172" spans="1:6" ht="18" customHeight="1">
      <c r="A172" s="99">
        <v>5</v>
      </c>
      <c r="B172" s="100" t="s">
        <v>231</v>
      </c>
      <c r="C172" s="117">
        <v>69</v>
      </c>
      <c r="D172" s="117">
        <v>49</v>
      </c>
      <c r="E172" s="117">
        <f t="shared" si="24"/>
        <v>-20</v>
      </c>
      <c r="F172" s="98">
        <f t="shared" si="25"/>
        <v>-0.2898550724637681</v>
      </c>
    </row>
    <row r="173" spans="1:6" ht="18" customHeight="1">
      <c r="A173" s="99">
        <v>6</v>
      </c>
      <c r="B173" s="100" t="s">
        <v>232</v>
      </c>
      <c r="C173" s="117">
        <v>1011</v>
      </c>
      <c r="D173" s="117">
        <v>1016</v>
      </c>
      <c r="E173" s="117">
        <f t="shared" si="24"/>
        <v>5</v>
      </c>
      <c r="F173" s="98">
        <f t="shared" si="25"/>
        <v>0.004945598417408506</v>
      </c>
    </row>
    <row r="174" spans="1:6" ht="18" customHeight="1">
      <c r="A174" s="99">
        <v>7</v>
      </c>
      <c r="B174" s="100" t="s">
        <v>233</v>
      </c>
      <c r="C174" s="117">
        <v>9052</v>
      </c>
      <c r="D174" s="117">
        <v>8546</v>
      </c>
      <c r="E174" s="117">
        <f t="shared" si="24"/>
        <v>-506</v>
      </c>
      <c r="F174" s="98">
        <f t="shared" si="25"/>
        <v>-0.05589924878479894</v>
      </c>
    </row>
    <row r="175" spans="1:6" ht="18" customHeight="1">
      <c r="A175" s="99">
        <v>8</v>
      </c>
      <c r="B175" s="100" t="s">
        <v>234</v>
      </c>
      <c r="C175" s="117">
        <v>659</v>
      </c>
      <c r="D175" s="117">
        <v>527</v>
      </c>
      <c r="E175" s="117">
        <f t="shared" si="24"/>
        <v>-132</v>
      </c>
      <c r="F175" s="98">
        <f t="shared" si="25"/>
        <v>-0.20030349013657056</v>
      </c>
    </row>
    <row r="176" spans="1:6" ht="18" customHeight="1">
      <c r="A176" s="99">
        <v>9</v>
      </c>
      <c r="B176" s="100" t="s">
        <v>235</v>
      </c>
      <c r="C176" s="117">
        <v>1623</v>
      </c>
      <c r="D176" s="117">
        <v>1496</v>
      </c>
      <c r="E176" s="117">
        <f t="shared" si="24"/>
        <v>-127</v>
      </c>
      <c r="F176" s="98">
        <f t="shared" si="25"/>
        <v>-0.07825015403573629</v>
      </c>
    </row>
    <row r="177" spans="1:6" ht="18" customHeight="1">
      <c r="A177" s="99">
        <v>10</v>
      </c>
      <c r="B177" s="100" t="s">
        <v>236</v>
      </c>
      <c r="C177" s="117">
        <v>336</v>
      </c>
      <c r="D177" s="117">
        <v>439</v>
      </c>
      <c r="E177" s="117">
        <f t="shared" si="24"/>
        <v>103</v>
      </c>
      <c r="F177" s="98">
        <f t="shared" si="25"/>
        <v>0.30654761904761907</v>
      </c>
    </row>
    <row r="178" spans="1:6" ht="18" customHeight="1">
      <c r="A178" s="99">
        <v>11</v>
      </c>
      <c r="B178" s="100" t="s">
        <v>237</v>
      </c>
      <c r="C178" s="117">
        <v>66</v>
      </c>
      <c r="D178" s="117">
        <v>129</v>
      </c>
      <c r="E178" s="117">
        <f t="shared" si="24"/>
        <v>63</v>
      </c>
      <c r="F178" s="98">
        <f t="shared" si="25"/>
        <v>0.9545454545454546</v>
      </c>
    </row>
    <row r="179" spans="1:6" ht="33.75" customHeight="1">
      <c r="A179" s="101"/>
      <c r="B179" s="102" t="s">
        <v>266</v>
      </c>
      <c r="C179" s="118">
        <f>SUM(C168:C178)</f>
        <v>17759</v>
      </c>
      <c r="D179" s="118">
        <f>SUM(D168:D178)</f>
        <v>17189</v>
      </c>
      <c r="E179" s="118">
        <f t="shared" si="24"/>
        <v>-570</v>
      </c>
      <c r="F179" s="104">
        <f t="shared" si="25"/>
        <v>-0.03209640182442705</v>
      </c>
    </row>
  </sheetData>
  <sheetProtection/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fitToHeight="2" horizontalDpi="1200" verticalDpi="1200" orientation="portrait" paperSize="9" scale="65" r:id="rId1"/>
  <headerFooter alignWithMargins="0">
    <oddHeader>&amp;LOFFICE OF HEALTH CARE ACCESS&amp;CTWELVE MONTHS ACTUAL FILING&amp;RNEW MILFORD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40">
      <selection activeCell="F18" sqref="F18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115</v>
      </c>
      <c r="E2" s="123"/>
      <c r="F2" s="123"/>
      <c r="G2" s="124"/>
    </row>
    <row r="3" spans="1:7" ht="15.75" customHeight="1">
      <c r="A3" s="121"/>
      <c r="C3" s="123" t="s">
        <v>116</v>
      </c>
      <c r="E3" s="123"/>
      <c r="F3" s="123"/>
      <c r="G3" s="124"/>
    </row>
    <row r="4" spans="1:7" ht="15.75" customHeight="1">
      <c r="A4" s="121"/>
      <c r="C4" s="123" t="s">
        <v>117</v>
      </c>
      <c r="E4" s="123"/>
      <c r="F4" s="123"/>
      <c r="G4" s="124"/>
    </row>
    <row r="5" spans="1:7" ht="15.75" customHeight="1">
      <c r="A5" s="121"/>
      <c r="C5" s="123" t="s">
        <v>267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119</v>
      </c>
      <c r="D9" s="127" t="s">
        <v>120</v>
      </c>
      <c r="E9" s="129" t="s">
        <v>121</v>
      </c>
      <c r="F9" s="130" t="s">
        <v>268</v>
      </c>
      <c r="G9" s="124"/>
    </row>
    <row r="10" spans="1:7" ht="15.75" customHeight="1">
      <c r="A10" s="131" t="s">
        <v>269</v>
      </c>
      <c r="B10" s="132" t="s">
        <v>124</v>
      </c>
      <c r="C10" s="133" t="s">
        <v>125</v>
      </c>
      <c r="D10" s="133" t="s">
        <v>125</v>
      </c>
      <c r="E10" s="134" t="s">
        <v>126</v>
      </c>
      <c r="F10" s="133" t="s">
        <v>126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127</v>
      </c>
      <c r="B12" s="139" t="s">
        <v>270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225</v>
      </c>
      <c r="B14" s="145" t="s">
        <v>271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272</v>
      </c>
      <c r="C15" s="146">
        <v>13452782</v>
      </c>
      <c r="D15" s="146">
        <v>13297685</v>
      </c>
      <c r="E15" s="146">
        <f>+D15-C15</f>
        <v>-155097</v>
      </c>
      <c r="F15" s="150">
        <f>IF(C15=0,0,E15/C15)</f>
        <v>-0.011528990806511248</v>
      </c>
    </row>
    <row r="16" spans="1:6" ht="15" customHeight="1">
      <c r="A16" s="141">
        <v>2</v>
      </c>
      <c r="B16" s="149" t="s">
        <v>273</v>
      </c>
      <c r="C16" s="146">
        <v>4926356</v>
      </c>
      <c r="D16" s="146">
        <v>5922680</v>
      </c>
      <c r="E16" s="146">
        <f>+D16-C16</f>
        <v>996324</v>
      </c>
      <c r="F16" s="150">
        <f>IF(C16=0,0,E16/C16)</f>
        <v>0.20224360561843277</v>
      </c>
    </row>
    <row r="17" spans="1:6" ht="15" customHeight="1">
      <c r="A17" s="141">
        <v>3</v>
      </c>
      <c r="B17" s="149" t="s">
        <v>274</v>
      </c>
      <c r="C17" s="146">
        <v>19645289</v>
      </c>
      <c r="D17" s="146">
        <v>20701766</v>
      </c>
      <c r="E17" s="146">
        <f>+D17-C17</f>
        <v>1056477</v>
      </c>
      <c r="F17" s="150">
        <f>IF(C17=0,0,E17/C17)</f>
        <v>0.05377762577073822</v>
      </c>
    </row>
    <row r="18" spans="1:7" ht="15.75" customHeight="1">
      <c r="A18" s="141"/>
      <c r="B18" s="151" t="s">
        <v>275</v>
      </c>
      <c r="C18" s="147">
        <f>SUM(C15:C17)</f>
        <v>38024427</v>
      </c>
      <c r="D18" s="147">
        <f>SUM(D15:D17)</f>
        <v>39922131</v>
      </c>
      <c r="E18" s="147">
        <f>+D18-C18</f>
        <v>1897704</v>
      </c>
      <c r="F18" s="148">
        <f>IF(C18=0,0,E18/C18)</f>
        <v>0.049907497619885235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239</v>
      </c>
      <c r="B20" s="145" t="s">
        <v>276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277</v>
      </c>
      <c r="C21" s="146">
        <v>4141553</v>
      </c>
      <c r="D21" s="146">
        <v>4423223</v>
      </c>
      <c r="E21" s="146">
        <f>+D21-C21</f>
        <v>281670</v>
      </c>
      <c r="F21" s="150">
        <f>IF(C21=0,0,E21/C21)</f>
        <v>0.06801071965033406</v>
      </c>
    </row>
    <row r="22" spans="1:6" ht="15" customHeight="1">
      <c r="A22" s="141">
        <v>2</v>
      </c>
      <c r="B22" s="149" t="s">
        <v>278</v>
      </c>
      <c r="C22" s="146">
        <v>1516620</v>
      </c>
      <c r="D22" s="146">
        <v>1970068</v>
      </c>
      <c r="E22" s="146">
        <f>+D22-C22</f>
        <v>453448</v>
      </c>
      <c r="F22" s="150">
        <f>IF(C22=0,0,E22/C22)</f>
        <v>0.29898590286294524</v>
      </c>
    </row>
    <row r="23" spans="1:6" ht="15" customHeight="1">
      <c r="A23" s="141">
        <v>3</v>
      </c>
      <c r="B23" s="149" t="s">
        <v>279</v>
      </c>
      <c r="C23" s="146">
        <v>6047969</v>
      </c>
      <c r="D23" s="146">
        <v>6886051</v>
      </c>
      <c r="E23" s="146">
        <f>+D23-C23</f>
        <v>838082</v>
      </c>
      <c r="F23" s="150">
        <f>IF(C23=0,0,E23/C23)</f>
        <v>0.13857246953481409</v>
      </c>
    </row>
    <row r="24" spans="1:7" ht="15.75" customHeight="1">
      <c r="A24" s="141"/>
      <c r="B24" s="151" t="s">
        <v>280</v>
      </c>
      <c r="C24" s="147">
        <f>SUM(C21:C23)</f>
        <v>11706142</v>
      </c>
      <c r="D24" s="147">
        <f>SUM(D21:D23)</f>
        <v>13279342</v>
      </c>
      <c r="E24" s="147">
        <f>+D24-C24</f>
        <v>1573200</v>
      </c>
      <c r="F24" s="148">
        <f>IF(C24=0,0,E24/C24)</f>
        <v>0.13439098893555196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256</v>
      </c>
      <c r="B26" s="145" t="s">
        <v>281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282</v>
      </c>
      <c r="C27" s="146">
        <v>815567</v>
      </c>
      <c r="D27" s="146">
        <v>491499</v>
      </c>
      <c r="E27" s="146">
        <f>+D27-C27</f>
        <v>-324068</v>
      </c>
      <c r="F27" s="150">
        <f>IF(C27=0,0,E27/C27)</f>
        <v>-0.39735300717169775</v>
      </c>
    </row>
    <row r="28" spans="1:6" ht="15" customHeight="1">
      <c r="A28" s="141">
        <v>2</v>
      </c>
      <c r="B28" s="149" t="s">
        <v>283</v>
      </c>
      <c r="C28" s="146">
        <v>1670354</v>
      </c>
      <c r="D28" s="146">
        <v>1429887</v>
      </c>
      <c r="E28" s="146">
        <f>+D28-C28</f>
        <v>-240467</v>
      </c>
      <c r="F28" s="150">
        <f>IF(C28=0,0,E28/C28)</f>
        <v>-0.14396169913682968</v>
      </c>
    </row>
    <row r="29" spans="1:6" ht="15" customHeight="1">
      <c r="A29" s="141">
        <v>3</v>
      </c>
      <c r="B29" s="149" t="s">
        <v>284</v>
      </c>
      <c r="C29" s="146">
        <v>33507</v>
      </c>
      <c r="D29" s="146">
        <v>5226</v>
      </c>
      <c r="E29" s="146">
        <f>+D29-C29</f>
        <v>-28281</v>
      </c>
      <c r="F29" s="150">
        <f>IF(C29=0,0,E29/C29)</f>
        <v>-0.8440325902050317</v>
      </c>
    </row>
    <row r="30" spans="1:7" ht="15.75" customHeight="1">
      <c r="A30" s="141"/>
      <c r="B30" s="151" t="s">
        <v>285</v>
      </c>
      <c r="C30" s="147">
        <f>SUM(C27:C29)</f>
        <v>2519428</v>
      </c>
      <c r="D30" s="147">
        <f>SUM(D27:D29)</f>
        <v>1926612</v>
      </c>
      <c r="E30" s="147">
        <f>+D30-C30</f>
        <v>-592816</v>
      </c>
      <c r="F30" s="148">
        <f>IF(C30=0,0,E30/C30)</f>
        <v>-0.23529785332226202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286</v>
      </c>
      <c r="B32" s="145" t="s">
        <v>287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288</v>
      </c>
      <c r="C33" s="146">
        <v>13186387</v>
      </c>
      <c r="D33" s="146">
        <v>8262242</v>
      </c>
      <c r="E33" s="146">
        <f>+D33-C33</f>
        <v>-4924145</v>
      </c>
      <c r="F33" s="150">
        <f>IF(C33=0,0,E33/C33)</f>
        <v>-0.3734263979966613</v>
      </c>
    </row>
    <row r="34" spans="1:6" ht="15" customHeight="1">
      <c r="A34" s="141">
        <v>2</v>
      </c>
      <c r="B34" s="149" t="s">
        <v>289</v>
      </c>
      <c r="C34" s="146">
        <v>1064990</v>
      </c>
      <c r="D34" s="146">
        <v>5914269</v>
      </c>
      <c r="E34" s="146">
        <f>+D34-C34</f>
        <v>4849279</v>
      </c>
      <c r="F34" s="150">
        <f>IF(C34=0,0,E34/C34)</f>
        <v>4.553356369543376</v>
      </c>
    </row>
    <row r="35" spans="1:7" ht="15.75" customHeight="1">
      <c r="A35" s="141"/>
      <c r="B35" s="151" t="s">
        <v>290</v>
      </c>
      <c r="C35" s="147">
        <f>SUM(C33:C34)</f>
        <v>14251377</v>
      </c>
      <c r="D35" s="147">
        <f>SUM(D33:D34)</f>
        <v>14176511</v>
      </c>
      <c r="E35" s="147">
        <f>+D35-C35</f>
        <v>-74866</v>
      </c>
      <c r="F35" s="148">
        <f>IF(C35=0,0,E35/C35)</f>
        <v>-0.005253246756436238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291</v>
      </c>
      <c r="B37" s="145" t="s">
        <v>292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293</v>
      </c>
      <c r="C38" s="146">
        <v>2138963</v>
      </c>
      <c r="D38" s="146">
        <v>2128831</v>
      </c>
      <c r="E38" s="146">
        <f>+D38-C38</f>
        <v>-10132</v>
      </c>
      <c r="F38" s="150">
        <f>IF(C38=0,0,E38/C38)</f>
        <v>-0.004736874831401946</v>
      </c>
    </row>
    <row r="39" spans="1:6" ht="15" customHeight="1">
      <c r="A39" s="141">
        <v>2</v>
      </c>
      <c r="B39" s="149" t="s">
        <v>294</v>
      </c>
      <c r="C39" s="146">
        <v>2796971</v>
      </c>
      <c r="D39" s="146">
        <v>2809193</v>
      </c>
      <c r="E39" s="146">
        <f>+D39-C39</f>
        <v>12222</v>
      </c>
      <c r="F39" s="150">
        <f>IF(C39=0,0,E39/C39)</f>
        <v>0.004369727108361152</v>
      </c>
    </row>
    <row r="40" spans="1:6" ht="15" customHeight="1">
      <c r="A40" s="141">
        <v>3</v>
      </c>
      <c r="B40" s="149" t="s">
        <v>295</v>
      </c>
      <c r="C40" s="146">
        <v>8568</v>
      </c>
      <c r="D40" s="146">
        <v>8052</v>
      </c>
      <c r="E40" s="146">
        <f>+D40-C40</f>
        <v>-516</v>
      </c>
      <c r="F40" s="150">
        <f>IF(C40=0,0,E40/C40)</f>
        <v>-0.06022408963585434</v>
      </c>
    </row>
    <row r="41" spans="1:7" ht="15.75" customHeight="1">
      <c r="A41" s="141"/>
      <c r="B41" s="151" t="s">
        <v>296</v>
      </c>
      <c r="C41" s="147">
        <f>SUM(C38:C40)</f>
        <v>4944502</v>
      </c>
      <c r="D41" s="147">
        <f>SUM(D38:D40)</f>
        <v>4946076</v>
      </c>
      <c r="E41" s="147">
        <f>+D41-C41</f>
        <v>1574</v>
      </c>
      <c r="F41" s="148">
        <f>IF(C41=0,0,E41/C41)</f>
        <v>0.0003183333731081512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297</v>
      </c>
      <c r="B43" s="145" t="s">
        <v>298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200</v>
      </c>
      <c r="C44" s="146">
        <v>3730727</v>
      </c>
      <c r="D44" s="146">
        <v>3220173</v>
      </c>
      <c r="E44" s="146">
        <f>+D44-C44</f>
        <v>-510554</v>
      </c>
      <c r="F44" s="150">
        <f>IF(C44=0,0,E44/C44)</f>
        <v>-0.13685107487092998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299</v>
      </c>
      <c r="B46" s="145" t="s">
        <v>300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301</v>
      </c>
      <c r="C47" s="146">
        <v>730698</v>
      </c>
      <c r="D47" s="146">
        <v>675584</v>
      </c>
      <c r="E47" s="146">
        <f>+D47-C47</f>
        <v>-55114</v>
      </c>
      <c r="F47" s="150">
        <f>IF(C47=0,0,E47/C47)</f>
        <v>-0.07542650999455315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302</v>
      </c>
      <c r="B49" s="145" t="s">
        <v>303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304</v>
      </c>
      <c r="C50" s="146">
        <v>2235043</v>
      </c>
      <c r="D50" s="146">
        <v>2375725</v>
      </c>
      <c r="E50" s="146">
        <f>+D50-C50</f>
        <v>140682</v>
      </c>
      <c r="F50" s="150">
        <f>IF(C50=0,0,E50/C50)</f>
        <v>0.06294375544452613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305</v>
      </c>
      <c r="B52" s="145" t="s">
        <v>306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307</v>
      </c>
      <c r="C53" s="146">
        <v>140370</v>
      </c>
      <c r="D53" s="146">
        <v>136861</v>
      </c>
      <c r="E53" s="146">
        <f aca="true" t="shared" si="0" ref="E53:E59">+D53-C53</f>
        <v>-3509</v>
      </c>
      <c r="F53" s="150">
        <f aca="true" t="shared" si="1" ref="F53:F59">IF(C53=0,0,E53/C53)</f>
        <v>-0.02499821899266225</v>
      </c>
    </row>
    <row r="54" spans="1:6" ht="15" customHeight="1">
      <c r="A54" s="141">
        <v>2</v>
      </c>
      <c r="B54" s="149" t="s">
        <v>308</v>
      </c>
      <c r="C54" s="146">
        <v>317822</v>
      </c>
      <c r="D54" s="146">
        <v>297774</v>
      </c>
      <c r="E54" s="146">
        <f t="shared" si="0"/>
        <v>-20048</v>
      </c>
      <c r="F54" s="150">
        <f t="shared" si="1"/>
        <v>-0.06307933371509838</v>
      </c>
    </row>
    <row r="55" spans="1:6" ht="15" customHeight="1">
      <c r="A55" s="141">
        <v>3</v>
      </c>
      <c r="B55" s="149" t="s">
        <v>309</v>
      </c>
      <c r="C55" s="146">
        <v>45336</v>
      </c>
      <c r="D55" s="146">
        <v>71316</v>
      </c>
      <c r="E55" s="146">
        <f t="shared" si="0"/>
        <v>25980</v>
      </c>
      <c r="F55" s="150">
        <f t="shared" si="1"/>
        <v>0.5730545262043409</v>
      </c>
    </row>
    <row r="56" spans="1:6" ht="15" customHeight="1">
      <c r="A56" s="141">
        <v>4</v>
      </c>
      <c r="B56" s="149" t="s">
        <v>310</v>
      </c>
      <c r="C56" s="146">
        <v>1003814</v>
      </c>
      <c r="D56" s="146">
        <v>1004729</v>
      </c>
      <c r="E56" s="146">
        <f t="shared" si="0"/>
        <v>915</v>
      </c>
      <c r="F56" s="150">
        <f t="shared" si="1"/>
        <v>0.0009115234495633653</v>
      </c>
    </row>
    <row r="57" spans="1:6" ht="15" customHeight="1">
      <c r="A57" s="141">
        <v>5</v>
      </c>
      <c r="B57" s="149" t="s">
        <v>311</v>
      </c>
      <c r="C57" s="146">
        <v>230905</v>
      </c>
      <c r="D57" s="146">
        <v>248303</v>
      </c>
      <c r="E57" s="146">
        <f t="shared" si="0"/>
        <v>17398</v>
      </c>
      <c r="F57" s="150">
        <f t="shared" si="1"/>
        <v>0.0753470041792079</v>
      </c>
    </row>
    <row r="58" spans="1:6" ht="15" customHeight="1">
      <c r="A58" s="141">
        <v>6</v>
      </c>
      <c r="B58" s="149" t="s">
        <v>312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>
      <c r="A59" s="141"/>
      <c r="B59" s="151" t="s">
        <v>313</v>
      </c>
      <c r="C59" s="147">
        <f>SUM(C53:C58)</f>
        <v>1738247</v>
      </c>
      <c r="D59" s="147">
        <f>SUM(D53:D58)</f>
        <v>1758983</v>
      </c>
      <c r="E59" s="147">
        <f t="shared" si="0"/>
        <v>20736</v>
      </c>
      <c r="F59" s="148">
        <f t="shared" si="1"/>
        <v>0.011929259765729497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314</v>
      </c>
      <c r="B61" s="145" t="s">
        <v>315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316</v>
      </c>
      <c r="C62" s="146">
        <v>99557</v>
      </c>
      <c r="D62" s="146">
        <v>109466</v>
      </c>
      <c r="E62" s="146">
        <f aca="true" t="shared" si="2" ref="E62:E78">+D62-C62</f>
        <v>9909</v>
      </c>
      <c r="F62" s="150">
        <f aca="true" t="shared" si="3" ref="F62:F78">IF(C62=0,0,E62/C62)</f>
        <v>0.09953092198439085</v>
      </c>
    </row>
    <row r="63" spans="1:6" ht="15" customHeight="1">
      <c r="A63" s="141">
        <v>2</v>
      </c>
      <c r="B63" s="149" t="s">
        <v>317</v>
      </c>
      <c r="C63" s="146">
        <v>286347</v>
      </c>
      <c r="D63" s="146">
        <v>216756</v>
      </c>
      <c r="E63" s="146">
        <f t="shared" si="2"/>
        <v>-69591</v>
      </c>
      <c r="F63" s="150">
        <f t="shared" si="3"/>
        <v>-0.24303030937987827</v>
      </c>
    </row>
    <row r="64" spans="1:6" ht="15" customHeight="1">
      <c r="A64" s="141">
        <v>3</v>
      </c>
      <c r="B64" s="149" t="s">
        <v>318</v>
      </c>
      <c r="C64" s="146">
        <v>482993</v>
      </c>
      <c r="D64" s="146">
        <v>454863</v>
      </c>
      <c r="E64" s="146">
        <f t="shared" si="2"/>
        <v>-28130</v>
      </c>
      <c r="F64" s="150">
        <f t="shared" si="3"/>
        <v>-0.058241009704074385</v>
      </c>
    </row>
    <row r="65" spans="1:6" ht="15" customHeight="1">
      <c r="A65" s="141">
        <v>4</v>
      </c>
      <c r="B65" s="149" t="s">
        <v>319</v>
      </c>
      <c r="C65" s="146">
        <v>329576</v>
      </c>
      <c r="D65" s="146">
        <v>382280</v>
      </c>
      <c r="E65" s="146">
        <f t="shared" si="2"/>
        <v>52704</v>
      </c>
      <c r="F65" s="150">
        <f t="shared" si="3"/>
        <v>0.15991455688521009</v>
      </c>
    </row>
    <row r="66" spans="1:6" ht="15" customHeight="1">
      <c r="A66" s="141">
        <v>5</v>
      </c>
      <c r="B66" s="149" t="s">
        <v>320</v>
      </c>
      <c r="C66" s="146">
        <v>559197</v>
      </c>
      <c r="D66" s="146">
        <v>611301</v>
      </c>
      <c r="E66" s="146">
        <f t="shared" si="2"/>
        <v>52104</v>
      </c>
      <c r="F66" s="150">
        <f t="shared" si="3"/>
        <v>0.09317646553897821</v>
      </c>
    </row>
    <row r="67" spans="1:6" ht="15" customHeight="1">
      <c r="A67" s="141">
        <v>6</v>
      </c>
      <c r="B67" s="149" t="s">
        <v>321</v>
      </c>
      <c r="C67" s="146">
        <v>609222</v>
      </c>
      <c r="D67" s="146">
        <v>639252</v>
      </c>
      <c r="E67" s="146">
        <f t="shared" si="2"/>
        <v>30030</v>
      </c>
      <c r="F67" s="150">
        <f t="shared" si="3"/>
        <v>0.04929237617814196</v>
      </c>
    </row>
    <row r="68" spans="1:6" ht="15" customHeight="1">
      <c r="A68" s="141">
        <v>7</v>
      </c>
      <c r="B68" s="149" t="s">
        <v>322</v>
      </c>
      <c r="C68" s="146">
        <v>1497071</v>
      </c>
      <c r="D68" s="146">
        <v>1455682</v>
      </c>
      <c r="E68" s="146">
        <f t="shared" si="2"/>
        <v>-41389</v>
      </c>
      <c r="F68" s="150">
        <f t="shared" si="3"/>
        <v>-0.027646651361224683</v>
      </c>
    </row>
    <row r="69" spans="1:6" ht="15" customHeight="1">
      <c r="A69" s="141">
        <v>8</v>
      </c>
      <c r="B69" s="149" t="s">
        <v>323</v>
      </c>
      <c r="C69" s="146">
        <v>216513</v>
      </c>
      <c r="D69" s="146">
        <v>192977</v>
      </c>
      <c r="E69" s="146">
        <f t="shared" si="2"/>
        <v>-23536</v>
      </c>
      <c r="F69" s="150">
        <f t="shared" si="3"/>
        <v>-0.10870478908887687</v>
      </c>
    </row>
    <row r="70" spans="1:6" ht="15" customHeight="1">
      <c r="A70" s="141">
        <v>9</v>
      </c>
      <c r="B70" s="149" t="s">
        <v>324</v>
      </c>
      <c r="C70" s="146">
        <v>233287</v>
      </c>
      <c r="D70" s="146">
        <v>109392</v>
      </c>
      <c r="E70" s="146">
        <f t="shared" si="2"/>
        <v>-123895</v>
      </c>
      <c r="F70" s="150">
        <f t="shared" si="3"/>
        <v>-0.5310840295430093</v>
      </c>
    </row>
    <row r="71" spans="1:6" ht="15" customHeight="1">
      <c r="A71" s="141">
        <v>10</v>
      </c>
      <c r="B71" s="149" t="s">
        <v>325</v>
      </c>
      <c r="C71" s="146">
        <v>0</v>
      </c>
      <c r="D71" s="146">
        <v>0</v>
      </c>
      <c r="E71" s="146">
        <f t="shared" si="2"/>
        <v>0</v>
      </c>
      <c r="F71" s="150">
        <f t="shared" si="3"/>
        <v>0</v>
      </c>
    </row>
    <row r="72" spans="1:6" ht="15" customHeight="1">
      <c r="A72" s="141">
        <v>11</v>
      </c>
      <c r="B72" s="149" t="s">
        <v>326</v>
      </c>
      <c r="C72" s="146">
        <v>49605</v>
      </c>
      <c r="D72" s="146">
        <v>45500</v>
      </c>
      <c r="E72" s="146">
        <f t="shared" si="2"/>
        <v>-4105</v>
      </c>
      <c r="F72" s="150">
        <f t="shared" si="3"/>
        <v>-0.08275375466182844</v>
      </c>
    </row>
    <row r="73" spans="1:6" ht="15" customHeight="1">
      <c r="A73" s="141">
        <v>12</v>
      </c>
      <c r="B73" s="149" t="s">
        <v>327</v>
      </c>
      <c r="C73" s="146">
        <v>1380770</v>
      </c>
      <c r="D73" s="146">
        <v>1720329</v>
      </c>
      <c r="E73" s="146">
        <f t="shared" si="2"/>
        <v>339559</v>
      </c>
      <c r="F73" s="150">
        <f t="shared" si="3"/>
        <v>0.24592003012811692</v>
      </c>
    </row>
    <row r="74" spans="1:6" ht="15" customHeight="1">
      <c r="A74" s="141">
        <v>13</v>
      </c>
      <c r="B74" s="149" t="s">
        <v>328</v>
      </c>
      <c r="C74" s="146">
        <v>76694</v>
      </c>
      <c r="D74" s="146">
        <v>75809</v>
      </c>
      <c r="E74" s="146">
        <f t="shared" si="2"/>
        <v>-885</v>
      </c>
      <c r="F74" s="150">
        <f t="shared" si="3"/>
        <v>-0.011539364226667015</v>
      </c>
    </row>
    <row r="75" spans="1:6" ht="15" customHeight="1">
      <c r="A75" s="141">
        <v>14</v>
      </c>
      <c r="B75" s="149" t="s">
        <v>329</v>
      </c>
      <c r="C75" s="146">
        <v>125837</v>
      </c>
      <c r="D75" s="146">
        <v>116489</v>
      </c>
      <c r="E75" s="146">
        <f t="shared" si="2"/>
        <v>-9348</v>
      </c>
      <c r="F75" s="150">
        <f t="shared" si="3"/>
        <v>-0.07428657707987317</v>
      </c>
    </row>
    <row r="76" spans="1:6" ht="15" customHeight="1">
      <c r="A76" s="141">
        <v>15</v>
      </c>
      <c r="B76" s="149" t="s">
        <v>330</v>
      </c>
      <c r="C76" s="146">
        <v>458444</v>
      </c>
      <c r="D76" s="146">
        <v>502313</v>
      </c>
      <c r="E76" s="146">
        <f t="shared" si="2"/>
        <v>43869</v>
      </c>
      <c r="F76" s="150">
        <f t="shared" si="3"/>
        <v>0.0956910767727356</v>
      </c>
    </row>
    <row r="77" spans="1:6" ht="15" customHeight="1">
      <c r="A77" s="141">
        <v>16</v>
      </c>
      <c r="B77" s="149" t="s">
        <v>331</v>
      </c>
      <c r="C77" s="146">
        <v>0</v>
      </c>
      <c r="D77" s="146">
        <v>0</v>
      </c>
      <c r="E77" s="146">
        <f t="shared" si="2"/>
        <v>0</v>
      </c>
      <c r="F77" s="150">
        <f t="shared" si="3"/>
        <v>0</v>
      </c>
    </row>
    <row r="78" spans="1:7" ht="15.75" customHeight="1">
      <c r="A78" s="141"/>
      <c r="B78" s="151" t="s">
        <v>332</v>
      </c>
      <c r="C78" s="147">
        <f>SUM(C62:C77)</f>
        <v>6405113</v>
      </c>
      <c r="D78" s="147">
        <f>SUM(D62:D77)</f>
        <v>6632409</v>
      </c>
      <c r="E78" s="147">
        <f t="shared" si="2"/>
        <v>227296</v>
      </c>
      <c r="F78" s="148">
        <f t="shared" si="3"/>
        <v>0.03548664949392774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333</v>
      </c>
      <c r="B80" s="145" t="s">
        <v>334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335</v>
      </c>
      <c r="C81" s="146">
        <v>9595262</v>
      </c>
      <c r="D81" s="146">
        <v>9839208</v>
      </c>
      <c r="E81" s="146">
        <f>+D81-C81</f>
        <v>243946</v>
      </c>
      <c r="F81" s="150">
        <f>IF(C81=0,0,E81/C81)</f>
        <v>0.02542358926728629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336</v>
      </c>
      <c r="C83" s="147">
        <f>+C81+C78+C59+C50+C47+C44+C41+C35+C30+C24+C18</f>
        <v>95880966</v>
      </c>
      <c r="D83" s="147">
        <f>+D81+D78+D59+D50+D47+D44+D41+D35+D30+D24+D18</f>
        <v>98752754</v>
      </c>
      <c r="E83" s="147">
        <f>+D83-C83</f>
        <v>2871788</v>
      </c>
      <c r="F83" s="148">
        <f>IF(C83=0,0,E83/C83)</f>
        <v>0.02995159644094533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337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159</v>
      </c>
      <c r="B88" s="142" t="s">
        <v>338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225</v>
      </c>
      <c r="B90" s="145" t="s">
        <v>339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340</v>
      </c>
      <c r="C91" s="146">
        <v>23501294</v>
      </c>
      <c r="D91" s="146">
        <v>24938927</v>
      </c>
      <c r="E91" s="146">
        <f aca="true" t="shared" si="4" ref="E91:E109">D91-C91</f>
        <v>1437633</v>
      </c>
      <c r="F91" s="150">
        <f aca="true" t="shared" si="5" ref="F91:F109">IF(C91=0,0,E91/C91)</f>
        <v>0.06117250394808048</v>
      </c>
      <c r="G91" s="155"/>
    </row>
    <row r="92" spans="1:7" ht="15" customHeight="1">
      <c r="A92" s="141">
        <v>2</v>
      </c>
      <c r="B92" s="161" t="s">
        <v>341</v>
      </c>
      <c r="C92" s="146">
        <v>450099</v>
      </c>
      <c r="D92" s="146">
        <v>463589</v>
      </c>
      <c r="E92" s="146">
        <f t="shared" si="4"/>
        <v>13490</v>
      </c>
      <c r="F92" s="150">
        <f t="shared" si="5"/>
        <v>0.029971184117271978</v>
      </c>
      <c r="G92" s="155"/>
    </row>
    <row r="93" spans="1:7" ht="15" customHeight="1">
      <c r="A93" s="141">
        <v>3</v>
      </c>
      <c r="B93" s="161" t="s">
        <v>342</v>
      </c>
      <c r="C93" s="146">
        <v>1311903</v>
      </c>
      <c r="D93" s="146">
        <v>1392752</v>
      </c>
      <c r="E93" s="146">
        <f t="shared" si="4"/>
        <v>80849</v>
      </c>
      <c r="F93" s="150">
        <f t="shared" si="5"/>
        <v>0.06162726969905549</v>
      </c>
      <c r="G93" s="155"/>
    </row>
    <row r="94" spans="1:7" ht="15" customHeight="1">
      <c r="A94" s="141">
        <v>4</v>
      </c>
      <c r="B94" s="161" t="s">
        <v>343</v>
      </c>
      <c r="C94" s="146">
        <v>742555</v>
      </c>
      <c r="D94" s="146">
        <v>748688</v>
      </c>
      <c r="E94" s="146">
        <f t="shared" si="4"/>
        <v>6133</v>
      </c>
      <c r="F94" s="150">
        <f t="shared" si="5"/>
        <v>0.008259320858387594</v>
      </c>
      <c r="G94" s="155"/>
    </row>
    <row r="95" spans="1:7" ht="15" customHeight="1">
      <c r="A95" s="141">
        <v>5</v>
      </c>
      <c r="B95" s="161" t="s">
        <v>344</v>
      </c>
      <c r="C95" s="146">
        <v>1599126</v>
      </c>
      <c r="D95" s="146">
        <v>1673188</v>
      </c>
      <c r="E95" s="146">
        <f t="shared" si="4"/>
        <v>74062</v>
      </c>
      <c r="F95" s="150">
        <f t="shared" si="5"/>
        <v>0.04631404904929318</v>
      </c>
      <c r="G95" s="155"/>
    </row>
    <row r="96" spans="1:7" ht="15" customHeight="1">
      <c r="A96" s="141">
        <v>6</v>
      </c>
      <c r="B96" s="161" t="s">
        <v>345</v>
      </c>
      <c r="C96" s="146">
        <v>256741</v>
      </c>
      <c r="D96" s="146">
        <v>278304</v>
      </c>
      <c r="E96" s="146">
        <f t="shared" si="4"/>
        <v>21563</v>
      </c>
      <c r="F96" s="150">
        <f t="shared" si="5"/>
        <v>0.0839873646982757</v>
      </c>
      <c r="G96" s="155"/>
    </row>
    <row r="97" spans="1:7" ht="15" customHeight="1">
      <c r="A97" s="141">
        <v>7</v>
      </c>
      <c r="B97" s="161" t="s">
        <v>346</v>
      </c>
      <c r="C97" s="146">
        <v>716589</v>
      </c>
      <c r="D97" s="146">
        <v>576795</v>
      </c>
      <c r="E97" s="146">
        <f t="shared" si="4"/>
        <v>-139794</v>
      </c>
      <c r="F97" s="150">
        <f t="shared" si="5"/>
        <v>-0.1950825368516681</v>
      </c>
      <c r="G97" s="155"/>
    </row>
    <row r="98" spans="1:7" ht="15" customHeight="1">
      <c r="A98" s="141">
        <v>8</v>
      </c>
      <c r="B98" s="161" t="s">
        <v>347</v>
      </c>
      <c r="C98" s="146">
        <v>1534803</v>
      </c>
      <c r="D98" s="146">
        <v>1513889</v>
      </c>
      <c r="E98" s="146">
        <f t="shared" si="4"/>
        <v>-20914</v>
      </c>
      <c r="F98" s="150">
        <f t="shared" si="5"/>
        <v>-0.01362650450904774</v>
      </c>
      <c r="G98" s="155"/>
    </row>
    <row r="99" spans="1:7" ht="15" customHeight="1">
      <c r="A99" s="141">
        <v>9</v>
      </c>
      <c r="B99" s="161" t="s">
        <v>348</v>
      </c>
      <c r="C99" s="146">
        <v>5138253</v>
      </c>
      <c r="D99" s="146">
        <v>5833752</v>
      </c>
      <c r="E99" s="146">
        <f t="shared" si="4"/>
        <v>695499</v>
      </c>
      <c r="F99" s="150">
        <f t="shared" si="5"/>
        <v>0.13535709510606037</v>
      </c>
      <c r="G99" s="155"/>
    </row>
    <row r="100" spans="1:7" ht="15" customHeight="1">
      <c r="A100" s="141">
        <v>10</v>
      </c>
      <c r="B100" s="161" t="s">
        <v>349</v>
      </c>
      <c r="C100" s="146">
        <v>1166330</v>
      </c>
      <c r="D100" s="146">
        <v>1172653</v>
      </c>
      <c r="E100" s="146">
        <f t="shared" si="4"/>
        <v>6323</v>
      </c>
      <c r="F100" s="150">
        <f t="shared" si="5"/>
        <v>0.00542127871185685</v>
      </c>
      <c r="G100" s="155"/>
    </row>
    <row r="101" spans="1:7" ht="15" customHeight="1">
      <c r="A101" s="141">
        <v>11</v>
      </c>
      <c r="B101" s="161" t="s">
        <v>350</v>
      </c>
      <c r="C101" s="146">
        <v>1151008</v>
      </c>
      <c r="D101" s="146">
        <v>1043759</v>
      </c>
      <c r="E101" s="146">
        <f t="shared" si="4"/>
        <v>-107249</v>
      </c>
      <c r="F101" s="150">
        <f t="shared" si="5"/>
        <v>-0.09317832717061915</v>
      </c>
      <c r="G101" s="155"/>
    </row>
    <row r="102" spans="1:7" ht="15" customHeight="1">
      <c r="A102" s="141">
        <v>12</v>
      </c>
      <c r="B102" s="161" t="s">
        <v>351</v>
      </c>
      <c r="C102" s="146">
        <v>323666</v>
      </c>
      <c r="D102" s="146">
        <v>310776</v>
      </c>
      <c r="E102" s="146">
        <f t="shared" si="4"/>
        <v>-12890</v>
      </c>
      <c r="F102" s="150">
        <f t="shared" si="5"/>
        <v>-0.03982500478888731</v>
      </c>
      <c r="G102" s="155"/>
    </row>
    <row r="103" spans="1:7" ht="15" customHeight="1">
      <c r="A103" s="141">
        <v>13</v>
      </c>
      <c r="B103" s="161" t="s">
        <v>352</v>
      </c>
      <c r="C103" s="146">
        <v>1443579</v>
      </c>
      <c r="D103" s="146">
        <v>1445521</v>
      </c>
      <c r="E103" s="146">
        <f t="shared" si="4"/>
        <v>1942</v>
      </c>
      <c r="F103" s="150">
        <f t="shared" si="5"/>
        <v>0.0013452675606946346</v>
      </c>
      <c r="G103" s="155"/>
    </row>
    <row r="104" spans="1:7" ht="15" customHeight="1">
      <c r="A104" s="141">
        <v>14</v>
      </c>
      <c r="B104" s="161" t="s">
        <v>353</v>
      </c>
      <c r="C104" s="146">
        <v>497084</v>
      </c>
      <c r="D104" s="146">
        <v>474991</v>
      </c>
      <c r="E104" s="146">
        <f t="shared" si="4"/>
        <v>-22093</v>
      </c>
      <c r="F104" s="150">
        <f t="shared" si="5"/>
        <v>-0.04444520443224888</v>
      </c>
      <c r="G104" s="155"/>
    </row>
    <row r="105" spans="1:7" ht="15" customHeight="1">
      <c r="A105" s="141">
        <v>15</v>
      </c>
      <c r="B105" s="161" t="s">
        <v>322</v>
      </c>
      <c r="C105" s="146">
        <v>1966523</v>
      </c>
      <c r="D105" s="146">
        <v>1889521</v>
      </c>
      <c r="E105" s="146">
        <f t="shared" si="4"/>
        <v>-77002</v>
      </c>
      <c r="F105" s="150">
        <f t="shared" si="5"/>
        <v>-0.0391564197316787</v>
      </c>
      <c r="G105" s="155"/>
    </row>
    <row r="106" spans="1:7" ht="15" customHeight="1">
      <c r="A106" s="141">
        <v>16</v>
      </c>
      <c r="B106" s="161" t="s">
        <v>354</v>
      </c>
      <c r="C106" s="146">
        <v>456537</v>
      </c>
      <c r="D106" s="146">
        <v>478955</v>
      </c>
      <c r="E106" s="146">
        <f t="shared" si="4"/>
        <v>22418</v>
      </c>
      <c r="F106" s="150">
        <f t="shared" si="5"/>
        <v>0.04910445374635572</v>
      </c>
      <c r="G106" s="155"/>
    </row>
    <row r="107" spans="1:7" ht="15" customHeight="1">
      <c r="A107" s="141">
        <v>17</v>
      </c>
      <c r="B107" s="161" t="s">
        <v>355</v>
      </c>
      <c r="C107" s="146">
        <v>7157275</v>
      </c>
      <c r="D107" s="146">
        <v>7129695</v>
      </c>
      <c r="E107" s="146">
        <f t="shared" si="4"/>
        <v>-27580</v>
      </c>
      <c r="F107" s="150">
        <f t="shared" si="5"/>
        <v>-0.003853421867959524</v>
      </c>
      <c r="G107" s="155"/>
    </row>
    <row r="108" spans="1:7" ht="15" customHeight="1">
      <c r="A108" s="141">
        <v>18</v>
      </c>
      <c r="B108" s="161" t="s">
        <v>356</v>
      </c>
      <c r="C108" s="146">
        <v>4105991</v>
      </c>
      <c r="D108" s="146">
        <v>4615673</v>
      </c>
      <c r="E108" s="146">
        <f t="shared" si="4"/>
        <v>509682</v>
      </c>
      <c r="F108" s="150">
        <f t="shared" si="5"/>
        <v>0.12413129984941516</v>
      </c>
      <c r="G108" s="155"/>
    </row>
    <row r="109" spans="1:7" ht="15.75" customHeight="1">
      <c r="A109" s="141"/>
      <c r="B109" s="154" t="s">
        <v>357</v>
      </c>
      <c r="C109" s="147">
        <f>SUM(C91:C108)</f>
        <v>53519356</v>
      </c>
      <c r="D109" s="147">
        <f>SUM(D91:D108)</f>
        <v>55981428</v>
      </c>
      <c r="E109" s="147">
        <f t="shared" si="4"/>
        <v>2462072</v>
      </c>
      <c r="F109" s="148">
        <f t="shared" si="5"/>
        <v>0.04600339361333122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239</v>
      </c>
      <c r="B111" s="145" t="s">
        <v>358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359</v>
      </c>
      <c r="C112" s="146">
        <v>1497755</v>
      </c>
      <c r="D112" s="146">
        <v>1365676</v>
      </c>
      <c r="E112" s="146">
        <f aca="true" t="shared" si="6" ref="E112:E118">D112-C112</f>
        <v>-132079</v>
      </c>
      <c r="F112" s="150">
        <f aca="true" t="shared" si="7" ref="F112:F118">IF(C112=0,0,E112/C112)</f>
        <v>-0.08818464969237291</v>
      </c>
      <c r="G112" s="155"/>
    </row>
    <row r="113" spans="1:7" ht="15" customHeight="1">
      <c r="A113" s="141">
        <v>2</v>
      </c>
      <c r="B113" s="161" t="s">
        <v>360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>
      <c r="A114" s="141">
        <v>3</v>
      </c>
      <c r="B114" s="161" t="s">
        <v>361</v>
      </c>
      <c r="C114" s="146">
        <v>871400</v>
      </c>
      <c r="D114" s="146">
        <v>697194</v>
      </c>
      <c r="E114" s="146">
        <f t="shared" si="6"/>
        <v>-174206</v>
      </c>
      <c r="F114" s="150">
        <f t="shared" si="7"/>
        <v>-0.19991507918292403</v>
      </c>
      <c r="G114" s="155"/>
    </row>
    <row r="115" spans="1:7" ht="15" customHeight="1">
      <c r="A115" s="141">
        <v>4</v>
      </c>
      <c r="B115" s="161" t="s">
        <v>362</v>
      </c>
      <c r="C115" s="146">
        <v>1022894</v>
      </c>
      <c r="D115" s="146">
        <v>983243</v>
      </c>
      <c r="E115" s="146">
        <f t="shared" si="6"/>
        <v>-39651</v>
      </c>
      <c r="F115" s="150">
        <f t="shared" si="7"/>
        <v>-0.038763547347036936</v>
      </c>
      <c r="G115" s="155"/>
    </row>
    <row r="116" spans="1:7" ht="15" customHeight="1">
      <c r="A116" s="141">
        <v>5</v>
      </c>
      <c r="B116" s="161" t="s">
        <v>363</v>
      </c>
      <c r="C116" s="146">
        <v>205982</v>
      </c>
      <c r="D116" s="146">
        <v>190048</v>
      </c>
      <c r="E116" s="146">
        <f t="shared" si="6"/>
        <v>-15934</v>
      </c>
      <c r="F116" s="150">
        <f t="shared" si="7"/>
        <v>-0.07735627384917129</v>
      </c>
      <c r="G116" s="155"/>
    </row>
    <row r="117" spans="1:7" ht="15" customHeight="1">
      <c r="A117" s="141">
        <v>6</v>
      </c>
      <c r="B117" s="161" t="s">
        <v>364</v>
      </c>
      <c r="C117" s="146">
        <v>636278</v>
      </c>
      <c r="D117" s="146">
        <v>894676</v>
      </c>
      <c r="E117" s="146">
        <f t="shared" si="6"/>
        <v>258398</v>
      </c>
      <c r="F117" s="150">
        <f t="shared" si="7"/>
        <v>0.40610865062126933</v>
      </c>
      <c r="G117" s="155"/>
    </row>
    <row r="118" spans="1:7" ht="15.75" customHeight="1">
      <c r="A118" s="141"/>
      <c r="B118" s="154" t="s">
        <v>365</v>
      </c>
      <c r="C118" s="147">
        <f>SUM(C112:C117)</f>
        <v>4234309</v>
      </c>
      <c r="D118" s="147">
        <f>SUM(D112:D117)</f>
        <v>4130837</v>
      </c>
      <c r="E118" s="147">
        <f t="shared" si="6"/>
        <v>-103472</v>
      </c>
      <c r="F118" s="148">
        <f t="shared" si="7"/>
        <v>-0.02443657276783532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256</v>
      </c>
      <c r="B120" s="145" t="s">
        <v>366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367</v>
      </c>
      <c r="C121" s="146">
        <v>2692733</v>
      </c>
      <c r="D121" s="146">
        <v>2721250</v>
      </c>
      <c r="E121" s="146">
        <f aca="true" t="shared" si="8" ref="E121:E155">D121-C121</f>
        <v>28517</v>
      </c>
      <c r="F121" s="150">
        <f aca="true" t="shared" si="9" ref="F121:F155">IF(C121=0,0,E121/C121)</f>
        <v>0.010590355597825703</v>
      </c>
      <c r="G121" s="155"/>
    </row>
    <row r="122" spans="1:7" ht="15" customHeight="1">
      <c r="A122" s="141">
        <v>2</v>
      </c>
      <c r="B122" s="161" t="s">
        <v>368</v>
      </c>
      <c r="C122" s="146">
        <v>484386</v>
      </c>
      <c r="D122" s="146">
        <v>493899</v>
      </c>
      <c r="E122" s="146">
        <f t="shared" si="8"/>
        <v>9513</v>
      </c>
      <c r="F122" s="150">
        <f t="shared" si="9"/>
        <v>0.01963929593340848</v>
      </c>
      <c r="G122" s="155"/>
    </row>
    <row r="123" spans="1:7" ht="15" customHeight="1">
      <c r="A123" s="141">
        <v>3</v>
      </c>
      <c r="B123" s="161" t="s">
        <v>369</v>
      </c>
      <c r="C123" s="146">
        <v>160912</v>
      </c>
      <c r="D123" s="146">
        <v>146295</v>
      </c>
      <c r="E123" s="146">
        <f t="shared" si="8"/>
        <v>-14617</v>
      </c>
      <c r="F123" s="150">
        <f t="shared" si="9"/>
        <v>-0.09083847071691359</v>
      </c>
      <c r="G123" s="155"/>
    </row>
    <row r="124" spans="1:7" ht="15" customHeight="1">
      <c r="A124" s="141">
        <v>4</v>
      </c>
      <c r="B124" s="161" t="s">
        <v>370</v>
      </c>
      <c r="C124" s="146">
        <v>0</v>
      </c>
      <c r="D124" s="146">
        <v>0</v>
      </c>
      <c r="E124" s="146">
        <f t="shared" si="8"/>
        <v>0</v>
      </c>
      <c r="F124" s="150">
        <f t="shared" si="9"/>
        <v>0</v>
      </c>
      <c r="G124" s="155"/>
    </row>
    <row r="125" spans="1:7" ht="15" customHeight="1">
      <c r="A125" s="141">
        <v>5</v>
      </c>
      <c r="B125" s="161" t="s">
        <v>371</v>
      </c>
      <c r="C125" s="146">
        <v>1631564</v>
      </c>
      <c r="D125" s="146">
        <v>1667060</v>
      </c>
      <c r="E125" s="146">
        <f t="shared" si="8"/>
        <v>35496</v>
      </c>
      <c r="F125" s="150">
        <f t="shared" si="9"/>
        <v>0.021755812214537706</v>
      </c>
      <c r="G125" s="155"/>
    </row>
    <row r="126" spans="1:7" ht="15" customHeight="1">
      <c r="A126" s="141">
        <v>6</v>
      </c>
      <c r="B126" s="161" t="s">
        <v>372</v>
      </c>
      <c r="C126" s="146">
        <v>0</v>
      </c>
      <c r="D126" s="146">
        <v>0</v>
      </c>
      <c r="E126" s="146">
        <f t="shared" si="8"/>
        <v>0</v>
      </c>
      <c r="F126" s="150">
        <f t="shared" si="9"/>
        <v>0</v>
      </c>
      <c r="G126" s="155"/>
    </row>
    <row r="127" spans="1:7" ht="15" customHeight="1">
      <c r="A127" s="141">
        <v>7</v>
      </c>
      <c r="B127" s="161" t="s">
        <v>373</v>
      </c>
      <c r="C127" s="146">
        <v>1520441</v>
      </c>
      <c r="D127" s="146">
        <v>1503719</v>
      </c>
      <c r="E127" s="146">
        <f t="shared" si="8"/>
        <v>-16722</v>
      </c>
      <c r="F127" s="150">
        <f t="shared" si="9"/>
        <v>-0.010998124886135009</v>
      </c>
      <c r="G127" s="155"/>
    </row>
    <row r="128" spans="1:7" ht="15" customHeight="1">
      <c r="A128" s="141">
        <v>8</v>
      </c>
      <c r="B128" s="161" t="s">
        <v>374</v>
      </c>
      <c r="C128" s="146">
        <v>543537</v>
      </c>
      <c r="D128" s="146">
        <v>564425</v>
      </c>
      <c r="E128" s="146">
        <f t="shared" si="8"/>
        <v>20888</v>
      </c>
      <c r="F128" s="150">
        <f t="shared" si="9"/>
        <v>0.03842976651083551</v>
      </c>
      <c r="G128" s="155"/>
    </row>
    <row r="129" spans="1:7" ht="15" customHeight="1">
      <c r="A129" s="141">
        <v>9</v>
      </c>
      <c r="B129" s="161" t="s">
        <v>375</v>
      </c>
      <c r="C129" s="146">
        <v>644174</v>
      </c>
      <c r="D129" s="146">
        <v>685296</v>
      </c>
      <c r="E129" s="146">
        <f t="shared" si="8"/>
        <v>41122</v>
      </c>
      <c r="F129" s="150">
        <f t="shared" si="9"/>
        <v>0.06383678943887831</v>
      </c>
      <c r="G129" s="155"/>
    </row>
    <row r="130" spans="1:7" ht="15" customHeight="1">
      <c r="A130" s="141">
        <v>10</v>
      </c>
      <c r="B130" s="161" t="s">
        <v>376</v>
      </c>
      <c r="C130" s="146">
        <v>3448733</v>
      </c>
      <c r="D130" s="146">
        <v>4047737</v>
      </c>
      <c r="E130" s="146">
        <f t="shared" si="8"/>
        <v>599004</v>
      </c>
      <c r="F130" s="150">
        <f t="shared" si="9"/>
        <v>0.17368813416405388</v>
      </c>
      <c r="G130" s="155"/>
    </row>
    <row r="131" spans="1:7" ht="15" customHeight="1">
      <c r="A131" s="141">
        <v>11</v>
      </c>
      <c r="B131" s="161" t="s">
        <v>377</v>
      </c>
      <c r="C131" s="146">
        <v>625279</v>
      </c>
      <c r="D131" s="146">
        <v>643625</v>
      </c>
      <c r="E131" s="146">
        <f t="shared" si="8"/>
        <v>18346</v>
      </c>
      <c r="F131" s="150">
        <f t="shared" si="9"/>
        <v>0.02934050239972876</v>
      </c>
      <c r="G131" s="155"/>
    </row>
    <row r="132" spans="1:7" ht="15" customHeight="1">
      <c r="A132" s="141">
        <v>12</v>
      </c>
      <c r="B132" s="161" t="s">
        <v>378</v>
      </c>
      <c r="C132" s="146">
        <v>320766</v>
      </c>
      <c r="D132" s="146">
        <v>325612</v>
      </c>
      <c r="E132" s="146">
        <f t="shared" si="8"/>
        <v>4846</v>
      </c>
      <c r="F132" s="150">
        <f t="shared" si="9"/>
        <v>0.015107586215496654</v>
      </c>
      <c r="G132" s="155"/>
    </row>
    <row r="133" spans="1:7" ht="15" customHeight="1">
      <c r="A133" s="141">
        <v>13</v>
      </c>
      <c r="B133" s="161" t="s">
        <v>379</v>
      </c>
      <c r="C133" s="146">
        <v>511966</v>
      </c>
      <c r="D133" s="146">
        <v>482413</v>
      </c>
      <c r="E133" s="146">
        <f t="shared" si="8"/>
        <v>-29553</v>
      </c>
      <c r="F133" s="150">
        <f t="shared" si="9"/>
        <v>-0.05772453639499498</v>
      </c>
      <c r="G133" s="155"/>
    </row>
    <row r="134" spans="1:7" ht="15" customHeight="1">
      <c r="A134" s="141">
        <v>14</v>
      </c>
      <c r="B134" s="161" t="s">
        <v>380</v>
      </c>
      <c r="C134" s="146">
        <v>0</v>
      </c>
      <c r="D134" s="146">
        <v>0</v>
      </c>
      <c r="E134" s="146">
        <f t="shared" si="8"/>
        <v>0</v>
      </c>
      <c r="F134" s="150">
        <f t="shared" si="9"/>
        <v>0</v>
      </c>
      <c r="G134" s="155"/>
    </row>
    <row r="135" spans="1:7" ht="15" customHeight="1">
      <c r="A135" s="141">
        <v>15</v>
      </c>
      <c r="B135" s="161" t="s">
        <v>381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>
      <c r="A136" s="141">
        <v>16</v>
      </c>
      <c r="B136" s="161" t="s">
        <v>382</v>
      </c>
      <c r="C136" s="146">
        <v>202452</v>
      </c>
      <c r="D136" s="146">
        <v>206881</v>
      </c>
      <c r="E136" s="146">
        <f t="shared" si="8"/>
        <v>4429</v>
      </c>
      <c r="F136" s="150">
        <f t="shared" si="9"/>
        <v>0.021876790547882954</v>
      </c>
      <c r="G136" s="155"/>
    </row>
    <row r="137" spans="1:7" ht="15" customHeight="1">
      <c r="A137" s="141">
        <v>17</v>
      </c>
      <c r="B137" s="161" t="s">
        <v>383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384</v>
      </c>
      <c r="C138" s="146">
        <v>671270</v>
      </c>
      <c r="D138" s="146">
        <v>681919</v>
      </c>
      <c r="E138" s="146">
        <f t="shared" si="8"/>
        <v>10649</v>
      </c>
      <c r="F138" s="150">
        <f t="shared" si="9"/>
        <v>0.015863959360614955</v>
      </c>
      <c r="G138" s="155"/>
    </row>
    <row r="139" spans="1:7" ht="15" customHeight="1">
      <c r="A139" s="141">
        <v>19</v>
      </c>
      <c r="B139" s="161" t="s">
        <v>385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>
      <c r="A140" s="141">
        <v>20</v>
      </c>
      <c r="B140" s="161" t="s">
        <v>386</v>
      </c>
      <c r="C140" s="146">
        <v>341127</v>
      </c>
      <c r="D140" s="146">
        <v>267659</v>
      </c>
      <c r="E140" s="146">
        <f t="shared" si="8"/>
        <v>-73468</v>
      </c>
      <c r="F140" s="150">
        <f t="shared" si="9"/>
        <v>-0.21536846980743243</v>
      </c>
      <c r="G140" s="155"/>
    </row>
    <row r="141" spans="1:7" ht="15" customHeight="1">
      <c r="A141" s="141">
        <v>21</v>
      </c>
      <c r="B141" s="161" t="s">
        <v>387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388</v>
      </c>
      <c r="C142" s="146">
        <v>508261</v>
      </c>
      <c r="D142" s="146">
        <v>551450</v>
      </c>
      <c r="E142" s="146">
        <f t="shared" si="8"/>
        <v>43189</v>
      </c>
      <c r="F142" s="150">
        <f t="shared" si="9"/>
        <v>0.08497405860374886</v>
      </c>
      <c r="G142" s="155"/>
    </row>
    <row r="143" spans="1:7" ht="15" customHeight="1">
      <c r="A143" s="141">
        <v>23</v>
      </c>
      <c r="B143" s="161" t="s">
        <v>389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>
      <c r="A144" s="141">
        <v>24</v>
      </c>
      <c r="B144" s="161" t="s">
        <v>390</v>
      </c>
      <c r="C144" s="146">
        <v>3366419</v>
      </c>
      <c r="D144" s="146">
        <v>3551441</v>
      </c>
      <c r="E144" s="146">
        <f t="shared" si="8"/>
        <v>185022</v>
      </c>
      <c r="F144" s="150">
        <f t="shared" si="9"/>
        <v>0.05496107287892565</v>
      </c>
      <c r="G144" s="155"/>
    </row>
    <row r="145" spans="1:7" ht="15" customHeight="1">
      <c r="A145" s="141">
        <v>25</v>
      </c>
      <c r="B145" s="161" t="s">
        <v>391</v>
      </c>
      <c r="C145" s="146">
        <v>975960</v>
      </c>
      <c r="D145" s="146">
        <v>964736</v>
      </c>
      <c r="E145" s="146">
        <f t="shared" si="8"/>
        <v>-11224</v>
      </c>
      <c r="F145" s="150">
        <f t="shared" si="9"/>
        <v>-0.011500471330792246</v>
      </c>
      <c r="G145" s="155"/>
    </row>
    <row r="146" spans="1:7" ht="15" customHeight="1">
      <c r="A146" s="141">
        <v>26</v>
      </c>
      <c r="B146" s="161" t="s">
        <v>392</v>
      </c>
      <c r="C146" s="146">
        <v>459394</v>
      </c>
      <c r="D146" s="146">
        <v>382478</v>
      </c>
      <c r="E146" s="146">
        <f t="shared" si="8"/>
        <v>-76916</v>
      </c>
      <c r="F146" s="150">
        <f t="shared" si="9"/>
        <v>-0.167429265510651</v>
      </c>
      <c r="G146" s="155"/>
    </row>
    <row r="147" spans="1:7" ht="15" customHeight="1">
      <c r="A147" s="141">
        <v>27</v>
      </c>
      <c r="B147" s="161" t="s">
        <v>393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394</v>
      </c>
      <c r="C148" s="146">
        <v>921586</v>
      </c>
      <c r="D148" s="146">
        <v>960887</v>
      </c>
      <c r="E148" s="146">
        <f t="shared" si="8"/>
        <v>39301</v>
      </c>
      <c r="F148" s="150">
        <f t="shared" si="9"/>
        <v>0.0426449620545451</v>
      </c>
      <c r="G148" s="155"/>
    </row>
    <row r="149" spans="1:7" ht="15" customHeight="1">
      <c r="A149" s="141">
        <v>29</v>
      </c>
      <c r="B149" s="161" t="s">
        <v>395</v>
      </c>
      <c r="C149" s="146">
        <v>670101</v>
      </c>
      <c r="D149" s="146">
        <v>581145</v>
      </c>
      <c r="E149" s="146">
        <f t="shared" si="8"/>
        <v>-88956</v>
      </c>
      <c r="F149" s="150">
        <f t="shared" si="9"/>
        <v>-0.13275013766581456</v>
      </c>
      <c r="G149" s="155"/>
    </row>
    <row r="150" spans="1:7" ht="15" customHeight="1">
      <c r="A150" s="141">
        <v>30</v>
      </c>
      <c r="B150" s="161" t="s">
        <v>396</v>
      </c>
      <c r="C150" s="146">
        <v>127600</v>
      </c>
      <c r="D150" s="146">
        <v>112200</v>
      </c>
      <c r="E150" s="146">
        <f t="shared" si="8"/>
        <v>-15400</v>
      </c>
      <c r="F150" s="150">
        <f t="shared" si="9"/>
        <v>-0.1206896551724138</v>
      </c>
      <c r="G150" s="155"/>
    </row>
    <row r="151" spans="1:7" ht="15" customHeight="1">
      <c r="A151" s="141">
        <v>31</v>
      </c>
      <c r="B151" s="161" t="s">
        <v>397</v>
      </c>
      <c r="C151" s="146">
        <v>1639530</v>
      </c>
      <c r="D151" s="146">
        <v>1024531</v>
      </c>
      <c r="E151" s="146">
        <f t="shared" si="8"/>
        <v>-614999</v>
      </c>
      <c r="F151" s="150">
        <f t="shared" si="9"/>
        <v>-0.3751068903893189</v>
      </c>
      <c r="G151" s="155"/>
    </row>
    <row r="152" spans="1:7" ht="15" customHeight="1">
      <c r="A152" s="141">
        <v>32</v>
      </c>
      <c r="B152" s="161" t="s">
        <v>398</v>
      </c>
      <c r="C152" s="146">
        <v>226044</v>
      </c>
      <c r="D152" s="146">
        <v>234824</v>
      </c>
      <c r="E152" s="146">
        <f t="shared" si="8"/>
        <v>8780</v>
      </c>
      <c r="F152" s="150">
        <f t="shared" si="9"/>
        <v>0.03884199536373449</v>
      </c>
      <c r="G152" s="155"/>
    </row>
    <row r="153" spans="1:7" ht="15" customHeight="1">
      <c r="A153" s="141">
        <v>33</v>
      </c>
      <c r="B153" s="161" t="s">
        <v>399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400</v>
      </c>
      <c r="C154" s="146">
        <v>2112551</v>
      </c>
      <c r="D154" s="146">
        <v>2048929</v>
      </c>
      <c r="E154" s="146">
        <f t="shared" si="8"/>
        <v>-63622</v>
      </c>
      <c r="F154" s="150">
        <f t="shared" si="9"/>
        <v>-0.030116196011362565</v>
      </c>
      <c r="G154" s="155"/>
    </row>
    <row r="155" spans="1:7" ht="15.75" customHeight="1">
      <c r="A155" s="141"/>
      <c r="B155" s="154" t="s">
        <v>401</v>
      </c>
      <c r="C155" s="147">
        <f>SUM(C121:C154)</f>
        <v>24806786</v>
      </c>
      <c r="D155" s="147">
        <f>SUM(D121:D154)</f>
        <v>24850411</v>
      </c>
      <c r="E155" s="147">
        <f t="shared" si="8"/>
        <v>43625</v>
      </c>
      <c r="F155" s="148">
        <f t="shared" si="9"/>
        <v>0.0017585913789879915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286</v>
      </c>
      <c r="B157" s="145" t="s">
        <v>402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403</v>
      </c>
      <c r="C158" s="146">
        <v>3686236</v>
      </c>
      <c r="D158" s="146">
        <v>3561197</v>
      </c>
      <c r="E158" s="146">
        <f aca="true" t="shared" si="10" ref="E158:E171">D158-C158</f>
        <v>-125039</v>
      </c>
      <c r="F158" s="150">
        <f aca="true" t="shared" si="11" ref="F158:F171">IF(C158=0,0,E158/C158)</f>
        <v>-0.03392050861637725</v>
      </c>
      <c r="G158" s="155"/>
    </row>
    <row r="159" spans="1:7" ht="15" customHeight="1">
      <c r="A159" s="141">
        <v>2</v>
      </c>
      <c r="B159" s="161" t="s">
        <v>404</v>
      </c>
      <c r="C159" s="146">
        <v>1567476</v>
      </c>
      <c r="D159" s="146">
        <v>1544675</v>
      </c>
      <c r="E159" s="146">
        <f t="shared" si="10"/>
        <v>-22801</v>
      </c>
      <c r="F159" s="150">
        <f t="shared" si="11"/>
        <v>-0.014546315222689215</v>
      </c>
      <c r="G159" s="155"/>
    </row>
    <row r="160" spans="1:7" ht="15" customHeight="1">
      <c r="A160" s="141">
        <v>3</v>
      </c>
      <c r="B160" s="161" t="s">
        <v>405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406</v>
      </c>
      <c r="C161" s="146">
        <v>0</v>
      </c>
      <c r="D161" s="146">
        <v>0</v>
      </c>
      <c r="E161" s="146">
        <f t="shared" si="10"/>
        <v>0</v>
      </c>
      <c r="F161" s="150">
        <f t="shared" si="11"/>
        <v>0</v>
      </c>
      <c r="G161" s="155"/>
    </row>
    <row r="162" spans="1:7" ht="15" customHeight="1">
      <c r="A162" s="141">
        <v>5</v>
      </c>
      <c r="B162" s="161" t="s">
        <v>407</v>
      </c>
      <c r="C162" s="146">
        <v>420976</v>
      </c>
      <c r="D162" s="146">
        <v>395863</v>
      </c>
      <c r="E162" s="146">
        <f t="shared" si="10"/>
        <v>-25113</v>
      </c>
      <c r="F162" s="150">
        <f t="shared" si="11"/>
        <v>-0.05965423207023678</v>
      </c>
      <c r="G162" s="155"/>
    </row>
    <row r="163" spans="1:7" ht="15" customHeight="1">
      <c r="A163" s="141">
        <v>6</v>
      </c>
      <c r="B163" s="161" t="s">
        <v>408</v>
      </c>
      <c r="C163" s="146">
        <v>1408079</v>
      </c>
      <c r="D163" s="146">
        <v>1621142</v>
      </c>
      <c r="E163" s="146">
        <f t="shared" si="10"/>
        <v>213063</v>
      </c>
      <c r="F163" s="150">
        <f t="shared" si="11"/>
        <v>0.15131466345283184</v>
      </c>
      <c r="G163" s="155"/>
    </row>
    <row r="164" spans="1:7" ht="15" customHeight="1">
      <c r="A164" s="141">
        <v>7</v>
      </c>
      <c r="B164" s="161" t="s">
        <v>409</v>
      </c>
      <c r="C164" s="146">
        <v>37554</v>
      </c>
      <c r="D164" s="146">
        <v>30069</v>
      </c>
      <c r="E164" s="146">
        <f t="shared" si="10"/>
        <v>-7485</v>
      </c>
      <c r="F164" s="150">
        <f t="shared" si="11"/>
        <v>-0.1993129892954146</v>
      </c>
      <c r="G164" s="155"/>
    </row>
    <row r="165" spans="1:7" ht="15" customHeight="1">
      <c r="A165" s="141">
        <v>8</v>
      </c>
      <c r="B165" s="161" t="s">
        <v>410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>
      <c r="A166" s="141">
        <v>9</v>
      </c>
      <c r="B166" s="161" t="s">
        <v>411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>
      <c r="A167" s="141">
        <v>10</v>
      </c>
      <c r="B167" s="161" t="s">
        <v>412</v>
      </c>
      <c r="C167" s="146">
        <v>644738</v>
      </c>
      <c r="D167" s="146">
        <v>675189</v>
      </c>
      <c r="E167" s="146">
        <f t="shared" si="10"/>
        <v>30451</v>
      </c>
      <c r="F167" s="150">
        <f t="shared" si="11"/>
        <v>0.04723003762768752</v>
      </c>
      <c r="G167" s="155"/>
    </row>
    <row r="168" spans="1:7" ht="15" customHeight="1">
      <c r="A168" s="141">
        <v>11</v>
      </c>
      <c r="B168" s="161" t="s">
        <v>413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414</v>
      </c>
      <c r="C169" s="146">
        <v>1291540</v>
      </c>
      <c r="D169" s="146">
        <v>1180387</v>
      </c>
      <c r="E169" s="146">
        <f t="shared" si="10"/>
        <v>-111153</v>
      </c>
      <c r="F169" s="150">
        <f t="shared" si="11"/>
        <v>-0.08606237514904687</v>
      </c>
      <c r="G169" s="155"/>
    </row>
    <row r="170" spans="1:7" ht="15" customHeight="1">
      <c r="A170" s="141">
        <v>13</v>
      </c>
      <c r="B170" s="161" t="s">
        <v>415</v>
      </c>
      <c r="C170" s="146">
        <v>3874257</v>
      </c>
      <c r="D170" s="146">
        <v>4404744</v>
      </c>
      <c r="E170" s="146">
        <f t="shared" si="10"/>
        <v>530487</v>
      </c>
      <c r="F170" s="150">
        <f t="shared" si="11"/>
        <v>0.13692612544805366</v>
      </c>
      <c r="G170" s="155"/>
    </row>
    <row r="171" spans="1:7" ht="15.75" customHeight="1">
      <c r="A171" s="141"/>
      <c r="B171" s="154" t="s">
        <v>416</v>
      </c>
      <c r="C171" s="147">
        <f>SUM(C158:C170)</f>
        <v>12930856</v>
      </c>
      <c r="D171" s="147">
        <f>SUM(D158:D170)</f>
        <v>13413266</v>
      </c>
      <c r="E171" s="147">
        <f t="shared" si="10"/>
        <v>482410</v>
      </c>
      <c r="F171" s="148">
        <f t="shared" si="11"/>
        <v>0.03730688826787647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291</v>
      </c>
      <c r="B173" s="145" t="s">
        <v>417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418</v>
      </c>
      <c r="C174" s="146">
        <v>389659</v>
      </c>
      <c r="D174" s="146">
        <v>376812</v>
      </c>
      <c r="E174" s="146">
        <f>D174-C174</f>
        <v>-12847</v>
      </c>
      <c r="F174" s="150">
        <f>IF(C174=0,0,E174/C174)</f>
        <v>-0.032969853127991396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419</v>
      </c>
      <c r="C176" s="147">
        <f>+C174+C171+C155+C118+C109</f>
        <v>95880966</v>
      </c>
      <c r="D176" s="147">
        <f>+D174+D171+D155+D118+D109</f>
        <v>98752754</v>
      </c>
      <c r="E176" s="147">
        <f>D176-C176</f>
        <v>2871788</v>
      </c>
      <c r="F176" s="148">
        <f>IF(C176=0,0,E176/C176)</f>
        <v>0.02995159644094533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420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FILING&amp;RNEW MILFORD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115</v>
      </c>
      <c r="C1" s="3"/>
      <c r="D1" s="3"/>
      <c r="E1" s="4"/>
      <c r="F1" s="5"/>
    </row>
    <row r="2" spans="1:6" ht="24" customHeight="1">
      <c r="A2" s="35"/>
      <c r="B2" s="3" t="s">
        <v>116</v>
      </c>
      <c r="C2" s="3"/>
      <c r="D2" s="3"/>
      <c r="E2" s="4"/>
      <c r="F2" s="5"/>
    </row>
    <row r="3" spans="1:6" ht="24" customHeight="1">
      <c r="A3" s="35"/>
      <c r="B3" s="3" t="s">
        <v>117</v>
      </c>
      <c r="C3" s="3"/>
      <c r="D3" s="3"/>
      <c r="E3" s="4"/>
      <c r="F3" s="5"/>
    </row>
    <row r="4" spans="1:6" ht="24" customHeight="1">
      <c r="A4" s="35"/>
      <c r="B4" s="3" t="s">
        <v>421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125</v>
      </c>
      <c r="D7" s="11" t="s">
        <v>125</v>
      </c>
      <c r="E7" s="11" t="s">
        <v>125</v>
      </c>
      <c r="F7" s="11"/>
    </row>
    <row r="8" spans="1:6" ht="24" customHeight="1">
      <c r="A8" s="13" t="s">
        <v>123</v>
      </c>
      <c r="B8" s="16" t="s">
        <v>124</v>
      </c>
      <c r="C8" s="13" t="s">
        <v>422</v>
      </c>
      <c r="D8" s="13" t="s">
        <v>119</v>
      </c>
      <c r="E8" s="13" t="s">
        <v>120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129</v>
      </c>
      <c r="B10" s="30" t="s">
        <v>423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190</v>
      </c>
      <c r="C11" s="51">
        <v>84051521</v>
      </c>
      <c r="D11" s="164">
        <v>88824490</v>
      </c>
      <c r="E11" s="51">
        <v>89326362</v>
      </c>
      <c r="F11" s="13"/>
    </row>
    <row r="12" spans="1:6" ht="24" customHeight="1">
      <c r="A12" s="44">
        <v>2</v>
      </c>
      <c r="B12" s="165" t="s">
        <v>424</v>
      </c>
      <c r="C12" s="49">
        <v>3602031</v>
      </c>
      <c r="D12" s="49">
        <v>5548110</v>
      </c>
      <c r="E12" s="49">
        <v>3899680</v>
      </c>
      <c r="F12" s="13"/>
    </row>
    <row r="13" spans="1:6" ht="24" customHeight="1">
      <c r="A13" s="44">
        <v>3</v>
      </c>
      <c r="B13" s="48" t="s">
        <v>193</v>
      </c>
      <c r="C13" s="51">
        <f>+C11+C12</f>
        <v>87653552</v>
      </c>
      <c r="D13" s="51">
        <f>+D11+D12</f>
        <v>94372600</v>
      </c>
      <c r="E13" s="51">
        <f>+E11+E12</f>
        <v>93226042</v>
      </c>
      <c r="F13" s="13"/>
    </row>
    <row r="14" spans="1:6" ht="24" customHeight="1">
      <c r="A14" s="44">
        <v>4</v>
      </c>
      <c r="B14" s="166" t="s">
        <v>204</v>
      </c>
      <c r="C14" s="49">
        <v>87234032</v>
      </c>
      <c r="D14" s="49">
        <v>95880966</v>
      </c>
      <c r="E14" s="49">
        <v>98752754</v>
      </c>
      <c r="F14" s="13"/>
    </row>
    <row r="15" spans="1:6" ht="24" customHeight="1">
      <c r="A15" s="44">
        <v>5</v>
      </c>
      <c r="B15" s="48" t="s">
        <v>205</v>
      </c>
      <c r="C15" s="51">
        <f>+C13-C14</f>
        <v>419520</v>
      </c>
      <c r="D15" s="51">
        <f>+D13-D14</f>
        <v>-1508366</v>
      </c>
      <c r="E15" s="51">
        <f>+E13-E14</f>
        <v>-5526712</v>
      </c>
      <c r="F15" s="13"/>
    </row>
    <row r="16" spans="1:6" ht="24" customHeight="1">
      <c r="A16" s="44">
        <v>6</v>
      </c>
      <c r="B16" s="166" t="s">
        <v>210</v>
      </c>
      <c r="C16" s="49">
        <v>501009</v>
      </c>
      <c r="D16" s="49">
        <v>357421</v>
      </c>
      <c r="E16" s="49">
        <v>361642</v>
      </c>
      <c r="F16" s="13"/>
    </row>
    <row r="17" spans="1:6" ht="24" customHeight="1">
      <c r="A17" s="44">
        <v>7</v>
      </c>
      <c r="B17" s="45" t="s">
        <v>425</v>
      </c>
      <c r="C17" s="51">
        <f>C15+C16</f>
        <v>920529</v>
      </c>
      <c r="D17" s="51">
        <f>D15+D16</f>
        <v>-1150945</v>
      </c>
      <c r="E17" s="51">
        <f>E15+E16</f>
        <v>-5165070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141</v>
      </c>
      <c r="B19" s="30" t="s">
        <v>426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427</v>
      </c>
      <c r="C20" s="169">
        <f>IF(+C27=0,0,+C24/+C27)</f>
        <v>0.004758914289188055</v>
      </c>
      <c r="D20" s="169">
        <f>IF(+D27=0,0,+D24/+D27)</f>
        <v>-0.015922787560661473</v>
      </c>
      <c r="E20" s="169">
        <f>IF(+E27=0,0,+E24/+E27)</f>
        <v>-0.05905383875083393</v>
      </c>
      <c r="F20" s="13"/>
    </row>
    <row r="21" spans="1:6" ht="24" customHeight="1">
      <c r="A21" s="25">
        <v>2</v>
      </c>
      <c r="B21" s="48" t="s">
        <v>428</v>
      </c>
      <c r="C21" s="169">
        <f>IF(C27=0,0,+C26/C27)</f>
        <v>0.005683302081216195</v>
      </c>
      <c r="D21" s="169">
        <f>IF(D27=0,0,+D26/D27)</f>
        <v>0.003773048883837997</v>
      </c>
      <c r="E21" s="169">
        <f>IF(E27=0,0,+E26/E27)</f>
        <v>0.0038642050379193056</v>
      </c>
      <c r="F21" s="13"/>
    </row>
    <row r="22" spans="1:6" ht="24" customHeight="1">
      <c r="A22" s="25">
        <v>3</v>
      </c>
      <c r="B22" s="48" t="s">
        <v>429</v>
      </c>
      <c r="C22" s="169">
        <f>IF(C27=0,0,+C28/C27)</f>
        <v>0.01044221637040425</v>
      </c>
      <c r="D22" s="169">
        <f>IF(D27=0,0,+D28/D27)</f>
        <v>-0.012149738676823474</v>
      </c>
      <c r="E22" s="169">
        <f>IF(E27=0,0,+E28/E27)</f>
        <v>-0.05518963371291462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205</v>
      </c>
      <c r="C24" s="51">
        <f>+C15</f>
        <v>419520</v>
      </c>
      <c r="D24" s="51">
        <f>+D15</f>
        <v>-1508366</v>
      </c>
      <c r="E24" s="51">
        <f>+E15</f>
        <v>-5526712</v>
      </c>
      <c r="F24" s="13"/>
    </row>
    <row r="25" spans="1:6" ht="24" customHeight="1">
      <c r="A25" s="21">
        <v>5</v>
      </c>
      <c r="B25" s="48" t="s">
        <v>193</v>
      </c>
      <c r="C25" s="51">
        <f>+C13</f>
        <v>87653552</v>
      </c>
      <c r="D25" s="51">
        <f>+D13</f>
        <v>94372600</v>
      </c>
      <c r="E25" s="51">
        <f>+E13</f>
        <v>93226042</v>
      </c>
      <c r="F25" s="13"/>
    </row>
    <row r="26" spans="1:6" ht="24" customHeight="1">
      <c r="A26" s="21">
        <v>6</v>
      </c>
      <c r="B26" s="48" t="s">
        <v>210</v>
      </c>
      <c r="C26" s="51">
        <f>+C16</f>
        <v>501009</v>
      </c>
      <c r="D26" s="51">
        <f>+D16</f>
        <v>357421</v>
      </c>
      <c r="E26" s="51">
        <f>+E16</f>
        <v>361642</v>
      </c>
      <c r="F26" s="13"/>
    </row>
    <row r="27" spans="1:6" ht="24" customHeight="1">
      <c r="A27" s="21">
        <v>7</v>
      </c>
      <c r="B27" s="48" t="s">
        <v>430</v>
      </c>
      <c r="C27" s="51">
        <f>+C25+C26</f>
        <v>88154561</v>
      </c>
      <c r="D27" s="51">
        <f>+D25+D26</f>
        <v>94730021</v>
      </c>
      <c r="E27" s="51">
        <f>+E25+E26</f>
        <v>93587684</v>
      </c>
      <c r="F27" s="13"/>
    </row>
    <row r="28" spans="1:6" ht="24" customHeight="1">
      <c r="A28" s="21">
        <v>8</v>
      </c>
      <c r="B28" s="45" t="s">
        <v>425</v>
      </c>
      <c r="C28" s="51">
        <f>+C17</f>
        <v>920529</v>
      </c>
      <c r="D28" s="51">
        <f>+D17</f>
        <v>-1150945</v>
      </c>
      <c r="E28" s="51">
        <f>+E17</f>
        <v>-5165070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151</v>
      </c>
      <c r="B30" s="41" t="s">
        <v>431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432</v>
      </c>
      <c r="C31" s="51">
        <v>37372385</v>
      </c>
      <c r="D31" s="51">
        <v>29244007</v>
      </c>
      <c r="E31" s="51">
        <v>13080008</v>
      </c>
      <c r="F31" s="13"/>
    </row>
    <row r="32" spans="1:6" ht="24" customHeight="1">
      <c r="A32" s="25">
        <v>2</v>
      </c>
      <c r="B32" s="48" t="s">
        <v>433</v>
      </c>
      <c r="C32" s="51">
        <v>47477655</v>
      </c>
      <c r="D32" s="51">
        <v>43564881</v>
      </c>
      <c r="E32" s="51">
        <v>23768402</v>
      </c>
      <c r="F32" s="13"/>
    </row>
    <row r="33" spans="1:6" ht="24" customHeight="1">
      <c r="A33" s="25">
        <v>3</v>
      </c>
      <c r="B33" s="48" t="s">
        <v>434</v>
      </c>
      <c r="C33" s="51">
        <v>47477655</v>
      </c>
      <c r="D33" s="51">
        <f>+D32-C32</f>
        <v>-3912774</v>
      </c>
      <c r="E33" s="51">
        <f>+E32-D32</f>
        <v>-19796479</v>
      </c>
      <c r="F33" s="5"/>
    </row>
    <row r="34" spans="1:6" ht="24" customHeight="1">
      <c r="A34" s="25">
        <v>4</v>
      </c>
      <c r="B34" s="48" t="s">
        <v>435</v>
      </c>
      <c r="C34" s="171">
        <v>0</v>
      </c>
      <c r="D34" s="171">
        <f>IF(C32=0,0,+D33/C32)</f>
        <v>-0.08241295826426137</v>
      </c>
      <c r="E34" s="171">
        <f>IF(D32=0,0,+E33/D32)</f>
        <v>-0.45441370538806247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436</v>
      </c>
      <c r="B36" s="41" t="s">
        <v>437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438</v>
      </c>
      <c r="C38" s="172">
        <f>IF((C40+C41)=0,0,+C39/(C40+C41))</f>
        <v>0.4219971683363184</v>
      </c>
      <c r="D38" s="172">
        <f>IF((D40+D41)=0,0,+D39/(D40+D41))</f>
        <v>0.41862446463282754</v>
      </c>
      <c r="E38" s="172">
        <f>IF((E40+E41)=0,0,+E39/(E40+E41))</f>
        <v>0.4212791008660749</v>
      </c>
      <c r="F38" s="5"/>
    </row>
    <row r="39" spans="1:6" ht="24" customHeight="1">
      <c r="A39" s="21">
        <v>2</v>
      </c>
      <c r="B39" s="48" t="s">
        <v>439</v>
      </c>
      <c r="C39" s="51">
        <v>84330473</v>
      </c>
      <c r="D39" s="51">
        <v>92150239</v>
      </c>
      <c r="E39" s="23">
        <v>98752754</v>
      </c>
      <c r="F39" s="5"/>
    </row>
    <row r="40" spans="1:6" ht="24" customHeight="1">
      <c r="A40" s="21">
        <v>3</v>
      </c>
      <c r="B40" s="48" t="s">
        <v>440</v>
      </c>
      <c r="C40" s="51">
        <v>196234554</v>
      </c>
      <c r="D40" s="51">
        <v>214881435</v>
      </c>
      <c r="E40" s="23">
        <v>230831708</v>
      </c>
      <c r="F40" s="5"/>
    </row>
    <row r="41" spans="1:6" ht="24" customHeight="1">
      <c r="A41" s="21">
        <v>4</v>
      </c>
      <c r="B41" s="48" t="s">
        <v>441</v>
      </c>
      <c r="C41" s="51">
        <v>3602031</v>
      </c>
      <c r="D41" s="51">
        <v>5244828</v>
      </c>
      <c r="E41" s="23">
        <v>3580001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442</v>
      </c>
      <c r="C43" s="173">
        <f>IF(C38=0,0,IF((C46-C47)=0,0,((+C44-C45)/(C46-C47)/C38)))</f>
        <v>1.2753703215137489</v>
      </c>
      <c r="D43" s="173">
        <f>IF(D38=0,0,IF((D46-D47)=0,0,((+D44-D45)/(D46-D47)/D38)))</f>
        <v>1.2105167769134155</v>
      </c>
      <c r="E43" s="173">
        <f>IF(E38=0,0,IF((E46-E47)=0,0,((+E44-E45)/(E46-E47)/E38)))</f>
        <v>1.1935740324667683</v>
      </c>
      <c r="F43" s="5"/>
    </row>
    <row r="44" spans="1:6" ht="24" customHeight="1">
      <c r="A44" s="21">
        <v>6</v>
      </c>
      <c r="B44" s="48" t="s">
        <v>443</v>
      </c>
      <c r="C44" s="51">
        <v>55856088</v>
      </c>
      <c r="D44" s="51">
        <v>53547276</v>
      </c>
      <c r="E44" s="23">
        <v>55861758</v>
      </c>
      <c r="F44" s="5"/>
    </row>
    <row r="45" spans="1:6" ht="24" customHeight="1">
      <c r="A45" s="21">
        <v>7</v>
      </c>
      <c r="B45" s="48" t="s">
        <v>444</v>
      </c>
      <c r="C45" s="51">
        <v>1948897</v>
      </c>
      <c r="D45" s="51">
        <v>1666754</v>
      </c>
      <c r="E45" s="23">
        <v>250631</v>
      </c>
      <c r="F45" s="5"/>
    </row>
    <row r="46" spans="1:6" ht="24" customHeight="1">
      <c r="A46" s="21">
        <v>8</v>
      </c>
      <c r="B46" s="48" t="s">
        <v>445</v>
      </c>
      <c r="C46" s="51">
        <v>104805232</v>
      </c>
      <c r="D46" s="51">
        <v>107588036</v>
      </c>
      <c r="E46" s="23">
        <v>115199029</v>
      </c>
      <c r="F46" s="5"/>
    </row>
    <row r="47" spans="1:6" ht="24" customHeight="1">
      <c r="A47" s="21">
        <v>9</v>
      </c>
      <c r="B47" s="48" t="s">
        <v>446</v>
      </c>
      <c r="C47" s="51">
        <v>4643723</v>
      </c>
      <c r="D47" s="51">
        <v>5209499</v>
      </c>
      <c r="E47" s="174">
        <v>4602265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447</v>
      </c>
      <c r="C49" s="175">
        <f>IF(C38=0,0,IF(C51=0,0,(C50/C51)/C38))</f>
        <v>0.6402162992163909</v>
      </c>
      <c r="D49" s="175">
        <f>IF(D38=0,0,IF(D51=0,0,(D50/D51)/D38))</f>
        <v>0.700614018354728</v>
      </c>
      <c r="E49" s="175">
        <f>IF(E38=0,0,IF(E51=0,0,(E50/E51)/E38))</f>
        <v>0.6145550197615085</v>
      </c>
      <c r="F49" s="7"/>
    </row>
    <row r="50" spans="1:6" ht="24" customHeight="1">
      <c r="A50" s="21">
        <v>11</v>
      </c>
      <c r="B50" s="48" t="s">
        <v>448</v>
      </c>
      <c r="C50" s="176">
        <v>22011415</v>
      </c>
      <c r="D50" s="176">
        <v>28459792</v>
      </c>
      <c r="E50" s="176">
        <v>27030405</v>
      </c>
      <c r="F50" s="11"/>
    </row>
    <row r="51" spans="1:6" ht="24" customHeight="1">
      <c r="A51" s="21">
        <v>12</v>
      </c>
      <c r="B51" s="48" t="s">
        <v>449</v>
      </c>
      <c r="C51" s="176">
        <v>81472623</v>
      </c>
      <c r="D51" s="176">
        <v>97034974</v>
      </c>
      <c r="E51" s="176">
        <v>104405137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450</v>
      </c>
      <c r="C53" s="175">
        <f>IF(C38=0,0,IF(C55=0,0,(C54/C55)/C38))</f>
        <v>0.7382666058067762</v>
      </c>
      <c r="D53" s="175">
        <f>IF(D38=0,0,IF(D55=0,0,(D54/D55)/D38))</f>
        <v>0.7422490899576756</v>
      </c>
      <c r="E53" s="175">
        <f>IF(E38=0,0,IF(E55=0,0,(E54/E55)/E38))</f>
        <v>0.6907930287822052</v>
      </c>
      <c r="F53" s="13"/>
    </row>
    <row r="54" spans="1:6" ht="24" customHeight="1">
      <c r="A54" s="21">
        <v>14</v>
      </c>
      <c r="B54" s="48" t="s">
        <v>451</v>
      </c>
      <c r="C54" s="176">
        <v>2179594</v>
      </c>
      <c r="D54" s="176">
        <v>2362190</v>
      </c>
      <c r="E54" s="176">
        <v>2744639</v>
      </c>
      <c r="F54" s="13"/>
    </row>
    <row r="55" spans="1:6" ht="24" customHeight="1">
      <c r="A55" s="21">
        <v>15</v>
      </c>
      <c r="B55" s="48" t="s">
        <v>452</v>
      </c>
      <c r="C55" s="176">
        <v>6996049</v>
      </c>
      <c r="D55" s="176">
        <v>7602222</v>
      </c>
      <c r="E55" s="176">
        <v>9431209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453</v>
      </c>
      <c r="C57" s="53">
        <f>+C60*C38</f>
        <v>2302322.023077246</v>
      </c>
      <c r="D57" s="53">
        <f>+D60*D38</f>
        <v>3093424.64415535</v>
      </c>
      <c r="E57" s="53">
        <f>+E60*E38</f>
        <v>2402226.5358196506</v>
      </c>
      <c r="F57" s="13"/>
    </row>
    <row r="58" spans="1:6" ht="24" customHeight="1">
      <c r="A58" s="21">
        <v>17</v>
      </c>
      <c r="B58" s="48" t="s">
        <v>454</v>
      </c>
      <c r="C58" s="51">
        <v>2004589</v>
      </c>
      <c r="D58" s="51">
        <v>2581057</v>
      </c>
      <c r="E58" s="52">
        <v>1620381</v>
      </c>
      <c r="F58" s="28"/>
    </row>
    <row r="59" spans="1:6" ht="24" customHeight="1">
      <c r="A59" s="21">
        <v>18</v>
      </c>
      <c r="B59" s="48" t="s">
        <v>200</v>
      </c>
      <c r="C59" s="51">
        <v>3451187</v>
      </c>
      <c r="D59" s="51">
        <v>4808441</v>
      </c>
      <c r="E59" s="52">
        <v>4081840</v>
      </c>
      <c r="F59" s="28"/>
    </row>
    <row r="60" spans="1:6" ht="24" customHeight="1">
      <c r="A60" s="21">
        <v>19</v>
      </c>
      <c r="B60" s="48" t="s">
        <v>455</v>
      </c>
      <c r="C60" s="51">
        <v>5455776</v>
      </c>
      <c r="D60" s="51">
        <v>7389498</v>
      </c>
      <c r="E60" s="52">
        <v>5702221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456</v>
      </c>
      <c r="C62" s="178">
        <f>IF(C63=0,0,+C57/C63)</f>
        <v>0.027301187117464</v>
      </c>
      <c r="D62" s="178">
        <f>IF(D63=0,0,+D57/D63)</f>
        <v>0.03356936105347866</v>
      </c>
      <c r="E62" s="178">
        <f>IF(E63=0,0,+E57/E63)</f>
        <v>0.024325666257567366</v>
      </c>
      <c r="F62" s="13"/>
    </row>
    <row r="63" spans="1:6" ht="24" customHeight="1">
      <c r="A63" s="21">
        <v>21</v>
      </c>
      <c r="B63" s="45" t="s">
        <v>439</v>
      </c>
      <c r="C63" s="176">
        <v>84330473</v>
      </c>
      <c r="D63" s="176">
        <v>92150239</v>
      </c>
      <c r="E63" s="176">
        <v>98752754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457</v>
      </c>
      <c r="B65" s="41" t="s">
        <v>458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459</v>
      </c>
      <c r="C67" s="179">
        <f>IF(C69=0,0,C68/C69)</f>
        <v>1.4266576234208261</v>
      </c>
      <c r="D67" s="179">
        <f>IF(D69=0,0,D68/D69)</f>
        <v>1.4286271694830468</v>
      </c>
      <c r="E67" s="179">
        <f>IF(E69=0,0,E68/E69)</f>
        <v>1.2829482013108306</v>
      </c>
      <c r="F67" s="28"/>
    </row>
    <row r="68" spans="1:6" ht="24" customHeight="1">
      <c r="A68" s="21">
        <v>2</v>
      </c>
      <c r="B68" s="48" t="s">
        <v>140</v>
      </c>
      <c r="C68" s="180">
        <v>18529375</v>
      </c>
      <c r="D68" s="180">
        <v>21536336</v>
      </c>
      <c r="E68" s="180">
        <v>20129719</v>
      </c>
      <c r="F68" s="28"/>
    </row>
    <row r="69" spans="1:6" ht="24" customHeight="1">
      <c r="A69" s="21">
        <v>3</v>
      </c>
      <c r="B69" s="48" t="s">
        <v>169</v>
      </c>
      <c r="C69" s="180">
        <v>12987962</v>
      </c>
      <c r="D69" s="180">
        <v>15074847</v>
      </c>
      <c r="E69" s="180">
        <v>15690204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460</v>
      </c>
      <c r="C71" s="181">
        <f>IF((C77/365)=0,0,+C74/(C77/365))</f>
        <v>17.445139716993385</v>
      </c>
      <c r="D71" s="181">
        <f>IF((D77/365)=0,0,+D74/(D77/365))</f>
        <v>11.373507496398805</v>
      </c>
      <c r="E71" s="181">
        <f>IF((E77/365)=0,0,+E74/(E77/365))</f>
        <v>10.541955392557448</v>
      </c>
      <c r="F71" s="28"/>
    </row>
    <row r="72" spans="1:6" ht="24" customHeight="1">
      <c r="A72" s="21">
        <v>5</v>
      </c>
      <c r="B72" s="22" t="s">
        <v>131</v>
      </c>
      <c r="C72" s="182">
        <v>3140287</v>
      </c>
      <c r="D72" s="182">
        <v>2003448</v>
      </c>
      <c r="E72" s="182">
        <v>2513911</v>
      </c>
      <c r="F72" s="28"/>
    </row>
    <row r="73" spans="1:6" ht="24" customHeight="1">
      <c r="A73" s="21">
        <v>6</v>
      </c>
      <c r="B73" s="183" t="s">
        <v>132</v>
      </c>
      <c r="C73" s="184">
        <v>796347</v>
      </c>
      <c r="D73" s="184">
        <v>830159</v>
      </c>
      <c r="E73" s="184">
        <v>195420</v>
      </c>
      <c r="F73" s="28"/>
    </row>
    <row r="74" spans="1:6" ht="24" customHeight="1">
      <c r="A74" s="21">
        <v>7</v>
      </c>
      <c r="B74" s="48" t="s">
        <v>461</v>
      </c>
      <c r="C74" s="180">
        <f>+C72+C73</f>
        <v>3936634</v>
      </c>
      <c r="D74" s="180">
        <f>+D72+D73</f>
        <v>2833607</v>
      </c>
      <c r="E74" s="180">
        <f>+E72+E73</f>
        <v>2709331</v>
      </c>
      <c r="F74" s="28"/>
    </row>
    <row r="75" spans="1:6" ht="24" customHeight="1">
      <c r="A75" s="21">
        <v>8</v>
      </c>
      <c r="B75" s="48" t="s">
        <v>439</v>
      </c>
      <c r="C75" s="180">
        <f>+C14</f>
        <v>87234032</v>
      </c>
      <c r="D75" s="180">
        <f>+D14</f>
        <v>95880966</v>
      </c>
      <c r="E75" s="180">
        <f>+E14</f>
        <v>98752754</v>
      </c>
      <c r="F75" s="28"/>
    </row>
    <row r="76" spans="1:6" ht="24" customHeight="1">
      <c r="A76" s="21">
        <v>9</v>
      </c>
      <c r="B76" s="45" t="s">
        <v>462</v>
      </c>
      <c r="C76" s="180">
        <v>4868890</v>
      </c>
      <c r="D76" s="180">
        <v>4944502</v>
      </c>
      <c r="E76" s="180">
        <v>4946076</v>
      </c>
      <c r="F76" s="28"/>
    </row>
    <row r="77" spans="1:6" ht="24" customHeight="1">
      <c r="A77" s="21">
        <v>10</v>
      </c>
      <c r="B77" s="45" t="s">
        <v>463</v>
      </c>
      <c r="C77" s="180">
        <f>+C75-C76</f>
        <v>82365142</v>
      </c>
      <c r="D77" s="180">
        <f>+D75-D76</f>
        <v>90936464</v>
      </c>
      <c r="E77" s="180">
        <f>+E75-E76</f>
        <v>93806678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464</v>
      </c>
      <c r="C79" s="179">
        <f>IF((C84/365)=0,0,+C83/(C84/365))</f>
        <v>36.404788617686044</v>
      </c>
      <c r="D79" s="179">
        <f>IF((D84/365)=0,0,+D83/(D84/365))</f>
        <v>40.1617938926528</v>
      </c>
      <c r="E79" s="179">
        <f>IF((E84/365)=0,0,+E83/(E84/365))</f>
        <v>34.68111127149676</v>
      </c>
      <c r="F79" s="28"/>
    </row>
    <row r="80" spans="1:6" ht="24" customHeight="1">
      <c r="A80" s="21">
        <v>12</v>
      </c>
      <c r="B80" s="188" t="s">
        <v>465</v>
      </c>
      <c r="C80" s="189">
        <v>10094863</v>
      </c>
      <c r="D80" s="189">
        <v>10991250</v>
      </c>
      <c r="E80" s="189">
        <v>10792628</v>
      </c>
      <c r="F80" s="28"/>
    </row>
    <row r="81" spans="1:6" ht="24" customHeight="1">
      <c r="A81" s="21">
        <v>13</v>
      </c>
      <c r="B81" s="188" t="s">
        <v>136</v>
      </c>
      <c r="C81" s="190">
        <v>0</v>
      </c>
      <c r="D81" s="190">
        <v>0</v>
      </c>
      <c r="E81" s="190">
        <v>0</v>
      </c>
      <c r="F81" s="28"/>
    </row>
    <row r="82" spans="1:6" ht="24" customHeight="1">
      <c r="A82" s="21">
        <v>14</v>
      </c>
      <c r="B82" s="188" t="s">
        <v>164</v>
      </c>
      <c r="C82" s="190">
        <v>1711636</v>
      </c>
      <c r="D82" s="190">
        <v>1217686</v>
      </c>
      <c r="E82" s="190">
        <v>2305128</v>
      </c>
      <c r="F82" s="28"/>
    </row>
    <row r="83" spans="1:6" ht="33.75" customHeight="1">
      <c r="A83" s="21">
        <v>15</v>
      </c>
      <c r="B83" s="45" t="s">
        <v>466</v>
      </c>
      <c r="C83" s="191">
        <f>+C80+C81-C82</f>
        <v>8383227</v>
      </c>
      <c r="D83" s="191">
        <f>+D80+D81-D82</f>
        <v>9773564</v>
      </c>
      <c r="E83" s="191">
        <f>+E80+E81-E82</f>
        <v>8487500</v>
      </c>
      <c r="F83" s="28"/>
    </row>
    <row r="84" spans="1:6" ht="24" customHeight="1">
      <c r="A84" s="21">
        <v>16</v>
      </c>
      <c r="B84" s="48" t="s">
        <v>190</v>
      </c>
      <c r="C84" s="180">
        <f>+C11</f>
        <v>84051521</v>
      </c>
      <c r="D84" s="191">
        <f>+D11</f>
        <v>88824490</v>
      </c>
      <c r="E84" s="191">
        <f>+E11</f>
        <v>89326362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467</v>
      </c>
      <c r="C86" s="179">
        <f>IF((C90/365)=0,0,+C87/(C90/365))</f>
        <v>57.555975924863944</v>
      </c>
      <c r="D86" s="179">
        <f>IF((D90/365)=0,0,+D87/(D90/365))</f>
        <v>60.50729171743472</v>
      </c>
      <c r="E86" s="179">
        <f>IF((E90/365)=0,0,+E87/(E90/365))</f>
        <v>61.05028535388494</v>
      </c>
      <c r="F86" s="13"/>
    </row>
    <row r="87" spans="1:6" ht="24" customHeight="1">
      <c r="A87" s="21">
        <v>18</v>
      </c>
      <c r="B87" s="48" t="s">
        <v>169</v>
      </c>
      <c r="C87" s="51">
        <f>+C69</f>
        <v>12987962</v>
      </c>
      <c r="D87" s="51">
        <f>+D69</f>
        <v>15074847</v>
      </c>
      <c r="E87" s="51">
        <f>+E69</f>
        <v>15690204</v>
      </c>
      <c r="F87" s="28"/>
    </row>
    <row r="88" spans="1:6" ht="24" customHeight="1">
      <c r="A88" s="21">
        <v>19</v>
      </c>
      <c r="B88" s="48" t="s">
        <v>439</v>
      </c>
      <c r="C88" s="51">
        <f aca="true" t="shared" si="0" ref="C88:E89">+C75</f>
        <v>87234032</v>
      </c>
      <c r="D88" s="51">
        <f t="shared" si="0"/>
        <v>95880966</v>
      </c>
      <c r="E88" s="51">
        <f t="shared" si="0"/>
        <v>98752754</v>
      </c>
      <c r="F88" s="28"/>
    </row>
    <row r="89" spans="1:6" ht="24" customHeight="1">
      <c r="A89" s="21">
        <v>20</v>
      </c>
      <c r="B89" s="48" t="s">
        <v>462</v>
      </c>
      <c r="C89" s="52">
        <f t="shared" si="0"/>
        <v>4868890</v>
      </c>
      <c r="D89" s="52">
        <f t="shared" si="0"/>
        <v>4944502</v>
      </c>
      <c r="E89" s="52">
        <f t="shared" si="0"/>
        <v>4946076</v>
      </c>
      <c r="F89" s="28"/>
    </row>
    <row r="90" spans="1:6" ht="24" customHeight="1">
      <c r="A90" s="21">
        <v>21</v>
      </c>
      <c r="B90" s="48" t="s">
        <v>468</v>
      </c>
      <c r="C90" s="51">
        <f>+C88-C89</f>
        <v>82365142</v>
      </c>
      <c r="D90" s="51">
        <f>+D88-D89</f>
        <v>90936464</v>
      </c>
      <c r="E90" s="51">
        <f>+E88-E89</f>
        <v>93806678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469</v>
      </c>
      <c r="B92" s="41" t="s">
        <v>470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471</v>
      </c>
      <c r="C94" s="192">
        <f>IF(C96=0,0,(C95/C96)*100)</f>
        <v>65.9831592042833</v>
      </c>
      <c r="D94" s="192">
        <f>IF(D96=0,0,(D95/D96)*100)</f>
        <v>58.669305412243055</v>
      </c>
      <c r="E94" s="192">
        <f>IF(E96=0,0,(E95/E96)*100)</f>
        <v>34.09453606000663</v>
      </c>
      <c r="F94" s="28"/>
    </row>
    <row r="95" spans="1:6" ht="24" customHeight="1">
      <c r="A95" s="21">
        <v>2</v>
      </c>
      <c r="B95" s="48" t="s">
        <v>182</v>
      </c>
      <c r="C95" s="51">
        <f>+C32</f>
        <v>47477655</v>
      </c>
      <c r="D95" s="51">
        <f>+D32</f>
        <v>43564881</v>
      </c>
      <c r="E95" s="51">
        <f>+E32</f>
        <v>23768402</v>
      </c>
      <c r="F95" s="28"/>
    </row>
    <row r="96" spans="1:6" ht="24" customHeight="1">
      <c r="A96" s="21">
        <v>3</v>
      </c>
      <c r="B96" s="48" t="s">
        <v>158</v>
      </c>
      <c r="C96" s="51">
        <v>71954201</v>
      </c>
      <c r="D96" s="51">
        <v>74254980</v>
      </c>
      <c r="E96" s="51">
        <v>69713229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472</v>
      </c>
      <c r="C98" s="192">
        <f>IF(C104=0,0,(C101/C104)*100)</f>
        <v>24.60871928941249</v>
      </c>
      <c r="D98" s="192">
        <f>IF(D104=0,0,(D101/D104)*100)</f>
        <v>15.623192945531164</v>
      </c>
      <c r="E98" s="192">
        <f>IF(E104=0,0,(E101/E104)*100)</f>
        <v>-0.9425501655942461</v>
      </c>
      <c r="F98" s="28"/>
    </row>
    <row r="99" spans="1:6" ht="24" customHeight="1">
      <c r="A99" s="21">
        <v>5</v>
      </c>
      <c r="B99" s="48" t="s">
        <v>473</v>
      </c>
      <c r="C99" s="51">
        <f>+C28</f>
        <v>920529</v>
      </c>
      <c r="D99" s="51">
        <f>+D28</f>
        <v>-1150945</v>
      </c>
      <c r="E99" s="51">
        <f>+E28</f>
        <v>-5165070</v>
      </c>
      <c r="F99" s="28"/>
    </row>
    <row r="100" spans="1:6" ht="24" customHeight="1">
      <c r="A100" s="21">
        <v>6</v>
      </c>
      <c r="B100" s="48" t="s">
        <v>462</v>
      </c>
      <c r="C100" s="52">
        <f>+C76</f>
        <v>4868890</v>
      </c>
      <c r="D100" s="52">
        <f>+D76</f>
        <v>4944502</v>
      </c>
      <c r="E100" s="52">
        <f>+E76</f>
        <v>4946076</v>
      </c>
      <c r="F100" s="28"/>
    </row>
    <row r="101" spans="1:6" ht="24" customHeight="1">
      <c r="A101" s="21">
        <v>7</v>
      </c>
      <c r="B101" s="48" t="s">
        <v>474</v>
      </c>
      <c r="C101" s="51">
        <f>+C99+C100</f>
        <v>5789419</v>
      </c>
      <c r="D101" s="51">
        <f>+D99+D100</f>
        <v>3793557</v>
      </c>
      <c r="E101" s="51">
        <f>+E99+E100</f>
        <v>-218994</v>
      </c>
      <c r="F101" s="28"/>
    </row>
    <row r="102" spans="1:6" ht="24" customHeight="1">
      <c r="A102" s="21">
        <v>8</v>
      </c>
      <c r="B102" s="48" t="s">
        <v>169</v>
      </c>
      <c r="C102" s="180">
        <f>+C69</f>
        <v>12987962</v>
      </c>
      <c r="D102" s="180">
        <f>+D69</f>
        <v>15074847</v>
      </c>
      <c r="E102" s="180">
        <f>+E69</f>
        <v>15690204</v>
      </c>
      <c r="F102" s="28"/>
    </row>
    <row r="103" spans="1:6" ht="24" customHeight="1">
      <c r="A103" s="21">
        <v>9</v>
      </c>
      <c r="B103" s="48" t="s">
        <v>173</v>
      </c>
      <c r="C103" s="194">
        <v>10537923</v>
      </c>
      <c r="D103" s="194">
        <v>9206726</v>
      </c>
      <c r="E103" s="194">
        <v>7543997</v>
      </c>
      <c r="F103" s="28"/>
    </row>
    <row r="104" spans="1:6" ht="24" customHeight="1">
      <c r="A104" s="21">
        <v>10</v>
      </c>
      <c r="B104" s="195" t="s">
        <v>475</v>
      </c>
      <c r="C104" s="180">
        <f>+C102+C103</f>
        <v>23525885</v>
      </c>
      <c r="D104" s="180">
        <f>+D102+D103</f>
        <v>24281573</v>
      </c>
      <c r="E104" s="180">
        <f>+E102+E103</f>
        <v>23234201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476</v>
      </c>
      <c r="C106" s="197">
        <f>IF(C109=0,0,(C107/C109)*100)</f>
        <v>18.16395417106764</v>
      </c>
      <c r="D106" s="197">
        <f>IF(D109=0,0,(D107/D109)*100)</f>
        <v>17.446362776104205</v>
      </c>
      <c r="E106" s="197">
        <f>IF(E109=0,0,(E107/E109)*100)</f>
        <v>24.092682901747644</v>
      </c>
      <c r="F106" s="28"/>
    </row>
    <row r="107" spans="1:6" ht="24" customHeight="1">
      <c r="A107" s="17">
        <v>12</v>
      </c>
      <c r="B107" s="48" t="s">
        <v>173</v>
      </c>
      <c r="C107" s="180">
        <f>+C103</f>
        <v>10537923</v>
      </c>
      <c r="D107" s="180">
        <f>+D103</f>
        <v>9206726</v>
      </c>
      <c r="E107" s="180">
        <f>+E103</f>
        <v>7543997</v>
      </c>
      <c r="F107" s="28"/>
    </row>
    <row r="108" spans="1:6" ht="24" customHeight="1">
      <c r="A108" s="17">
        <v>13</v>
      </c>
      <c r="B108" s="48" t="s">
        <v>182</v>
      </c>
      <c r="C108" s="180">
        <f>+C32</f>
        <v>47477655</v>
      </c>
      <c r="D108" s="180">
        <f>+D32</f>
        <v>43564881</v>
      </c>
      <c r="E108" s="180">
        <f>+E32</f>
        <v>23768402</v>
      </c>
      <c r="F108" s="28"/>
    </row>
    <row r="109" spans="1:6" ht="24" customHeight="1">
      <c r="A109" s="17">
        <v>14</v>
      </c>
      <c r="B109" s="48" t="s">
        <v>477</v>
      </c>
      <c r="C109" s="180">
        <f>+C107+C108</f>
        <v>58015578</v>
      </c>
      <c r="D109" s="180">
        <f>+D107+D108</f>
        <v>52771607</v>
      </c>
      <c r="E109" s="180">
        <f>+E107+E108</f>
        <v>31312399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478</v>
      </c>
      <c r="C111" s="197">
        <f>IF((+C113+C115)=0,0,((+C112+C113+C114)/(+C113+C115)))</f>
        <v>7.447359101600085</v>
      </c>
      <c r="D111" s="197">
        <f>IF((+D113+D115)=0,0,((+D112+D113+D114)/(+D113+D115)))</f>
        <v>6.191689316242825</v>
      </c>
      <c r="E111" s="197">
        <f>IF((+E113+E115)=0,0,((+E112+E113+E114)/(+E113+E115)))</f>
        <v>0.2186404918034357</v>
      </c>
    </row>
    <row r="112" spans="1:6" ht="24" customHeight="1">
      <c r="A112" s="17">
        <v>16</v>
      </c>
      <c r="B112" s="48" t="s">
        <v>479</v>
      </c>
      <c r="C112" s="180">
        <f>+C17</f>
        <v>920529</v>
      </c>
      <c r="D112" s="180">
        <f>+D17</f>
        <v>-1150945</v>
      </c>
      <c r="E112" s="180">
        <f>+E17</f>
        <v>-5165070</v>
      </c>
      <c r="F112" s="28"/>
    </row>
    <row r="113" spans="1:6" ht="24" customHeight="1">
      <c r="A113" s="17">
        <v>17</v>
      </c>
      <c r="B113" s="48" t="s">
        <v>301</v>
      </c>
      <c r="C113" s="180">
        <v>897952</v>
      </c>
      <c r="D113" s="180">
        <v>730698</v>
      </c>
      <c r="E113" s="180">
        <v>675584</v>
      </c>
      <c r="F113" s="28"/>
    </row>
    <row r="114" spans="1:6" ht="24" customHeight="1">
      <c r="A114" s="17">
        <v>18</v>
      </c>
      <c r="B114" s="48" t="s">
        <v>480</v>
      </c>
      <c r="C114" s="180">
        <v>4868890</v>
      </c>
      <c r="D114" s="180">
        <v>4944502</v>
      </c>
      <c r="E114" s="180">
        <v>4946076</v>
      </c>
      <c r="F114" s="28"/>
    </row>
    <row r="115" spans="1:6" ht="24" customHeight="1">
      <c r="A115" s="17">
        <v>19</v>
      </c>
      <c r="B115" s="48" t="s">
        <v>217</v>
      </c>
      <c r="C115" s="180">
        <v>0</v>
      </c>
      <c r="D115" s="180">
        <v>0</v>
      </c>
      <c r="E115" s="180">
        <v>1412730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481</v>
      </c>
      <c r="B117" s="30" t="s">
        <v>482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483</v>
      </c>
      <c r="C119" s="197">
        <f>IF(+C121=0,0,(+C120)/(+C121))</f>
        <v>10.39226682056896</v>
      </c>
      <c r="D119" s="197">
        <f>IF(+D121=0,0,(+D120)/(+D121))</f>
        <v>11.233347059016257</v>
      </c>
      <c r="E119" s="197">
        <f>IF(+E121=0,0,(+E120)/(+E121))</f>
        <v>12.229772449917874</v>
      </c>
    </row>
    <row r="120" spans="1:6" ht="24" customHeight="1">
      <c r="A120" s="17">
        <v>21</v>
      </c>
      <c r="B120" s="48" t="s">
        <v>484</v>
      </c>
      <c r="C120" s="180">
        <v>50598804</v>
      </c>
      <c r="D120" s="180">
        <v>55543307</v>
      </c>
      <c r="E120" s="180">
        <v>60489384</v>
      </c>
      <c r="F120" s="28"/>
    </row>
    <row r="121" spans="1:6" ht="24" customHeight="1">
      <c r="A121" s="17">
        <v>22</v>
      </c>
      <c r="B121" s="48" t="s">
        <v>480</v>
      </c>
      <c r="C121" s="180">
        <v>4868890</v>
      </c>
      <c r="D121" s="180">
        <v>4944502</v>
      </c>
      <c r="E121" s="180">
        <v>4946076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485</v>
      </c>
      <c r="B123" s="30" t="s">
        <v>486</v>
      </c>
      <c r="C123" s="27"/>
      <c r="D123" s="27"/>
      <c r="E123" s="53"/>
    </row>
    <row r="124" spans="1:5" ht="24" customHeight="1">
      <c r="A124" s="44">
        <v>1</v>
      </c>
      <c r="B124" s="48" t="s">
        <v>487</v>
      </c>
      <c r="C124" s="198">
        <v>11268</v>
      </c>
      <c r="D124" s="198">
        <v>11785</v>
      </c>
      <c r="E124" s="198">
        <v>9874</v>
      </c>
    </row>
    <row r="125" spans="1:5" ht="24" customHeight="1">
      <c r="A125" s="44">
        <v>2</v>
      </c>
      <c r="B125" s="48" t="s">
        <v>488</v>
      </c>
      <c r="C125" s="198">
        <v>2845</v>
      </c>
      <c r="D125" s="198">
        <v>3032</v>
      </c>
      <c r="E125" s="198">
        <v>2774</v>
      </c>
    </row>
    <row r="126" spans="1:5" ht="24" customHeight="1">
      <c r="A126" s="44">
        <v>3</v>
      </c>
      <c r="B126" s="48" t="s">
        <v>489</v>
      </c>
      <c r="C126" s="199">
        <f>IF(C125=0,0,C124/C125)</f>
        <v>3.960632688927944</v>
      </c>
      <c r="D126" s="199">
        <f>IF(D125=0,0,D124/D125)</f>
        <v>3.8868733509234827</v>
      </c>
      <c r="E126" s="199">
        <f>IF(E125=0,0,E124/E125)</f>
        <v>3.5594808940158615</v>
      </c>
    </row>
    <row r="127" spans="1:5" ht="24" customHeight="1">
      <c r="A127" s="44">
        <v>4</v>
      </c>
      <c r="B127" s="48" t="s">
        <v>490</v>
      </c>
      <c r="C127" s="198">
        <v>35</v>
      </c>
      <c r="D127" s="198">
        <v>37</v>
      </c>
      <c r="E127" s="198">
        <v>32</v>
      </c>
    </row>
    <row r="128" spans="1:8" ht="24" customHeight="1">
      <c r="A128" s="44">
        <v>5</v>
      </c>
      <c r="B128" s="48" t="s">
        <v>491</v>
      </c>
      <c r="C128" s="198">
        <v>0</v>
      </c>
      <c r="D128" s="198">
        <v>0</v>
      </c>
      <c r="E128" s="198">
        <v>95</v>
      </c>
      <c r="G128" s="6"/>
      <c r="H128" s="12"/>
    </row>
    <row r="129" spans="1:8" ht="24" customHeight="1">
      <c r="A129" s="44">
        <v>6</v>
      </c>
      <c r="B129" s="48" t="s">
        <v>492</v>
      </c>
      <c r="C129" s="198">
        <v>95</v>
      </c>
      <c r="D129" s="198">
        <v>95</v>
      </c>
      <c r="E129" s="198">
        <v>95</v>
      </c>
      <c r="G129" s="6"/>
      <c r="H129" s="12"/>
    </row>
    <row r="130" spans="1:5" ht="24" customHeight="1">
      <c r="A130" s="44">
        <v>6</v>
      </c>
      <c r="B130" s="48" t="s">
        <v>493</v>
      </c>
      <c r="C130" s="171">
        <v>0.882</v>
      </c>
      <c r="D130" s="171">
        <v>0.8726</v>
      </c>
      <c r="E130" s="171">
        <v>0.8453</v>
      </c>
    </row>
    <row r="131" spans="1:5" ht="24" customHeight="1">
      <c r="A131" s="44">
        <v>7</v>
      </c>
      <c r="B131" s="48" t="s">
        <v>494</v>
      </c>
      <c r="C131" s="171">
        <v>0.3249</v>
      </c>
      <c r="D131" s="171">
        <v>0.3398</v>
      </c>
      <c r="E131" s="171">
        <v>0.2847</v>
      </c>
    </row>
    <row r="132" spans="1:5" ht="24" customHeight="1">
      <c r="A132" s="44">
        <v>8</v>
      </c>
      <c r="B132" s="48" t="s">
        <v>495</v>
      </c>
      <c r="C132" s="199">
        <v>470.3</v>
      </c>
      <c r="D132" s="199">
        <v>488.1</v>
      </c>
      <c r="E132" s="199">
        <v>488.8</v>
      </c>
    </row>
    <row r="133" ht="24" customHeight="1">
      <c r="B133" s="55"/>
    </row>
    <row r="134" spans="1:6" ht="19.5" customHeight="1">
      <c r="A134" s="200" t="s">
        <v>127</v>
      </c>
      <c r="B134" s="30" t="s">
        <v>496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497</v>
      </c>
      <c r="C135" s="203">
        <f>IF(C149=0,0,C143/C149)</f>
        <v>0.5104172886901458</v>
      </c>
      <c r="D135" s="203">
        <f>IF(D149=0,0,D143/D149)</f>
        <v>0.47644198299401713</v>
      </c>
      <c r="E135" s="203">
        <f>IF(E149=0,0,E143/E149)</f>
        <v>0.4791229288135753</v>
      </c>
      <c r="G135" s="6"/>
    </row>
    <row r="136" spans="1:5" ht="19.5" customHeight="1">
      <c r="A136" s="202">
        <v>2</v>
      </c>
      <c r="B136" s="195" t="s">
        <v>498</v>
      </c>
      <c r="C136" s="203">
        <f>IF(C149=0,0,C144/C149)</f>
        <v>0.41517980059719756</v>
      </c>
      <c r="D136" s="203">
        <f>IF(D149=0,0,D144/D149)</f>
        <v>0.4515744880426734</v>
      </c>
      <c r="E136" s="203">
        <f>IF(E149=0,0,E144/E149)</f>
        <v>0.45229980709582585</v>
      </c>
    </row>
    <row r="137" spans="1:7" ht="19.5" customHeight="1">
      <c r="A137" s="202">
        <v>3</v>
      </c>
      <c r="B137" s="195" t="s">
        <v>499</v>
      </c>
      <c r="C137" s="203">
        <f>IF(C149=0,0,C145/C149)</f>
        <v>0.03565146329937387</v>
      </c>
      <c r="D137" s="203">
        <f>IF(D149=0,0,D145/D149)</f>
        <v>0.035378682202117644</v>
      </c>
      <c r="E137" s="203">
        <f>IF(E149=0,0,E145/E149)</f>
        <v>0.040857510788769105</v>
      </c>
      <c r="G137" s="6"/>
    </row>
    <row r="138" spans="1:7" ht="19.5" customHeight="1">
      <c r="A138" s="202">
        <v>4</v>
      </c>
      <c r="B138" s="195" t="s">
        <v>500</v>
      </c>
      <c r="C138" s="203">
        <f>IF(C149=0,0,C146/C149)</f>
        <v>0.013074287620109962</v>
      </c>
      <c r="D138" s="203">
        <f>IF(D149=0,0,D146/D149)</f>
        <v>0.01128876954865831</v>
      </c>
      <c r="E138" s="203">
        <f>IF(E149=0,0,E146/E149)</f>
        <v>0.0065767524451190214</v>
      </c>
      <c r="G138" s="6"/>
    </row>
    <row r="139" spans="1:5" ht="19.5" customHeight="1">
      <c r="A139" s="202">
        <v>5</v>
      </c>
      <c r="B139" s="195" t="s">
        <v>501</v>
      </c>
      <c r="C139" s="203">
        <f>IF(C149=0,0,C147/C149)</f>
        <v>0.023664145306437723</v>
      </c>
      <c r="D139" s="203">
        <f>IF(D149=0,0,D147/D149)</f>
        <v>0.024243597405238848</v>
      </c>
      <c r="E139" s="203">
        <f>IF(E149=0,0,E147/E149)</f>
        <v>0.0199377504930995</v>
      </c>
    </row>
    <row r="140" spans="1:5" ht="19.5" customHeight="1">
      <c r="A140" s="202">
        <v>6</v>
      </c>
      <c r="B140" s="195" t="s">
        <v>502</v>
      </c>
      <c r="C140" s="203">
        <f>IF(C149=0,0,C148/C149)</f>
        <v>0.0020130144867350937</v>
      </c>
      <c r="D140" s="203">
        <f>IF(D149=0,0,D148/D149)</f>
        <v>0.00107247980729466</v>
      </c>
      <c r="E140" s="203">
        <f>IF(E149=0,0,E148/E149)</f>
        <v>0.0012052503636112244</v>
      </c>
    </row>
    <row r="141" spans="1:5" ht="19.5" customHeight="1">
      <c r="A141" s="202">
        <v>7</v>
      </c>
      <c r="B141" s="195" t="s">
        <v>503</v>
      </c>
      <c r="C141" s="203">
        <f>SUM(C135:C140)</f>
        <v>0.9999999999999999</v>
      </c>
      <c r="D141" s="203">
        <f>SUM(D135:D140)</f>
        <v>0.9999999999999999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504</v>
      </c>
      <c r="C143" s="204">
        <f>+C46-C147</f>
        <v>100161509</v>
      </c>
      <c r="D143" s="205">
        <f>+D46-D147</f>
        <v>102378537</v>
      </c>
      <c r="E143" s="205">
        <f>+E46-E147</f>
        <v>110596764</v>
      </c>
    </row>
    <row r="144" spans="1:5" ht="19.5" customHeight="1">
      <c r="A144" s="202">
        <v>9</v>
      </c>
      <c r="B144" s="201" t="s">
        <v>505</v>
      </c>
      <c r="C144" s="206">
        <f>+C51</f>
        <v>81472623</v>
      </c>
      <c r="D144" s="205">
        <f>+D51</f>
        <v>97034974</v>
      </c>
      <c r="E144" s="205">
        <f>+E51</f>
        <v>104405137</v>
      </c>
    </row>
    <row r="145" spans="1:5" ht="19.5" customHeight="1">
      <c r="A145" s="202">
        <v>10</v>
      </c>
      <c r="B145" s="201" t="s">
        <v>506</v>
      </c>
      <c r="C145" s="206">
        <f>+C55</f>
        <v>6996049</v>
      </c>
      <c r="D145" s="205">
        <f>+D55</f>
        <v>7602222</v>
      </c>
      <c r="E145" s="205">
        <f>+E55</f>
        <v>9431209</v>
      </c>
    </row>
    <row r="146" spans="1:5" ht="19.5" customHeight="1">
      <c r="A146" s="202">
        <v>11</v>
      </c>
      <c r="B146" s="201" t="s">
        <v>507</v>
      </c>
      <c r="C146" s="204">
        <v>2565627</v>
      </c>
      <c r="D146" s="205">
        <v>2425747</v>
      </c>
      <c r="E146" s="205">
        <v>1518123</v>
      </c>
    </row>
    <row r="147" spans="1:5" ht="19.5" customHeight="1">
      <c r="A147" s="202">
        <v>12</v>
      </c>
      <c r="B147" s="201" t="s">
        <v>508</v>
      </c>
      <c r="C147" s="206">
        <f>+C47</f>
        <v>4643723</v>
      </c>
      <c r="D147" s="205">
        <f>+D47</f>
        <v>5209499</v>
      </c>
      <c r="E147" s="205">
        <f>+E47</f>
        <v>4602265</v>
      </c>
    </row>
    <row r="148" spans="1:5" ht="19.5" customHeight="1">
      <c r="A148" s="202">
        <v>13</v>
      </c>
      <c r="B148" s="201" t="s">
        <v>509</v>
      </c>
      <c r="C148" s="206">
        <v>395023</v>
      </c>
      <c r="D148" s="205">
        <v>230456</v>
      </c>
      <c r="E148" s="205">
        <v>278210</v>
      </c>
    </row>
    <row r="149" spans="1:5" ht="19.5" customHeight="1">
      <c r="A149" s="202">
        <v>14</v>
      </c>
      <c r="B149" s="201" t="s">
        <v>510</v>
      </c>
      <c r="C149" s="204">
        <f>SUM(C143:C148)</f>
        <v>196234554</v>
      </c>
      <c r="D149" s="205">
        <f>SUM(D143:D148)</f>
        <v>214881435</v>
      </c>
      <c r="E149" s="205">
        <f>SUM(E143:E148)</f>
        <v>230831708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511</v>
      </c>
      <c r="B151" s="30" t="s">
        <v>512</v>
      </c>
      <c r="C151" s="201"/>
      <c r="D151" s="201"/>
      <c r="E151" s="201"/>
    </row>
    <row r="152" spans="1:5" ht="19.5" customHeight="1">
      <c r="A152" s="202">
        <v>1</v>
      </c>
      <c r="B152" s="195" t="s">
        <v>513</v>
      </c>
      <c r="C152" s="203">
        <f>IF(C166=0,0,C160/C166)</f>
        <v>0.6665052059909465</v>
      </c>
      <c r="D152" s="203">
        <f>IF(D166=0,0,D160/D166)</f>
        <v>0.6096865407162685</v>
      </c>
      <c r="E152" s="203">
        <f>IF(E166=0,0,E160/E166)</f>
        <v>0.6458435600470434</v>
      </c>
    </row>
    <row r="153" spans="1:5" ht="19.5" customHeight="1">
      <c r="A153" s="202">
        <v>2</v>
      </c>
      <c r="B153" s="195" t="s">
        <v>514</v>
      </c>
      <c r="C153" s="203">
        <f>IF(C166=0,0,C161/C166)</f>
        <v>0.2721477861594979</v>
      </c>
      <c r="D153" s="203">
        <f>IF(D166=0,0,D161/D166)</f>
        <v>0.33445215015347246</v>
      </c>
      <c r="E153" s="203">
        <f>IF(E166=0,0,E161/E166)</f>
        <v>0.31391942469918654</v>
      </c>
    </row>
    <row r="154" spans="1:5" ht="19.5" customHeight="1">
      <c r="A154" s="202">
        <v>3</v>
      </c>
      <c r="B154" s="195" t="s">
        <v>515</v>
      </c>
      <c r="C154" s="203">
        <f>IF(C166=0,0,C162/C166)</f>
        <v>0.026948366646420717</v>
      </c>
      <c r="D154" s="203">
        <f>IF(D166=0,0,D162/D166)</f>
        <v>0.027759848862248575</v>
      </c>
      <c r="E154" s="203">
        <f>IF(E166=0,0,E162/E166)</f>
        <v>0.03187504944476232</v>
      </c>
    </row>
    <row r="155" spans="1:7" ht="19.5" customHeight="1">
      <c r="A155" s="202">
        <v>4</v>
      </c>
      <c r="B155" s="195" t="s">
        <v>516</v>
      </c>
      <c r="C155" s="203">
        <f>IF(C166=0,0,C163/C166)</f>
        <v>0.009000378645623242</v>
      </c>
      <c r="D155" s="203">
        <f>IF(D166=0,0,D163/D166)</f>
        <v>0.007678659128049138</v>
      </c>
      <c r="E155" s="203">
        <f>IF(E166=0,0,E163/E166)</f>
        <v>0.004542728102189357</v>
      </c>
      <c r="G155" s="6"/>
    </row>
    <row r="156" spans="1:5" ht="19.5" customHeight="1">
      <c r="A156" s="202">
        <v>5</v>
      </c>
      <c r="B156" s="195" t="s">
        <v>517</v>
      </c>
      <c r="C156" s="203">
        <f>IF(C166=0,0,C164/C166)</f>
        <v>0.024096043075962494</v>
      </c>
      <c r="D156" s="203">
        <f>IF(D166=0,0,D164/D166)</f>
        <v>0.019587263992544318</v>
      </c>
      <c r="E156" s="203">
        <f>IF(E166=0,0,E164/E166)</f>
        <v>0.002910719958941859</v>
      </c>
    </row>
    <row r="157" spans="1:5" ht="19.5" customHeight="1">
      <c r="A157" s="202">
        <v>6</v>
      </c>
      <c r="B157" s="195" t="s">
        <v>518</v>
      </c>
      <c r="C157" s="203">
        <f>IF(C166=0,0,C165/C166)</f>
        <v>0.0013022194815491396</v>
      </c>
      <c r="D157" s="203">
        <f>IF(D166=0,0,D165/D166)</f>
        <v>0.0008355371474170205</v>
      </c>
      <c r="E157" s="203">
        <f>IF(E166=0,0,E165/E166)</f>
        <v>0.0009085177478766102</v>
      </c>
    </row>
    <row r="158" spans="1:5" ht="19.5" customHeight="1">
      <c r="A158" s="202">
        <v>7</v>
      </c>
      <c r="B158" s="195" t="s">
        <v>519</v>
      </c>
      <c r="C158" s="203">
        <f>SUM(C152:C157)</f>
        <v>1</v>
      </c>
      <c r="D158" s="203">
        <f>SUM(D152:D157)</f>
        <v>0.9999999999999999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520</v>
      </c>
      <c r="C160" s="207">
        <f>+C44-C164</f>
        <v>53907191</v>
      </c>
      <c r="D160" s="208">
        <f>+D44-D164</f>
        <v>51880522</v>
      </c>
      <c r="E160" s="208">
        <f>+E44-E164</f>
        <v>55611127</v>
      </c>
    </row>
    <row r="161" spans="1:5" ht="19.5" customHeight="1">
      <c r="A161" s="202">
        <v>9</v>
      </c>
      <c r="B161" s="201" t="s">
        <v>521</v>
      </c>
      <c r="C161" s="209">
        <f>+C50</f>
        <v>22011415</v>
      </c>
      <c r="D161" s="208">
        <f>+D50</f>
        <v>28459792</v>
      </c>
      <c r="E161" s="208">
        <f>+E50</f>
        <v>27030405</v>
      </c>
    </row>
    <row r="162" spans="1:5" ht="19.5" customHeight="1">
      <c r="A162" s="202">
        <v>10</v>
      </c>
      <c r="B162" s="201" t="s">
        <v>522</v>
      </c>
      <c r="C162" s="209">
        <f>+C54</f>
        <v>2179594</v>
      </c>
      <c r="D162" s="208">
        <f>+D54</f>
        <v>2362190</v>
      </c>
      <c r="E162" s="208">
        <f>+E54</f>
        <v>2744639</v>
      </c>
    </row>
    <row r="163" spans="1:5" ht="19.5" customHeight="1">
      <c r="A163" s="202">
        <v>11</v>
      </c>
      <c r="B163" s="201" t="s">
        <v>523</v>
      </c>
      <c r="C163" s="207">
        <v>727954</v>
      </c>
      <c r="D163" s="208">
        <v>653406</v>
      </c>
      <c r="E163" s="208">
        <v>391157</v>
      </c>
    </row>
    <row r="164" spans="1:5" ht="19.5" customHeight="1">
      <c r="A164" s="202">
        <v>12</v>
      </c>
      <c r="B164" s="201" t="s">
        <v>524</v>
      </c>
      <c r="C164" s="209">
        <f>+C45</f>
        <v>1948897</v>
      </c>
      <c r="D164" s="208">
        <f>+D45</f>
        <v>1666754</v>
      </c>
      <c r="E164" s="208">
        <f>+E45</f>
        <v>250631</v>
      </c>
    </row>
    <row r="165" spans="1:5" ht="19.5" customHeight="1">
      <c r="A165" s="202">
        <v>13</v>
      </c>
      <c r="B165" s="201" t="s">
        <v>525</v>
      </c>
      <c r="C165" s="209">
        <v>105324</v>
      </c>
      <c r="D165" s="208">
        <v>71099</v>
      </c>
      <c r="E165" s="208">
        <v>78229</v>
      </c>
    </row>
    <row r="166" spans="1:5" ht="19.5" customHeight="1">
      <c r="A166" s="202">
        <v>14</v>
      </c>
      <c r="B166" s="201" t="s">
        <v>526</v>
      </c>
      <c r="C166" s="207">
        <f>SUM(C160:C165)</f>
        <v>80880375</v>
      </c>
      <c r="D166" s="208">
        <f>SUM(D160:D165)</f>
        <v>85093763</v>
      </c>
      <c r="E166" s="208">
        <f>SUM(E160:E165)</f>
        <v>86106188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527</v>
      </c>
      <c r="B168" s="30" t="s">
        <v>488</v>
      </c>
      <c r="C168" s="201"/>
      <c r="D168" s="201"/>
      <c r="E168" s="201"/>
    </row>
    <row r="169" spans="1:5" ht="19.5" customHeight="1">
      <c r="A169" s="202">
        <v>1</v>
      </c>
      <c r="B169" s="201" t="s">
        <v>528</v>
      </c>
      <c r="C169" s="198">
        <v>1437</v>
      </c>
      <c r="D169" s="198">
        <v>1513</v>
      </c>
      <c r="E169" s="198">
        <v>1285</v>
      </c>
    </row>
    <row r="170" spans="1:5" ht="19.5" customHeight="1">
      <c r="A170" s="202">
        <v>2</v>
      </c>
      <c r="B170" s="201" t="s">
        <v>529</v>
      </c>
      <c r="C170" s="198">
        <v>1220</v>
      </c>
      <c r="D170" s="198">
        <v>1290</v>
      </c>
      <c r="E170" s="198">
        <v>1248</v>
      </c>
    </row>
    <row r="171" spans="1:5" ht="19.5" customHeight="1">
      <c r="A171" s="202">
        <v>3</v>
      </c>
      <c r="B171" s="201" t="s">
        <v>530</v>
      </c>
      <c r="C171" s="198">
        <v>182</v>
      </c>
      <c r="D171" s="198">
        <v>228</v>
      </c>
      <c r="E171" s="198">
        <v>235</v>
      </c>
    </row>
    <row r="172" spans="1:5" ht="19.5" customHeight="1">
      <c r="A172" s="202">
        <v>4</v>
      </c>
      <c r="B172" s="201" t="s">
        <v>531</v>
      </c>
      <c r="C172" s="198">
        <v>159</v>
      </c>
      <c r="D172" s="198">
        <v>196</v>
      </c>
      <c r="E172" s="198">
        <v>208</v>
      </c>
    </row>
    <row r="173" spans="1:5" ht="19.5" customHeight="1">
      <c r="A173" s="202">
        <v>5</v>
      </c>
      <c r="B173" s="201" t="s">
        <v>532</v>
      </c>
      <c r="C173" s="198">
        <v>23</v>
      </c>
      <c r="D173" s="198">
        <v>32</v>
      </c>
      <c r="E173" s="198">
        <v>27</v>
      </c>
    </row>
    <row r="174" spans="1:5" ht="19.5" customHeight="1">
      <c r="A174" s="202">
        <v>6</v>
      </c>
      <c r="B174" s="201" t="s">
        <v>533</v>
      </c>
      <c r="C174" s="198">
        <v>6</v>
      </c>
      <c r="D174" s="198">
        <v>1</v>
      </c>
      <c r="E174" s="198">
        <v>6</v>
      </c>
    </row>
    <row r="175" spans="1:5" ht="19.5" customHeight="1">
      <c r="A175" s="202">
        <v>7</v>
      </c>
      <c r="B175" s="201" t="s">
        <v>534</v>
      </c>
      <c r="C175" s="198">
        <v>70</v>
      </c>
      <c r="D175" s="198">
        <v>82</v>
      </c>
      <c r="E175" s="198">
        <v>60</v>
      </c>
    </row>
    <row r="176" spans="1:5" ht="19.5" customHeight="1">
      <c r="A176" s="202">
        <v>8</v>
      </c>
      <c r="B176" s="201" t="s">
        <v>535</v>
      </c>
      <c r="C176" s="198">
        <f>+C169+C170+C171+C174</f>
        <v>2845</v>
      </c>
      <c r="D176" s="198">
        <f>+D169+D170+D171+D174</f>
        <v>3032</v>
      </c>
      <c r="E176" s="198">
        <f>+E169+E170+E171+E174</f>
        <v>2774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536</v>
      </c>
      <c r="B178" s="30" t="s">
        <v>537</v>
      </c>
      <c r="C178" s="201"/>
      <c r="D178" s="201"/>
      <c r="E178" s="201"/>
    </row>
    <row r="179" spans="1:5" ht="19.5" customHeight="1">
      <c r="A179" s="202">
        <v>1</v>
      </c>
      <c r="B179" s="201" t="s">
        <v>528</v>
      </c>
      <c r="C179" s="210">
        <v>1.088</v>
      </c>
      <c r="D179" s="210">
        <v>1.1242</v>
      </c>
      <c r="E179" s="210">
        <v>1.1383</v>
      </c>
    </row>
    <row r="180" spans="1:5" ht="19.5" customHeight="1">
      <c r="A180" s="202">
        <v>2</v>
      </c>
      <c r="B180" s="201" t="s">
        <v>529</v>
      </c>
      <c r="C180" s="210">
        <v>1.427</v>
      </c>
      <c r="D180" s="210">
        <v>1.5251</v>
      </c>
      <c r="E180" s="210">
        <v>1.5634</v>
      </c>
    </row>
    <row r="181" spans="1:5" ht="19.5" customHeight="1">
      <c r="A181" s="202">
        <v>3</v>
      </c>
      <c r="B181" s="201" t="s">
        <v>530</v>
      </c>
      <c r="C181" s="210">
        <v>0.757815</v>
      </c>
      <c r="D181" s="210">
        <v>0.910108</v>
      </c>
      <c r="E181" s="210">
        <v>0.781677</v>
      </c>
    </row>
    <row r="182" spans="1:5" ht="19.5" customHeight="1">
      <c r="A182" s="202">
        <v>4</v>
      </c>
      <c r="B182" s="201" t="s">
        <v>531</v>
      </c>
      <c r="C182" s="210">
        <v>0.7184</v>
      </c>
      <c r="D182" s="210">
        <v>0.8234</v>
      </c>
      <c r="E182" s="210">
        <v>0.753</v>
      </c>
    </row>
    <row r="183" spans="1:5" ht="19.5" customHeight="1">
      <c r="A183" s="202">
        <v>5</v>
      </c>
      <c r="B183" s="201" t="s">
        <v>532</v>
      </c>
      <c r="C183" s="210">
        <v>1.0303</v>
      </c>
      <c r="D183" s="210">
        <v>1.4412</v>
      </c>
      <c r="E183" s="210">
        <v>1.0026</v>
      </c>
    </row>
    <row r="184" spans="1:5" ht="19.5" customHeight="1">
      <c r="A184" s="202">
        <v>6</v>
      </c>
      <c r="B184" s="201" t="s">
        <v>533</v>
      </c>
      <c r="C184" s="210">
        <v>0.9888</v>
      </c>
      <c r="D184" s="210">
        <v>1.99</v>
      </c>
      <c r="E184" s="210">
        <v>0.6283</v>
      </c>
    </row>
    <row r="185" spans="1:5" ht="19.5" customHeight="1">
      <c r="A185" s="202">
        <v>7</v>
      </c>
      <c r="B185" s="201" t="s">
        <v>534</v>
      </c>
      <c r="C185" s="210">
        <v>1.1888</v>
      </c>
      <c r="D185" s="210">
        <v>1.0282</v>
      </c>
      <c r="E185" s="210">
        <v>1.0884</v>
      </c>
    </row>
    <row r="186" spans="1:5" ht="19.5" customHeight="1">
      <c r="A186" s="202">
        <v>8</v>
      </c>
      <c r="B186" s="201" t="s">
        <v>538</v>
      </c>
      <c r="C186" s="210">
        <v>1.212039</v>
      </c>
      <c r="D186" s="210">
        <v>1.278953</v>
      </c>
      <c r="E186" s="210">
        <v>1.298234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539</v>
      </c>
      <c r="B188" s="30" t="s">
        <v>540</v>
      </c>
      <c r="C188" s="201"/>
      <c r="D188" s="201"/>
      <c r="E188" s="201"/>
    </row>
    <row r="189" spans="1:5" ht="19.5" customHeight="1">
      <c r="A189" s="202">
        <v>1</v>
      </c>
      <c r="B189" s="201" t="s">
        <v>541</v>
      </c>
      <c r="C189" s="198">
        <v>1659</v>
      </c>
      <c r="D189" s="198">
        <v>1794</v>
      </c>
      <c r="E189" s="198">
        <v>1957</v>
      </c>
    </row>
    <row r="190" spans="1:5" ht="19.5" customHeight="1">
      <c r="A190" s="202">
        <v>2</v>
      </c>
      <c r="B190" s="201" t="s">
        <v>542</v>
      </c>
      <c r="C190" s="198">
        <v>17650</v>
      </c>
      <c r="D190" s="198">
        <v>17759</v>
      </c>
      <c r="E190" s="198">
        <v>17189</v>
      </c>
    </row>
    <row r="191" spans="1:5" ht="19.5" customHeight="1">
      <c r="A191" s="202">
        <v>3</v>
      </c>
      <c r="B191" s="201" t="s">
        <v>543</v>
      </c>
      <c r="C191" s="198">
        <f>+C190+C189</f>
        <v>19309</v>
      </c>
      <c r="D191" s="198">
        <f>+D190+D189</f>
        <v>19553</v>
      </c>
      <c r="E191" s="198">
        <f>+E190+E189</f>
        <v>19146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FILING&amp;RNEW MILFORD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6" sqref="A6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5" width="21.14062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544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269</v>
      </c>
      <c r="B8" s="221" t="s">
        <v>124</v>
      </c>
      <c r="C8" s="222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25"/>
      <c r="B9" s="226"/>
      <c r="C9" s="676"/>
      <c r="D9" s="677"/>
      <c r="E9" s="677"/>
      <c r="F9" s="678"/>
      <c r="G9" s="212"/>
    </row>
    <row r="10" spans="1:6" ht="20.25" customHeight="1">
      <c r="A10" s="679" t="s">
        <v>127</v>
      </c>
      <c r="B10" s="681" t="s">
        <v>228</v>
      </c>
      <c r="C10" s="683"/>
      <c r="D10" s="684"/>
      <c r="E10" s="684"/>
      <c r="F10" s="685"/>
    </row>
    <row r="11" spans="1:6" ht="20.25" customHeight="1">
      <c r="A11" s="680"/>
      <c r="B11" s="682"/>
      <c r="C11" s="686"/>
      <c r="D11" s="660"/>
      <c r="E11" s="660"/>
      <c r="F11" s="661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225</v>
      </c>
      <c r="B13" s="231" t="s">
        <v>548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32211</v>
      </c>
      <c r="D14" s="237">
        <v>34591</v>
      </c>
      <c r="E14" s="237">
        <f aca="true" t="shared" si="0" ref="E14:E24">D14-C14</f>
        <v>2380</v>
      </c>
      <c r="F14" s="238">
        <f aca="true" t="shared" si="1" ref="F14:F24">IF(C14=0,0,E14/C14)</f>
        <v>0.0738878023035609</v>
      </c>
    </row>
    <row r="15" spans="1:6" ht="20.25" customHeight="1">
      <c r="A15" s="235">
        <v>2</v>
      </c>
      <c r="B15" s="236" t="s">
        <v>550</v>
      </c>
      <c r="C15" s="237">
        <v>10873</v>
      </c>
      <c r="D15" s="237">
        <v>12582</v>
      </c>
      <c r="E15" s="237">
        <f t="shared" si="0"/>
        <v>1709</v>
      </c>
      <c r="F15" s="238">
        <f t="shared" si="1"/>
        <v>0.1571783316471995</v>
      </c>
    </row>
    <row r="16" spans="1:6" ht="20.25" customHeight="1">
      <c r="A16" s="235">
        <v>3</v>
      </c>
      <c r="B16" s="236" t="s">
        <v>551</v>
      </c>
      <c r="C16" s="237">
        <v>36799</v>
      </c>
      <c r="D16" s="237">
        <v>85723</v>
      </c>
      <c r="E16" s="237">
        <f t="shared" si="0"/>
        <v>48924</v>
      </c>
      <c r="F16" s="238">
        <f t="shared" si="1"/>
        <v>1.3294926492567734</v>
      </c>
    </row>
    <row r="17" spans="1:6" ht="20.25" customHeight="1">
      <c r="A17" s="235">
        <v>4</v>
      </c>
      <c r="B17" s="236" t="s">
        <v>552</v>
      </c>
      <c r="C17" s="237">
        <v>15648</v>
      </c>
      <c r="D17" s="237">
        <v>25502</v>
      </c>
      <c r="E17" s="237">
        <f t="shared" si="0"/>
        <v>9854</v>
      </c>
      <c r="F17" s="238">
        <f t="shared" si="1"/>
        <v>0.6297290388548057</v>
      </c>
    </row>
    <row r="18" spans="1:6" ht="20.25" customHeight="1">
      <c r="A18" s="235">
        <v>5</v>
      </c>
      <c r="B18" s="236" t="s">
        <v>488</v>
      </c>
      <c r="C18" s="239">
        <v>2</v>
      </c>
      <c r="D18" s="239">
        <v>1</v>
      </c>
      <c r="E18" s="239">
        <f t="shared" si="0"/>
        <v>-1</v>
      </c>
      <c r="F18" s="238">
        <f t="shared" si="1"/>
        <v>-0.5</v>
      </c>
    </row>
    <row r="19" spans="1:6" ht="20.25" customHeight="1">
      <c r="A19" s="235">
        <v>6</v>
      </c>
      <c r="B19" s="236" t="s">
        <v>487</v>
      </c>
      <c r="C19" s="239">
        <v>11</v>
      </c>
      <c r="D19" s="239">
        <v>4</v>
      </c>
      <c r="E19" s="239">
        <f t="shared" si="0"/>
        <v>-7</v>
      </c>
      <c r="F19" s="238">
        <f t="shared" si="1"/>
        <v>-0.6363636363636364</v>
      </c>
    </row>
    <row r="20" spans="1:6" ht="20.25" customHeight="1">
      <c r="A20" s="235">
        <v>7</v>
      </c>
      <c r="B20" s="236" t="s">
        <v>553</v>
      </c>
      <c r="C20" s="239">
        <v>18</v>
      </c>
      <c r="D20" s="239">
        <v>32</v>
      </c>
      <c r="E20" s="239">
        <f t="shared" si="0"/>
        <v>14</v>
      </c>
      <c r="F20" s="238">
        <f t="shared" si="1"/>
        <v>0.7777777777777778</v>
      </c>
    </row>
    <row r="21" spans="1:6" ht="20.25" customHeight="1">
      <c r="A21" s="235">
        <v>8</v>
      </c>
      <c r="B21" s="236" t="s">
        <v>554</v>
      </c>
      <c r="C21" s="239">
        <v>8</v>
      </c>
      <c r="D21" s="239">
        <v>14</v>
      </c>
      <c r="E21" s="239">
        <f t="shared" si="0"/>
        <v>6</v>
      </c>
      <c r="F21" s="238">
        <f t="shared" si="1"/>
        <v>0.75</v>
      </c>
    </row>
    <row r="22" spans="1:6" ht="20.25" customHeight="1">
      <c r="A22" s="235">
        <v>9</v>
      </c>
      <c r="B22" s="236" t="s">
        <v>555</v>
      </c>
      <c r="C22" s="239">
        <v>1</v>
      </c>
      <c r="D22" s="239">
        <v>1</v>
      </c>
      <c r="E22" s="239">
        <f t="shared" si="0"/>
        <v>0</v>
      </c>
      <c r="F22" s="238">
        <f t="shared" si="1"/>
        <v>0</v>
      </c>
    </row>
    <row r="23" spans="1:6" s="240" customFormat="1" ht="20.25" customHeight="1">
      <c r="A23" s="241"/>
      <c r="B23" s="242" t="s">
        <v>556</v>
      </c>
      <c r="C23" s="243">
        <f>+C14+C16</f>
        <v>69010</v>
      </c>
      <c r="D23" s="243">
        <f>+D14+D16</f>
        <v>120314</v>
      </c>
      <c r="E23" s="243">
        <f t="shared" si="0"/>
        <v>51304</v>
      </c>
      <c r="F23" s="244">
        <f t="shared" si="1"/>
        <v>0.743428488624837</v>
      </c>
    </row>
    <row r="24" spans="1:6" s="240" customFormat="1" ht="20.25" customHeight="1">
      <c r="A24" s="241"/>
      <c r="B24" s="242" t="s">
        <v>557</v>
      </c>
      <c r="C24" s="243">
        <f>+C15+C17</f>
        <v>26521</v>
      </c>
      <c r="D24" s="243">
        <f>+D15+D17</f>
        <v>38084</v>
      </c>
      <c r="E24" s="243">
        <f t="shared" si="0"/>
        <v>11563</v>
      </c>
      <c r="F24" s="244">
        <f t="shared" si="1"/>
        <v>0.43599411786885867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239</v>
      </c>
      <c r="B26" s="231" t="s">
        <v>558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549</v>
      </c>
      <c r="C27" s="237">
        <v>0</v>
      </c>
      <c r="D27" s="237">
        <v>0</v>
      </c>
      <c r="E27" s="237">
        <f aca="true" t="shared" si="2" ref="E27:E37">D27-C27</f>
        <v>0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550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>
      <c r="A29" s="235">
        <v>3</v>
      </c>
      <c r="B29" s="236" t="s">
        <v>551</v>
      </c>
      <c r="C29" s="237">
        <v>1062</v>
      </c>
      <c r="D29" s="237">
        <v>0</v>
      </c>
      <c r="E29" s="237">
        <f t="shared" si="2"/>
        <v>-1062</v>
      </c>
      <c r="F29" s="238">
        <f t="shared" si="3"/>
        <v>-1</v>
      </c>
    </row>
    <row r="30" spans="1:6" ht="20.25" customHeight="1">
      <c r="A30" s="235">
        <v>4</v>
      </c>
      <c r="B30" s="236" t="s">
        <v>552</v>
      </c>
      <c r="C30" s="237">
        <v>452</v>
      </c>
      <c r="D30" s="237">
        <v>0</v>
      </c>
      <c r="E30" s="237">
        <f t="shared" si="2"/>
        <v>-452</v>
      </c>
      <c r="F30" s="238">
        <f t="shared" si="3"/>
        <v>-1</v>
      </c>
    </row>
    <row r="31" spans="1:6" ht="20.25" customHeight="1">
      <c r="A31" s="235">
        <v>5</v>
      </c>
      <c r="B31" s="236" t="s">
        <v>488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>
      <c r="A32" s="235">
        <v>6</v>
      </c>
      <c r="B32" s="236" t="s">
        <v>487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>
      <c r="A33" s="235">
        <v>7</v>
      </c>
      <c r="B33" s="236" t="s">
        <v>553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>
      <c r="A34" s="235">
        <v>8</v>
      </c>
      <c r="B34" s="236" t="s">
        <v>554</v>
      </c>
      <c r="C34" s="239">
        <v>1</v>
      </c>
      <c r="D34" s="239">
        <v>0</v>
      </c>
      <c r="E34" s="239">
        <f t="shared" si="2"/>
        <v>-1</v>
      </c>
      <c r="F34" s="238">
        <f t="shared" si="3"/>
        <v>-1</v>
      </c>
    </row>
    <row r="35" spans="1:6" ht="20.25" customHeight="1">
      <c r="A35" s="235">
        <v>9</v>
      </c>
      <c r="B35" s="236" t="s">
        <v>555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556</v>
      </c>
      <c r="C36" s="243">
        <f>+C27+C29</f>
        <v>1062</v>
      </c>
      <c r="D36" s="243">
        <f>+D27+D29</f>
        <v>0</v>
      </c>
      <c r="E36" s="243">
        <f t="shared" si="2"/>
        <v>-1062</v>
      </c>
      <c r="F36" s="244">
        <f t="shared" si="3"/>
        <v>-1</v>
      </c>
    </row>
    <row r="37" spans="1:6" s="240" customFormat="1" ht="20.25" customHeight="1">
      <c r="A37" s="241"/>
      <c r="B37" s="242" t="s">
        <v>557</v>
      </c>
      <c r="C37" s="243">
        <f>+C28+C30</f>
        <v>452</v>
      </c>
      <c r="D37" s="243">
        <f>+D28+D30</f>
        <v>0</v>
      </c>
      <c r="E37" s="243">
        <f t="shared" si="2"/>
        <v>-452</v>
      </c>
      <c r="F37" s="244">
        <f t="shared" si="3"/>
        <v>-1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256</v>
      </c>
      <c r="B39" s="231" t="s">
        <v>559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549</v>
      </c>
      <c r="C40" s="237">
        <v>151530</v>
      </c>
      <c r="D40" s="237">
        <v>398940</v>
      </c>
      <c r="E40" s="237">
        <f aca="true" t="shared" si="4" ref="E40:E50">D40-C40</f>
        <v>247410</v>
      </c>
      <c r="F40" s="238">
        <f aca="true" t="shared" si="5" ref="F40:F50">IF(C40=0,0,E40/C40)</f>
        <v>1.6327459908928925</v>
      </c>
    </row>
    <row r="41" spans="1:6" ht="20.25" customHeight="1">
      <c r="A41" s="235">
        <v>2</v>
      </c>
      <c r="B41" s="236" t="s">
        <v>550</v>
      </c>
      <c r="C41" s="237">
        <v>51150</v>
      </c>
      <c r="D41" s="237">
        <v>145106</v>
      </c>
      <c r="E41" s="237">
        <f t="shared" si="4"/>
        <v>93956</v>
      </c>
      <c r="F41" s="238">
        <f t="shared" si="5"/>
        <v>1.836871945259042</v>
      </c>
    </row>
    <row r="42" spans="1:6" ht="20.25" customHeight="1">
      <c r="A42" s="235">
        <v>3</v>
      </c>
      <c r="B42" s="236" t="s">
        <v>551</v>
      </c>
      <c r="C42" s="237">
        <v>52692</v>
      </c>
      <c r="D42" s="237">
        <v>921010</v>
      </c>
      <c r="E42" s="237">
        <f t="shared" si="4"/>
        <v>868318</v>
      </c>
      <c r="F42" s="238">
        <f t="shared" si="5"/>
        <v>16.47912396568739</v>
      </c>
    </row>
    <row r="43" spans="1:6" ht="20.25" customHeight="1">
      <c r="A43" s="235">
        <v>4</v>
      </c>
      <c r="B43" s="236" t="s">
        <v>552</v>
      </c>
      <c r="C43" s="237">
        <v>22406</v>
      </c>
      <c r="D43" s="237">
        <v>273992</v>
      </c>
      <c r="E43" s="237">
        <f t="shared" si="4"/>
        <v>251586</v>
      </c>
      <c r="F43" s="238">
        <f t="shared" si="5"/>
        <v>11.228510220476657</v>
      </c>
    </row>
    <row r="44" spans="1:6" ht="20.25" customHeight="1">
      <c r="A44" s="235">
        <v>5</v>
      </c>
      <c r="B44" s="236" t="s">
        <v>488</v>
      </c>
      <c r="C44" s="239">
        <v>6</v>
      </c>
      <c r="D44" s="239">
        <v>11</v>
      </c>
      <c r="E44" s="239">
        <f t="shared" si="4"/>
        <v>5</v>
      </c>
      <c r="F44" s="238">
        <f t="shared" si="5"/>
        <v>0.8333333333333334</v>
      </c>
    </row>
    <row r="45" spans="1:6" ht="20.25" customHeight="1">
      <c r="A45" s="235">
        <v>6</v>
      </c>
      <c r="B45" s="236" t="s">
        <v>487</v>
      </c>
      <c r="C45" s="239">
        <v>24</v>
      </c>
      <c r="D45" s="239">
        <v>32</v>
      </c>
      <c r="E45" s="239">
        <f t="shared" si="4"/>
        <v>8</v>
      </c>
      <c r="F45" s="238">
        <f t="shared" si="5"/>
        <v>0.3333333333333333</v>
      </c>
    </row>
    <row r="46" spans="1:6" ht="20.25" customHeight="1">
      <c r="A46" s="235">
        <v>7</v>
      </c>
      <c r="B46" s="236" t="s">
        <v>553</v>
      </c>
      <c r="C46" s="239">
        <v>44</v>
      </c>
      <c r="D46" s="239">
        <v>324</v>
      </c>
      <c r="E46" s="239">
        <f t="shared" si="4"/>
        <v>280</v>
      </c>
      <c r="F46" s="238">
        <f t="shared" si="5"/>
        <v>6.363636363636363</v>
      </c>
    </row>
    <row r="47" spans="1:6" ht="20.25" customHeight="1">
      <c r="A47" s="235">
        <v>8</v>
      </c>
      <c r="B47" s="236" t="s">
        <v>554</v>
      </c>
      <c r="C47" s="239">
        <v>3</v>
      </c>
      <c r="D47" s="239">
        <v>23</v>
      </c>
      <c r="E47" s="239">
        <f t="shared" si="4"/>
        <v>20</v>
      </c>
      <c r="F47" s="238">
        <f t="shared" si="5"/>
        <v>6.666666666666667</v>
      </c>
    </row>
    <row r="48" spans="1:6" ht="20.25" customHeight="1">
      <c r="A48" s="235">
        <v>9</v>
      </c>
      <c r="B48" s="236" t="s">
        <v>555</v>
      </c>
      <c r="C48" s="239">
        <v>5</v>
      </c>
      <c r="D48" s="239">
        <v>6</v>
      </c>
      <c r="E48" s="239">
        <f t="shared" si="4"/>
        <v>1</v>
      </c>
      <c r="F48" s="238">
        <f t="shared" si="5"/>
        <v>0.2</v>
      </c>
    </row>
    <row r="49" spans="1:6" s="240" customFormat="1" ht="20.25" customHeight="1">
      <c r="A49" s="241"/>
      <c r="B49" s="242" t="s">
        <v>556</v>
      </c>
      <c r="C49" s="243">
        <f>+C40+C42</f>
        <v>204222</v>
      </c>
      <c r="D49" s="243">
        <f>+D40+D42</f>
        <v>1319950</v>
      </c>
      <c r="E49" s="243">
        <f t="shared" si="4"/>
        <v>1115728</v>
      </c>
      <c r="F49" s="244">
        <f t="shared" si="5"/>
        <v>5.463309535701344</v>
      </c>
    </row>
    <row r="50" spans="1:6" s="240" customFormat="1" ht="20.25" customHeight="1">
      <c r="A50" s="241"/>
      <c r="B50" s="242" t="s">
        <v>557</v>
      </c>
      <c r="C50" s="243">
        <f>+C41+C43</f>
        <v>73556</v>
      </c>
      <c r="D50" s="243">
        <f>+D41+D43</f>
        <v>419098</v>
      </c>
      <c r="E50" s="243">
        <f t="shared" si="4"/>
        <v>345542</v>
      </c>
      <c r="F50" s="244">
        <f t="shared" si="5"/>
        <v>4.697672521616184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286</v>
      </c>
      <c r="B52" s="231" t="s">
        <v>560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549</v>
      </c>
      <c r="C53" s="237">
        <v>708356</v>
      </c>
      <c r="D53" s="237">
        <v>624595</v>
      </c>
      <c r="E53" s="237">
        <f aca="true" t="shared" si="6" ref="E53:E63">D53-C53</f>
        <v>-83761</v>
      </c>
      <c r="F53" s="238">
        <f aca="true" t="shared" si="7" ref="F53:F63">IF(C53=0,0,E53/C53)</f>
        <v>-0.11824703962414379</v>
      </c>
    </row>
    <row r="54" spans="1:6" ht="20.25" customHeight="1">
      <c r="A54" s="235">
        <v>2</v>
      </c>
      <c r="B54" s="236" t="s">
        <v>550</v>
      </c>
      <c r="C54" s="237">
        <v>239110</v>
      </c>
      <c r="D54" s="237">
        <v>227183</v>
      </c>
      <c r="E54" s="237">
        <f t="shared" si="6"/>
        <v>-11927</v>
      </c>
      <c r="F54" s="238">
        <f t="shared" si="7"/>
        <v>-0.049880807996319686</v>
      </c>
    </row>
    <row r="55" spans="1:6" ht="20.25" customHeight="1">
      <c r="A55" s="235">
        <v>3</v>
      </c>
      <c r="B55" s="236" t="s">
        <v>551</v>
      </c>
      <c r="C55" s="237">
        <v>2274764</v>
      </c>
      <c r="D55" s="237">
        <v>1665352</v>
      </c>
      <c r="E55" s="237">
        <f t="shared" si="6"/>
        <v>-609412</v>
      </c>
      <c r="F55" s="238">
        <f t="shared" si="7"/>
        <v>-0.2679011976627026</v>
      </c>
    </row>
    <row r="56" spans="1:6" ht="20.25" customHeight="1">
      <c r="A56" s="235">
        <v>4</v>
      </c>
      <c r="B56" s="236" t="s">
        <v>552</v>
      </c>
      <c r="C56" s="237">
        <v>967303</v>
      </c>
      <c r="D56" s="237">
        <v>495427</v>
      </c>
      <c r="E56" s="237">
        <f t="shared" si="6"/>
        <v>-471876</v>
      </c>
      <c r="F56" s="238">
        <f t="shared" si="7"/>
        <v>-0.48782646182220046</v>
      </c>
    </row>
    <row r="57" spans="1:6" ht="20.25" customHeight="1">
      <c r="A57" s="235">
        <v>5</v>
      </c>
      <c r="B57" s="236" t="s">
        <v>488</v>
      </c>
      <c r="C57" s="239">
        <v>24</v>
      </c>
      <c r="D57" s="239">
        <v>24</v>
      </c>
      <c r="E57" s="239">
        <f t="shared" si="6"/>
        <v>0</v>
      </c>
      <c r="F57" s="238">
        <f t="shared" si="7"/>
        <v>0</v>
      </c>
    </row>
    <row r="58" spans="1:6" ht="20.25" customHeight="1">
      <c r="A58" s="235">
        <v>6</v>
      </c>
      <c r="B58" s="236" t="s">
        <v>487</v>
      </c>
      <c r="C58" s="239">
        <v>100</v>
      </c>
      <c r="D58" s="239">
        <v>89</v>
      </c>
      <c r="E58" s="239">
        <f t="shared" si="6"/>
        <v>-11</v>
      </c>
      <c r="F58" s="238">
        <f t="shared" si="7"/>
        <v>-0.11</v>
      </c>
    </row>
    <row r="59" spans="1:6" ht="20.25" customHeight="1">
      <c r="A59" s="235">
        <v>7</v>
      </c>
      <c r="B59" s="236" t="s">
        <v>553</v>
      </c>
      <c r="C59" s="239">
        <v>779</v>
      </c>
      <c r="D59" s="239">
        <v>806</v>
      </c>
      <c r="E59" s="239">
        <f t="shared" si="6"/>
        <v>27</v>
      </c>
      <c r="F59" s="238">
        <f t="shared" si="7"/>
        <v>0.03465982028241335</v>
      </c>
    </row>
    <row r="60" spans="1:6" ht="20.25" customHeight="1">
      <c r="A60" s="235">
        <v>8</v>
      </c>
      <c r="B60" s="236" t="s">
        <v>554</v>
      </c>
      <c r="C60" s="239">
        <v>43</v>
      </c>
      <c r="D60" s="239">
        <v>31</v>
      </c>
      <c r="E60" s="239">
        <f t="shared" si="6"/>
        <v>-12</v>
      </c>
      <c r="F60" s="238">
        <f t="shared" si="7"/>
        <v>-0.27906976744186046</v>
      </c>
    </row>
    <row r="61" spans="1:6" ht="20.25" customHeight="1">
      <c r="A61" s="235">
        <v>9</v>
      </c>
      <c r="B61" s="236" t="s">
        <v>555</v>
      </c>
      <c r="C61" s="239">
        <v>17</v>
      </c>
      <c r="D61" s="239">
        <v>17</v>
      </c>
      <c r="E61" s="239">
        <f t="shared" si="6"/>
        <v>0</v>
      </c>
      <c r="F61" s="238">
        <f t="shared" si="7"/>
        <v>0</v>
      </c>
    </row>
    <row r="62" spans="1:6" s="240" customFormat="1" ht="20.25" customHeight="1">
      <c r="A62" s="241"/>
      <c r="B62" s="242" t="s">
        <v>556</v>
      </c>
      <c r="C62" s="243">
        <f>+C53+C55</f>
        <v>2983120</v>
      </c>
      <c r="D62" s="243">
        <f>+D53+D55</f>
        <v>2289947</v>
      </c>
      <c r="E62" s="243">
        <f t="shared" si="6"/>
        <v>-693173</v>
      </c>
      <c r="F62" s="244">
        <f t="shared" si="7"/>
        <v>-0.23236510767250396</v>
      </c>
    </row>
    <row r="63" spans="1:6" s="240" customFormat="1" ht="20.25" customHeight="1">
      <c r="A63" s="241"/>
      <c r="B63" s="242" t="s">
        <v>557</v>
      </c>
      <c r="C63" s="243">
        <f>+C54+C56</f>
        <v>1206413</v>
      </c>
      <c r="D63" s="243">
        <f>+D54+D56</f>
        <v>722610</v>
      </c>
      <c r="E63" s="243">
        <f t="shared" si="6"/>
        <v>-483803</v>
      </c>
      <c r="F63" s="244">
        <f t="shared" si="7"/>
        <v>-0.4010260167952434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291</v>
      </c>
      <c r="B65" s="231" t="s">
        <v>561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549</v>
      </c>
      <c r="C66" s="237">
        <v>553488</v>
      </c>
      <c r="D66" s="237">
        <v>435645</v>
      </c>
      <c r="E66" s="237">
        <f aca="true" t="shared" si="8" ref="E66:E76">D66-C66</f>
        <v>-117843</v>
      </c>
      <c r="F66" s="238">
        <f aca="true" t="shared" si="9" ref="F66:F76">IF(C66=0,0,E66/C66)</f>
        <v>-0.2129097649813546</v>
      </c>
    </row>
    <row r="67" spans="1:6" ht="20.25" customHeight="1">
      <c r="A67" s="235">
        <v>2</v>
      </c>
      <c r="B67" s="236" t="s">
        <v>550</v>
      </c>
      <c r="C67" s="237">
        <v>186833</v>
      </c>
      <c r="D67" s="237">
        <v>158456</v>
      </c>
      <c r="E67" s="237">
        <f t="shared" si="8"/>
        <v>-28377</v>
      </c>
      <c r="F67" s="238">
        <f t="shared" si="9"/>
        <v>-0.1518843030942071</v>
      </c>
    </row>
    <row r="68" spans="1:6" ht="20.25" customHeight="1">
      <c r="A68" s="235">
        <v>3</v>
      </c>
      <c r="B68" s="236" t="s">
        <v>551</v>
      </c>
      <c r="C68" s="237">
        <v>139822</v>
      </c>
      <c r="D68" s="237">
        <v>1022628</v>
      </c>
      <c r="E68" s="237">
        <f t="shared" si="8"/>
        <v>882806</v>
      </c>
      <c r="F68" s="238">
        <f t="shared" si="9"/>
        <v>6.313784669079258</v>
      </c>
    </row>
    <row r="69" spans="1:6" ht="20.25" customHeight="1">
      <c r="A69" s="235">
        <v>4</v>
      </c>
      <c r="B69" s="236" t="s">
        <v>552</v>
      </c>
      <c r="C69" s="237">
        <v>59457</v>
      </c>
      <c r="D69" s="237">
        <v>304223</v>
      </c>
      <c r="E69" s="237">
        <f t="shared" si="8"/>
        <v>244766</v>
      </c>
      <c r="F69" s="238">
        <f t="shared" si="9"/>
        <v>4.116689372151303</v>
      </c>
    </row>
    <row r="70" spans="1:6" ht="20.25" customHeight="1">
      <c r="A70" s="235">
        <v>5</v>
      </c>
      <c r="B70" s="236" t="s">
        <v>488</v>
      </c>
      <c r="C70" s="239">
        <v>16</v>
      </c>
      <c r="D70" s="239">
        <v>19</v>
      </c>
      <c r="E70" s="239">
        <f t="shared" si="8"/>
        <v>3</v>
      </c>
      <c r="F70" s="238">
        <f t="shared" si="9"/>
        <v>0.1875</v>
      </c>
    </row>
    <row r="71" spans="1:6" ht="20.25" customHeight="1">
      <c r="A71" s="235">
        <v>6</v>
      </c>
      <c r="B71" s="236" t="s">
        <v>487</v>
      </c>
      <c r="C71" s="239">
        <v>62</v>
      </c>
      <c r="D71" s="239">
        <v>65</v>
      </c>
      <c r="E71" s="239">
        <f t="shared" si="8"/>
        <v>3</v>
      </c>
      <c r="F71" s="238">
        <f t="shared" si="9"/>
        <v>0.04838709677419355</v>
      </c>
    </row>
    <row r="72" spans="1:6" ht="20.25" customHeight="1">
      <c r="A72" s="235">
        <v>7</v>
      </c>
      <c r="B72" s="236" t="s">
        <v>553</v>
      </c>
      <c r="C72" s="239">
        <v>101</v>
      </c>
      <c r="D72" s="239">
        <v>460</v>
      </c>
      <c r="E72" s="239">
        <f t="shared" si="8"/>
        <v>359</v>
      </c>
      <c r="F72" s="238">
        <f t="shared" si="9"/>
        <v>3.5544554455445545</v>
      </c>
    </row>
    <row r="73" spans="1:6" ht="20.25" customHeight="1">
      <c r="A73" s="235">
        <v>8</v>
      </c>
      <c r="B73" s="236" t="s">
        <v>554</v>
      </c>
      <c r="C73" s="239">
        <v>22</v>
      </c>
      <c r="D73" s="239">
        <v>44</v>
      </c>
      <c r="E73" s="239">
        <f t="shared" si="8"/>
        <v>22</v>
      </c>
      <c r="F73" s="238">
        <f t="shared" si="9"/>
        <v>1</v>
      </c>
    </row>
    <row r="74" spans="1:6" ht="20.25" customHeight="1">
      <c r="A74" s="235">
        <v>9</v>
      </c>
      <c r="B74" s="236" t="s">
        <v>555</v>
      </c>
      <c r="C74" s="239">
        <v>13</v>
      </c>
      <c r="D74" s="239">
        <v>14</v>
      </c>
      <c r="E74" s="239">
        <f t="shared" si="8"/>
        <v>1</v>
      </c>
      <c r="F74" s="238">
        <f t="shared" si="9"/>
        <v>0.07692307692307693</v>
      </c>
    </row>
    <row r="75" spans="1:6" s="240" customFormat="1" ht="20.25" customHeight="1">
      <c r="A75" s="241"/>
      <c r="B75" s="242" t="s">
        <v>556</v>
      </c>
      <c r="C75" s="243">
        <f>+C66+C68</f>
        <v>693310</v>
      </c>
      <c r="D75" s="243">
        <f>+D66+D68</f>
        <v>1458273</v>
      </c>
      <c r="E75" s="243">
        <f t="shared" si="8"/>
        <v>764963</v>
      </c>
      <c r="F75" s="244">
        <f t="shared" si="9"/>
        <v>1.1033491511733569</v>
      </c>
    </row>
    <row r="76" spans="1:6" s="240" customFormat="1" ht="20.25" customHeight="1">
      <c r="A76" s="241"/>
      <c r="B76" s="242" t="s">
        <v>557</v>
      </c>
      <c r="C76" s="243">
        <f>+C67+C69</f>
        <v>246290</v>
      </c>
      <c r="D76" s="243">
        <f>+D67+D69</f>
        <v>462679</v>
      </c>
      <c r="E76" s="243">
        <f t="shared" si="8"/>
        <v>216389</v>
      </c>
      <c r="F76" s="244">
        <f t="shared" si="9"/>
        <v>0.8785943400056844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297</v>
      </c>
      <c r="B78" s="231" t="s">
        <v>562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549</v>
      </c>
      <c r="C79" s="237">
        <v>0</v>
      </c>
      <c r="D79" s="237">
        <v>22237</v>
      </c>
      <c r="E79" s="237">
        <f aca="true" t="shared" si="10" ref="E79:E89">D79-C79</f>
        <v>22237</v>
      </c>
      <c r="F79" s="238">
        <f aca="true" t="shared" si="11" ref="F79:F89">IF(C79=0,0,E79/C79)</f>
        <v>0</v>
      </c>
    </row>
    <row r="80" spans="1:6" ht="20.25" customHeight="1">
      <c r="A80" s="235">
        <v>2</v>
      </c>
      <c r="B80" s="236" t="s">
        <v>550</v>
      </c>
      <c r="C80" s="237">
        <v>0</v>
      </c>
      <c r="D80" s="237">
        <v>8088</v>
      </c>
      <c r="E80" s="237">
        <f t="shared" si="10"/>
        <v>8088</v>
      </c>
      <c r="F80" s="238">
        <f t="shared" si="11"/>
        <v>0</v>
      </c>
    </row>
    <row r="81" spans="1:6" ht="20.25" customHeight="1">
      <c r="A81" s="235">
        <v>3</v>
      </c>
      <c r="B81" s="236" t="s">
        <v>551</v>
      </c>
      <c r="C81" s="237">
        <v>8960</v>
      </c>
      <c r="D81" s="237">
        <v>20806</v>
      </c>
      <c r="E81" s="237">
        <f t="shared" si="10"/>
        <v>11846</v>
      </c>
      <c r="F81" s="238">
        <f t="shared" si="11"/>
        <v>1.3220982142857143</v>
      </c>
    </row>
    <row r="82" spans="1:6" ht="20.25" customHeight="1">
      <c r="A82" s="235">
        <v>4</v>
      </c>
      <c r="B82" s="236" t="s">
        <v>552</v>
      </c>
      <c r="C82" s="237">
        <v>3810</v>
      </c>
      <c r="D82" s="237">
        <v>6190</v>
      </c>
      <c r="E82" s="237">
        <f t="shared" si="10"/>
        <v>2380</v>
      </c>
      <c r="F82" s="238">
        <f t="shared" si="11"/>
        <v>0.6246719160104987</v>
      </c>
    </row>
    <row r="83" spans="1:6" ht="20.25" customHeight="1">
      <c r="A83" s="235">
        <v>5</v>
      </c>
      <c r="B83" s="236" t="s">
        <v>488</v>
      </c>
      <c r="C83" s="239">
        <v>0</v>
      </c>
      <c r="D83" s="239">
        <v>1</v>
      </c>
      <c r="E83" s="239">
        <f t="shared" si="10"/>
        <v>1</v>
      </c>
      <c r="F83" s="238">
        <f t="shared" si="11"/>
        <v>0</v>
      </c>
    </row>
    <row r="84" spans="1:6" ht="20.25" customHeight="1">
      <c r="A84" s="235">
        <v>6</v>
      </c>
      <c r="B84" s="236" t="s">
        <v>487</v>
      </c>
      <c r="C84" s="239">
        <v>0</v>
      </c>
      <c r="D84" s="239">
        <v>6</v>
      </c>
      <c r="E84" s="239">
        <f t="shared" si="10"/>
        <v>6</v>
      </c>
      <c r="F84" s="238">
        <f t="shared" si="11"/>
        <v>0</v>
      </c>
    </row>
    <row r="85" spans="1:6" ht="20.25" customHeight="1">
      <c r="A85" s="235">
        <v>7</v>
      </c>
      <c r="B85" s="236" t="s">
        <v>553</v>
      </c>
      <c r="C85" s="239">
        <v>9</v>
      </c>
      <c r="D85" s="239">
        <v>11</v>
      </c>
      <c r="E85" s="239">
        <f t="shared" si="10"/>
        <v>2</v>
      </c>
      <c r="F85" s="238">
        <f t="shared" si="11"/>
        <v>0.2222222222222222</v>
      </c>
    </row>
    <row r="86" spans="1:6" ht="20.25" customHeight="1">
      <c r="A86" s="235">
        <v>8</v>
      </c>
      <c r="B86" s="236" t="s">
        <v>554</v>
      </c>
      <c r="C86" s="239">
        <v>5</v>
      </c>
      <c r="D86" s="239">
        <v>5</v>
      </c>
      <c r="E86" s="239">
        <f t="shared" si="10"/>
        <v>0</v>
      </c>
      <c r="F86" s="238">
        <f t="shared" si="11"/>
        <v>0</v>
      </c>
    </row>
    <row r="87" spans="1:6" ht="20.25" customHeight="1">
      <c r="A87" s="235">
        <v>9</v>
      </c>
      <c r="B87" s="236" t="s">
        <v>555</v>
      </c>
      <c r="C87" s="239">
        <v>0</v>
      </c>
      <c r="D87" s="239">
        <v>1</v>
      </c>
      <c r="E87" s="239">
        <f t="shared" si="10"/>
        <v>1</v>
      </c>
      <c r="F87" s="238">
        <f t="shared" si="11"/>
        <v>0</v>
      </c>
    </row>
    <row r="88" spans="1:6" s="240" customFormat="1" ht="20.25" customHeight="1">
      <c r="A88" s="241"/>
      <c r="B88" s="242" t="s">
        <v>556</v>
      </c>
      <c r="C88" s="243">
        <f>+C79+C81</f>
        <v>8960</v>
      </c>
      <c r="D88" s="243">
        <f>+D79+D81</f>
        <v>43043</v>
      </c>
      <c r="E88" s="243">
        <f t="shared" si="10"/>
        <v>34083</v>
      </c>
      <c r="F88" s="244">
        <f t="shared" si="11"/>
        <v>3.80390625</v>
      </c>
    </row>
    <row r="89" spans="1:6" s="240" customFormat="1" ht="20.25" customHeight="1">
      <c r="A89" s="241"/>
      <c r="B89" s="242" t="s">
        <v>557</v>
      </c>
      <c r="C89" s="243">
        <f>+C80+C82</f>
        <v>3810</v>
      </c>
      <c r="D89" s="243">
        <f>+D80+D82</f>
        <v>14278</v>
      </c>
      <c r="E89" s="243">
        <f t="shared" si="10"/>
        <v>10468</v>
      </c>
      <c r="F89" s="244">
        <f t="shared" si="11"/>
        <v>2.7475065616797902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299</v>
      </c>
      <c r="B91" s="231" t="s">
        <v>563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549</v>
      </c>
      <c r="C92" s="237">
        <v>171469</v>
      </c>
      <c r="D92" s="237">
        <v>263379</v>
      </c>
      <c r="E92" s="237">
        <f aca="true" t="shared" si="12" ref="E92:E102">D92-C92</f>
        <v>91910</v>
      </c>
      <c r="F92" s="238">
        <f aca="true" t="shared" si="13" ref="F92:F102">IF(C92=0,0,E92/C92)</f>
        <v>0.5360152564020318</v>
      </c>
    </row>
    <row r="93" spans="1:6" ht="20.25" customHeight="1">
      <c r="A93" s="235">
        <v>2</v>
      </c>
      <c r="B93" s="236" t="s">
        <v>550</v>
      </c>
      <c r="C93" s="237">
        <v>57880</v>
      </c>
      <c r="D93" s="237">
        <v>95798</v>
      </c>
      <c r="E93" s="237">
        <f t="shared" si="12"/>
        <v>37918</v>
      </c>
      <c r="F93" s="238">
        <f t="shared" si="13"/>
        <v>0.6551140290255701</v>
      </c>
    </row>
    <row r="94" spans="1:6" ht="20.25" customHeight="1">
      <c r="A94" s="235">
        <v>3</v>
      </c>
      <c r="B94" s="236" t="s">
        <v>551</v>
      </c>
      <c r="C94" s="237">
        <v>330200</v>
      </c>
      <c r="D94" s="237">
        <v>323081</v>
      </c>
      <c r="E94" s="237">
        <f t="shared" si="12"/>
        <v>-7119</v>
      </c>
      <c r="F94" s="238">
        <f t="shared" si="13"/>
        <v>-0.021559660811629317</v>
      </c>
    </row>
    <row r="95" spans="1:6" ht="20.25" customHeight="1">
      <c r="A95" s="235">
        <v>4</v>
      </c>
      <c r="B95" s="236" t="s">
        <v>552</v>
      </c>
      <c r="C95" s="237">
        <v>140412</v>
      </c>
      <c r="D95" s="237">
        <v>96114</v>
      </c>
      <c r="E95" s="237">
        <f t="shared" si="12"/>
        <v>-44298</v>
      </c>
      <c r="F95" s="238">
        <f t="shared" si="13"/>
        <v>-0.3154858559097513</v>
      </c>
    </row>
    <row r="96" spans="1:6" ht="20.25" customHeight="1">
      <c r="A96" s="235">
        <v>5</v>
      </c>
      <c r="B96" s="236" t="s">
        <v>488</v>
      </c>
      <c r="C96" s="239">
        <v>7</v>
      </c>
      <c r="D96" s="239">
        <v>8</v>
      </c>
      <c r="E96" s="239">
        <f t="shared" si="12"/>
        <v>1</v>
      </c>
      <c r="F96" s="238">
        <f t="shared" si="13"/>
        <v>0.14285714285714285</v>
      </c>
    </row>
    <row r="97" spans="1:6" ht="20.25" customHeight="1">
      <c r="A97" s="235">
        <v>6</v>
      </c>
      <c r="B97" s="236" t="s">
        <v>487</v>
      </c>
      <c r="C97" s="239">
        <v>27</v>
      </c>
      <c r="D97" s="239">
        <v>37</v>
      </c>
      <c r="E97" s="239">
        <f t="shared" si="12"/>
        <v>10</v>
      </c>
      <c r="F97" s="238">
        <f t="shared" si="13"/>
        <v>0.37037037037037035</v>
      </c>
    </row>
    <row r="98" spans="1:6" ht="20.25" customHeight="1">
      <c r="A98" s="235">
        <v>7</v>
      </c>
      <c r="B98" s="236" t="s">
        <v>553</v>
      </c>
      <c r="C98" s="239">
        <v>855</v>
      </c>
      <c r="D98" s="239">
        <v>796</v>
      </c>
      <c r="E98" s="239">
        <f t="shared" si="12"/>
        <v>-59</v>
      </c>
      <c r="F98" s="238">
        <f t="shared" si="13"/>
        <v>-0.06900584795321638</v>
      </c>
    </row>
    <row r="99" spans="1:6" ht="20.25" customHeight="1">
      <c r="A99" s="235">
        <v>8</v>
      </c>
      <c r="B99" s="236" t="s">
        <v>554</v>
      </c>
      <c r="C99" s="239">
        <v>14</v>
      </c>
      <c r="D99" s="239">
        <v>14</v>
      </c>
      <c r="E99" s="239">
        <f t="shared" si="12"/>
        <v>0</v>
      </c>
      <c r="F99" s="238">
        <f t="shared" si="13"/>
        <v>0</v>
      </c>
    </row>
    <row r="100" spans="1:6" ht="20.25" customHeight="1">
      <c r="A100" s="235">
        <v>9</v>
      </c>
      <c r="B100" s="236" t="s">
        <v>555</v>
      </c>
      <c r="C100" s="239">
        <v>6</v>
      </c>
      <c r="D100" s="239">
        <v>7</v>
      </c>
      <c r="E100" s="239">
        <f t="shared" si="12"/>
        <v>1</v>
      </c>
      <c r="F100" s="238">
        <f t="shared" si="13"/>
        <v>0.16666666666666666</v>
      </c>
    </row>
    <row r="101" spans="1:6" s="240" customFormat="1" ht="20.25" customHeight="1">
      <c r="A101" s="241"/>
      <c r="B101" s="242" t="s">
        <v>556</v>
      </c>
      <c r="C101" s="243">
        <f>+C92+C94</f>
        <v>501669</v>
      </c>
      <c r="D101" s="243">
        <f>+D92+D94</f>
        <v>586460</v>
      </c>
      <c r="E101" s="243">
        <f t="shared" si="12"/>
        <v>84791</v>
      </c>
      <c r="F101" s="244">
        <f t="shared" si="13"/>
        <v>0.1690178185217743</v>
      </c>
    </row>
    <row r="102" spans="1:6" s="240" customFormat="1" ht="20.25" customHeight="1">
      <c r="A102" s="241"/>
      <c r="B102" s="242" t="s">
        <v>557</v>
      </c>
      <c r="C102" s="243">
        <f>+C93+C95</f>
        <v>198292</v>
      </c>
      <c r="D102" s="243">
        <f>+D93+D95</f>
        <v>191912</v>
      </c>
      <c r="E102" s="243">
        <f t="shared" si="12"/>
        <v>-6380</v>
      </c>
      <c r="F102" s="244">
        <f t="shared" si="13"/>
        <v>-0.03217477255764226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302</v>
      </c>
      <c r="B104" s="231" t="s">
        <v>564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549</v>
      </c>
      <c r="C105" s="237">
        <v>0</v>
      </c>
      <c r="D105" s="237">
        <v>0</v>
      </c>
      <c r="E105" s="237">
        <f aca="true" t="shared" si="14" ref="E105:E115">D105-C105</f>
        <v>0</v>
      </c>
      <c r="F105" s="238">
        <f aca="true" t="shared" si="15" ref="F105:F115">IF(C105=0,0,E105/C105)</f>
        <v>0</v>
      </c>
    </row>
    <row r="106" spans="1:6" ht="20.25" customHeight="1">
      <c r="A106" s="235">
        <v>2</v>
      </c>
      <c r="B106" s="236" t="s">
        <v>550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>
      <c r="A107" s="235">
        <v>3</v>
      </c>
      <c r="B107" s="236" t="s">
        <v>551</v>
      </c>
      <c r="C107" s="237">
        <v>0</v>
      </c>
      <c r="D107" s="237">
        <v>7869</v>
      </c>
      <c r="E107" s="237">
        <f t="shared" si="14"/>
        <v>7869</v>
      </c>
      <c r="F107" s="238">
        <f t="shared" si="15"/>
        <v>0</v>
      </c>
    </row>
    <row r="108" spans="1:6" ht="20.25" customHeight="1">
      <c r="A108" s="235">
        <v>4</v>
      </c>
      <c r="B108" s="236" t="s">
        <v>552</v>
      </c>
      <c r="C108" s="237">
        <v>0</v>
      </c>
      <c r="D108" s="237">
        <v>2341</v>
      </c>
      <c r="E108" s="237">
        <f t="shared" si="14"/>
        <v>2341</v>
      </c>
      <c r="F108" s="238">
        <f t="shared" si="15"/>
        <v>0</v>
      </c>
    </row>
    <row r="109" spans="1:6" ht="20.25" customHeight="1">
      <c r="A109" s="235">
        <v>5</v>
      </c>
      <c r="B109" s="236" t="s">
        <v>488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>
      <c r="A110" s="235">
        <v>6</v>
      </c>
      <c r="B110" s="236" t="s">
        <v>487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>
      <c r="A111" s="235">
        <v>7</v>
      </c>
      <c r="B111" s="236" t="s">
        <v>553</v>
      </c>
      <c r="C111" s="239">
        <v>0</v>
      </c>
      <c r="D111" s="239">
        <v>2</v>
      </c>
      <c r="E111" s="239">
        <f t="shared" si="14"/>
        <v>2</v>
      </c>
      <c r="F111" s="238">
        <f t="shared" si="15"/>
        <v>0</v>
      </c>
    </row>
    <row r="112" spans="1:6" ht="20.25" customHeight="1">
      <c r="A112" s="235">
        <v>8</v>
      </c>
      <c r="B112" s="236" t="s">
        <v>554</v>
      </c>
      <c r="C112" s="239">
        <v>0</v>
      </c>
      <c r="D112" s="239">
        <v>1</v>
      </c>
      <c r="E112" s="239">
        <f t="shared" si="14"/>
        <v>1</v>
      </c>
      <c r="F112" s="238">
        <f t="shared" si="15"/>
        <v>0</v>
      </c>
    </row>
    <row r="113" spans="1:6" ht="20.25" customHeight="1">
      <c r="A113" s="235">
        <v>9</v>
      </c>
      <c r="B113" s="236" t="s">
        <v>555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>
      <c r="A114" s="241"/>
      <c r="B114" s="242" t="s">
        <v>556</v>
      </c>
      <c r="C114" s="243">
        <f>+C105+C107</f>
        <v>0</v>
      </c>
      <c r="D114" s="243">
        <f>+D105+D107</f>
        <v>7869</v>
      </c>
      <c r="E114" s="243">
        <f t="shared" si="14"/>
        <v>7869</v>
      </c>
      <c r="F114" s="244">
        <f t="shared" si="15"/>
        <v>0</v>
      </c>
    </row>
    <row r="115" spans="1:6" s="240" customFormat="1" ht="20.25" customHeight="1">
      <c r="A115" s="241"/>
      <c r="B115" s="242" t="s">
        <v>557</v>
      </c>
      <c r="C115" s="243">
        <f>+C106+C108</f>
        <v>0</v>
      </c>
      <c r="D115" s="243">
        <f>+D106+D108</f>
        <v>2341</v>
      </c>
      <c r="E115" s="243">
        <f t="shared" si="14"/>
        <v>2341</v>
      </c>
      <c r="F115" s="244">
        <f t="shared" si="15"/>
        <v>0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305</v>
      </c>
      <c r="B117" s="231" t="s">
        <v>565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549</v>
      </c>
      <c r="C118" s="237">
        <v>0</v>
      </c>
      <c r="D118" s="237">
        <v>0</v>
      </c>
      <c r="E118" s="237">
        <f aca="true" t="shared" si="16" ref="E118:E128">D118-C118</f>
        <v>0</v>
      </c>
      <c r="F118" s="238">
        <f aca="true" t="shared" si="17" ref="F118:F128">IF(C118=0,0,E118/C118)</f>
        <v>0</v>
      </c>
    </row>
    <row r="119" spans="1:6" ht="20.25" customHeight="1">
      <c r="A119" s="235">
        <v>2</v>
      </c>
      <c r="B119" s="236" t="s">
        <v>550</v>
      </c>
      <c r="C119" s="237">
        <v>0</v>
      </c>
      <c r="D119" s="237">
        <v>0</v>
      </c>
      <c r="E119" s="237">
        <f t="shared" si="16"/>
        <v>0</v>
      </c>
      <c r="F119" s="238">
        <f t="shared" si="17"/>
        <v>0</v>
      </c>
    </row>
    <row r="120" spans="1:6" ht="20.25" customHeight="1">
      <c r="A120" s="235">
        <v>3</v>
      </c>
      <c r="B120" s="236" t="s">
        <v>551</v>
      </c>
      <c r="C120" s="237">
        <v>0</v>
      </c>
      <c r="D120" s="237">
        <v>0</v>
      </c>
      <c r="E120" s="237">
        <f t="shared" si="16"/>
        <v>0</v>
      </c>
      <c r="F120" s="238">
        <f t="shared" si="17"/>
        <v>0</v>
      </c>
    </row>
    <row r="121" spans="1:6" ht="20.25" customHeight="1">
      <c r="A121" s="235">
        <v>4</v>
      </c>
      <c r="B121" s="236" t="s">
        <v>552</v>
      </c>
      <c r="C121" s="237">
        <v>0</v>
      </c>
      <c r="D121" s="237">
        <v>0</v>
      </c>
      <c r="E121" s="237">
        <f t="shared" si="16"/>
        <v>0</v>
      </c>
      <c r="F121" s="238">
        <f t="shared" si="17"/>
        <v>0</v>
      </c>
    </row>
    <row r="122" spans="1:6" ht="20.25" customHeight="1">
      <c r="A122" s="235">
        <v>5</v>
      </c>
      <c r="B122" s="236" t="s">
        <v>488</v>
      </c>
      <c r="C122" s="239">
        <v>0</v>
      </c>
      <c r="D122" s="239">
        <v>0</v>
      </c>
      <c r="E122" s="239">
        <f t="shared" si="16"/>
        <v>0</v>
      </c>
      <c r="F122" s="238">
        <f t="shared" si="17"/>
        <v>0</v>
      </c>
    </row>
    <row r="123" spans="1:6" ht="20.25" customHeight="1">
      <c r="A123" s="235">
        <v>6</v>
      </c>
      <c r="B123" s="236" t="s">
        <v>487</v>
      </c>
      <c r="C123" s="239">
        <v>0</v>
      </c>
      <c r="D123" s="239">
        <v>0</v>
      </c>
      <c r="E123" s="239">
        <f t="shared" si="16"/>
        <v>0</v>
      </c>
      <c r="F123" s="238">
        <f t="shared" si="17"/>
        <v>0</v>
      </c>
    </row>
    <row r="124" spans="1:6" ht="20.25" customHeight="1">
      <c r="A124" s="235">
        <v>7</v>
      </c>
      <c r="B124" s="236" t="s">
        <v>553</v>
      </c>
      <c r="C124" s="239">
        <v>0</v>
      </c>
      <c r="D124" s="239">
        <v>0</v>
      </c>
      <c r="E124" s="239">
        <f t="shared" si="16"/>
        <v>0</v>
      </c>
      <c r="F124" s="238">
        <f t="shared" si="17"/>
        <v>0</v>
      </c>
    </row>
    <row r="125" spans="1:6" ht="20.25" customHeight="1">
      <c r="A125" s="235">
        <v>8</v>
      </c>
      <c r="B125" s="236" t="s">
        <v>554</v>
      </c>
      <c r="C125" s="239">
        <v>0</v>
      </c>
      <c r="D125" s="239">
        <v>0</v>
      </c>
      <c r="E125" s="239">
        <f t="shared" si="16"/>
        <v>0</v>
      </c>
      <c r="F125" s="238">
        <f t="shared" si="17"/>
        <v>0</v>
      </c>
    </row>
    <row r="126" spans="1:6" ht="20.25" customHeight="1">
      <c r="A126" s="235">
        <v>9</v>
      </c>
      <c r="B126" s="236" t="s">
        <v>555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>
      <c r="A127" s="241"/>
      <c r="B127" s="242" t="s">
        <v>556</v>
      </c>
      <c r="C127" s="243">
        <f>+C118+C120</f>
        <v>0</v>
      </c>
      <c r="D127" s="243">
        <f>+D118+D120</f>
        <v>0</v>
      </c>
      <c r="E127" s="243">
        <f t="shared" si="16"/>
        <v>0</v>
      </c>
      <c r="F127" s="244">
        <f t="shared" si="17"/>
        <v>0</v>
      </c>
    </row>
    <row r="128" spans="1:6" s="240" customFormat="1" ht="20.25" customHeight="1">
      <c r="A128" s="241"/>
      <c r="B128" s="242" t="s">
        <v>557</v>
      </c>
      <c r="C128" s="243">
        <f>+C119+C121</f>
        <v>0</v>
      </c>
      <c r="D128" s="243">
        <f>+D119+D121</f>
        <v>0</v>
      </c>
      <c r="E128" s="243">
        <f t="shared" si="16"/>
        <v>0</v>
      </c>
      <c r="F128" s="244">
        <f t="shared" si="17"/>
        <v>0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314</v>
      </c>
      <c r="B130" s="231" t="s">
        <v>566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549</v>
      </c>
      <c r="C131" s="237">
        <v>0</v>
      </c>
      <c r="D131" s="237">
        <v>0</v>
      </c>
      <c r="E131" s="237">
        <f aca="true" t="shared" si="18" ref="E131:E141">D131-C131</f>
        <v>0</v>
      </c>
      <c r="F131" s="238">
        <f aca="true" t="shared" si="19" ref="F131:F141">IF(C131=0,0,E131/C131)</f>
        <v>0</v>
      </c>
    </row>
    <row r="132" spans="1:6" ht="20.25" customHeight="1">
      <c r="A132" s="235">
        <v>2</v>
      </c>
      <c r="B132" s="236" t="s">
        <v>550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>
      <c r="A133" s="235">
        <v>3</v>
      </c>
      <c r="B133" s="236" t="s">
        <v>551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>
      <c r="A134" s="235">
        <v>4</v>
      </c>
      <c r="B134" s="236" t="s">
        <v>552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>
      <c r="A135" s="235">
        <v>5</v>
      </c>
      <c r="B135" s="236" t="s">
        <v>488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>
      <c r="A136" s="235">
        <v>6</v>
      </c>
      <c r="B136" s="236" t="s">
        <v>487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>
      <c r="A137" s="235">
        <v>7</v>
      </c>
      <c r="B137" s="236" t="s">
        <v>553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>
      <c r="A138" s="235">
        <v>8</v>
      </c>
      <c r="B138" s="236" t="s">
        <v>554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>
      <c r="A139" s="235">
        <v>9</v>
      </c>
      <c r="B139" s="236" t="s">
        <v>555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>
      <c r="A140" s="241"/>
      <c r="B140" s="242" t="s">
        <v>556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>
      <c r="A141" s="241"/>
      <c r="B141" s="242" t="s">
        <v>557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333</v>
      </c>
      <c r="B143" s="231" t="s">
        <v>567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549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550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551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>
      <c r="A147" s="235">
        <v>4</v>
      </c>
      <c r="B147" s="236" t="s">
        <v>552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>
      <c r="A148" s="235">
        <v>5</v>
      </c>
      <c r="B148" s="236" t="s">
        <v>488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487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553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>
      <c r="A151" s="235">
        <v>8</v>
      </c>
      <c r="B151" s="236" t="s">
        <v>554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555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556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>
      <c r="A154" s="241"/>
      <c r="B154" s="242" t="s">
        <v>557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568</v>
      </c>
      <c r="B156" s="231" t="s">
        <v>569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549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550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551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552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488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487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553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554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555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556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557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570</v>
      </c>
      <c r="B169" s="231" t="s">
        <v>571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549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550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551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552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488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487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553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554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555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556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557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572</v>
      </c>
      <c r="B182" s="231" t="s">
        <v>573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549</v>
      </c>
      <c r="C183" s="237">
        <v>0</v>
      </c>
      <c r="D183" s="237">
        <v>0</v>
      </c>
      <c r="E183" s="237">
        <f aca="true" t="shared" si="26" ref="E183:E193">D183-C183</f>
        <v>0</v>
      </c>
      <c r="F183" s="238">
        <f aca="true" t="shared" si="27" ref="F183:F193">IF(C183=0,0,E183/C183)</f>
        <v>0</v>
      </c>
    </row>
    <row r="184" spans="1:6" ht="20.25" customHeight="1">
      <c r="A184" s="235">
        <v>2</v>
      </c>
      <c r="B184" s="236" t="s">
        <v>550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>
      <c r="A185" s="235">
        <v>3</v>
      </c>
      <c r="B185" s="236" t="s">
        <v>551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>
      <c r="A186" s="235">
        <v>4</v>
      </c>
      <c r="B186" s="236" t="s">
        <v>552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>
      <c r="A187" s="235">
        <v>5</v>
      </c>
      <c r="B187" s="236" t="s">
        <v>488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>
      <c r="A188" s="235">
        <v>6</v>
      </c>
      <c r="B188" s="236" t="s">
        <v>487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>
      <c r="A189" s="235">
        <v>7</v>
      </c>
      <c r="B189" s="236" t="s">
        <v>553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>
      <c r="A190" s="235">
        <v>8</v>
      </c>
      <c r="B190" s="236" t="s">
        <v>554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>
      <c r="A191" s="235">
        <v>9</v>
      </c>
      <c r="B191" s="236" t="s">
        <v>555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>
      <c r="A192" s="241"/>
      <c r="B192" s="242" t="s">
        <v>556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6" s="240" customFormat="1" ht="20.25" customHeight="1">
      <c r="A193" s="241"/>
      <c r="B193" s="242" t="s">
        <v>557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88" t="s">
        <v>159</v>
      </c>
      <c r="B195" s="689" t="s">
        <v>574</v>
      </c>
      <c r="C195" s="691"/>
      <c r="D195" s="692"/>
      <c r="E195" s="692"/>
      <c r="F195" s="693"/>
      <c r="G195" s="694"/>
      <c r="H195" s="694"/>
      <c r="I195" s="694"/>
    </row>
    <row r="196" spans="1:9" ht="20.25" customHeight="1">
      <c r="A196" s="680"/>
      <c r="B196" s="690"/>
      <c r="C196" s="686"/>
      <c r="D196" s="660"/>
      <c r="E196" s="660"/>
      <c r="F196" s="661"/>
      <c r="G196" s="694"/>
      <c r="H196" s="694"/>
      <c r="I196" s="694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575</v>
      </c>
      <c r="C198" s="243">
        <f aca="true" t="shared" si="28" ref="C198:D206">+C183+C170+C157+C144+C131+C118+C105+C92+C79+C66+C53+C40+C27+C14</f>
        <v>1617054</v>
      </c>
      <c r="D198" s="243">
        <f t="shared" si="28"/>
        <v>1779387</v>
      </c>
      <c r="E198" s="243">
        <f aca="true" t="shared" si="29" ref="E198:E208">D198-C198</f>
        <v>162333</v>
      </c>
      <c r="F198" s="251">
        <f aca="true" t="shared" si="30" ref="F198:F208">IF(C198=0,0,E198/C198)</f>
        <v>0.10038811319844607</v>
      </c>
    </row>
    <row r="199" spans="1:6" ht="20.25" customHeight="1">
      <c r="A199" s="249"/>
      <c r="B199" s="250" t="s">
        <v>576</v>
      </c>
      <c r="C199" s="243">
        <f t="shared" si="28"/>
        <v>545846</v>
      </c>
      <c r="D199" s="243">
        <f t="shared" si="28"/>
        <v>647213</v>
      </c>
      <c r="E199" s="243">
        <f t="shared" si="29"/>
        <v>101367</v>
      </c>
      <c r="F199" s="251">
        <f t="shared" si="30"/>
        <v>0.1857062248326451</v>
      </c>
    </row>
    <row r="200" spans="1:6" ht="20.25" customHeight="1">
      <c r="A200" s="249"/>
      <c r="B200" s="250" t="s">
        <v>577</v>
      </c>
      <c r="C200" s="243">
        <f t="shared" si="28"/>
        <v>2844299</v>
      </c>
      <c r="D200" s="243">
        <f t="shared" si="28"/>
        <v>4046469</v>
      </c>
      <c r="E200" s="243">
        <f t="shared" si="29"/>
        <v>1202170</v>
      </c>
      <c r="F200" s="251">
        <f t="shared" si="30"/>
        <v>0.4226595023940873</v>
      </c>
    </row>
    <row r="201" spans="1:6" ht="20.25" customHeight="1">
      <c r="A201" s="249"/>
      <c r="B201" s="250" t="s">
        <v>578</v>
      </c>
      <c r="C201" s="243">
        <f t="shared" si="28"/>
        <v>1209488</v>
      </c>
      <c r="D201" s="243">
        <f t="shared" si="28"/>
        <v>1203789</v>
      </c>
      <c r="E201" s="243">
        <f t="shared" si="29"/>
        <v>-5699</v>
      </c>
      <c r="F201" s="251">
        <f t="shared" si="30"/>
        <v>-0.004711911155794848</v>
      </c>
    </row>
    <row r="202" spans="1:6" ht="20.25" customHeight="1">
      <c r="A202" s="249"/>
      <c r="B202" s="250" t="s">
        <v>579</v>
      </c>
      <c r="C202" s="252">
        <f t="shared" si="28"/>
        <v>55</v>
      </c>
      <c r="D202" s="252">
        <f t="shared" si="28"/>
        <v>64</v>
      </c>
      <c r="E202" s="252">
        <f t="shared" si="29"/>
        <v>9</v>
      </c>
      <c r="F202" s="251">
        <f t="shared" si="30"/>
        <v>0.16363636363636364</v>
      </c>
    </row>
    <row r="203" spans="1:6" ht="20.25" customHeight="1">
      <c r="A203" s="249"/>
      <c r="B203" s="250" t="s">
        <v>580</v>
      </c>
      <c r="C203" s="252">
        <f t="shared" si="28"/>
        <v>224</v>
      </c>
      <c r="D203" s="252">
        <f t="shared" si="28"/>
        <v>233</v>
      </c>
      <c r="E203" s="252">
        <f t="shared" si="29"/>
        <v>9</v>
      </c>
      <c r="F203" s="251">
        <f t="shared" si="30"/>
        <v>0.04017857142857143</v>
      </c>
    </row>
    <row r="204" spans="1:6" ht="39.75" customHeight="1">
      <c r="A204" s="249"/>
      <c r="B204" s="250" t="s">
        <v>581</v>
      </c>
      <c r="C204" s="252">
        <f t="shared" si="28"/>
        <v>1806</v>
      </c>
      <c r="D204" s="252">
        <f t="shared" si="28"/>
        <v>2431</v>
      </c>
      <c r="E204" s="252">
        <f t="shared" si="29"/>
        <v>625</v>
      </c>
      <c r="F204" s="251">
        <f t="shared" si="30"/>
        <v>0.34606866002214837</v>
      </c>
    </row>
    <row r="205" spans="1:6" ht="39.75" customHeight="1">
      <c r="A205" s="249"/>
      <c r="B205" s="250" t="s">
        <v>582</v>
      </c>
      <c r="C205" s="252">
        <f t="shared" si="28"/>
        <v>96</v>
      </c>
      <c r="D205" s="252">
        <f t="shared" si="28"/>
        <v>132</v>
      </c>
      <c r="E205" s="252">
        <f t="shared" si="29"/>
        <v>36</v>
      </c>
      <c r="F205" s="251">
        <f t="shared" si="30"/>
        <v>0.375</v>
      </c>
    </row>
    <row r="206" spans="1:6" ht="39.75" customHeight="1">
      <c r="A206" s="249"/>
      <c r="B206" s="250" t="s">
        <v>583</v>
      </c>
      <c r="C206" s="252">
        <f t="shared" si="28"/>
        <v>42</v>
      </c>
      <c r="D206" s="252">
        <f t="shared" si="28"/>
        <v>46</v>
      </c>
      <c r="E206" s="252">
        <f t="shared" si="29"/>
        <v>4</v>
      </c>
      <c r="F206" s="251">
        <f t="shared" si="30"/>
        <v>0.09523809523809523</v>
      </c>
    </row>
    <row r="207" spans="1:6" ht="20.25" customHeight="1">
      <c r="A207" s="249"/>
      <c r="B207" s="242" t="s">
        <v>584</v>
      </c>
      <c r="C207" s="243">
        <f>+C198+C200</f>
        <v>4461353</v>
      </c>
      <c r="D207" s="243">
        <f>+D198+D200</f>
        <v>5825856</v>
      </c>
      <c r="E207" s="243">
        <f t="shared" si="29"/>
        <v>1364503</v>
      </c>
      <c r="F207" s="251">
        <f t="shared" si="30"/>
        <v>0.3058495931615364</v>
      </c>
    </row>
    <row r="208" spans="1:6" ht="20.25" customHeight="1">
      <c r="A208" s="249"/>
      <c r="B208" s="242" t="s">
        <v>585</v>
      </c>
      <c r="C208" s="243">
        <f>+C199+C201</f>
        <v>1755334</v>
      </c>
      <c r="D208" s="243">
        <f>+D199+D201</f>
        <v>1851002</v>
      </c>
      <c r="E208" s="243">
        <f t="shared" si="29"/>
        <v>95668</v>
      </c>
      <c r="F208" s="251">
        <f t="shared" si="30"/>
        <v>0.05450130858286799</v>
      </c>
    </row>
  </sheetData>
  <sheetProtection/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FILING&amp;RNEW MILFORD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586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88" t="s">
        <v>127</v>
      </c>
      <c r="B10" s="689" t="s">
        <v>230</v>
      </c>
      <c r="C10" s="691"/>
      <c r="D10" s="692"/>
      <c r="E10" s="692"/>
      <c r="F10" s="693"/>
    </row>
    <row r="11" spans="1:6" ht="20.25" customHeight="1">
      <c r="A11" s="680"/>
      <c r="B11" s="690"/>
      <c r="C11" s="686"/>
      <c r="D11" s="660"/>
      <c r="E11" s="660"/>
      <c r="F11" s="661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225</v>
      </c>
      <c r="B13" s="261" t="s">
        <v>587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565762</v>
      </c>
      <c r="D14" s="237">
        <v>253902</v>
      </c>
      <c r="E14" s="237">
        <f aca="true" t="shared" si="0" ref="E14:E24">D14-C14</f>
        <v>-311860</v>
      </c>
      <c r="F14" s="238">
        <f aca="true" t="shared" si="1" ref="F14:F24">IF(C14=0,0,E14/C14)</f>
        <v>-0.5512211848798612</v>
      </c>
    </row>
    <row r="15" spans="1:6" ht="20.25" customHeight="1">
      <c r="A15" s="235">
        <v>2</v>
      </c>
      <c r="B15" s="236" t="s">
        <v>550</v>
      </c>
      <c r="C15" s="237">
        <v>174443</v>
      </c>
      <c r="D15" s="237">
        <v>95154</v>
      </c>
      <c r="E15" s="237">
        <f t="shared" si="0"/>
        <v>-79289</v>
      </c>
      <c r="F15" s="238">
        <f t="shared" si="1"/>
        <v>-0.4545266935331312</v>
      </c>
    </row>
    <row r="16" spans="1:6" ht="20.25" customHeight="1">
      <c r="A16" s="235">
        <v>3</v>
      </c>
      <c r="B16" s="236" t="s">
        <v>551</v>
      </c>
      <c r="C16" s="237">
        <v>1834881</v>
      </c>
      <c r="D16" s="237">
        <v>580992</v>
      </c>
      <c r="E16" s="237">
        <f t="shared" si="0"/>
        <v>-1253889</v>
      </c>
      <c r="F16" s="238">
        <f t="shared" si="1"/>
        <v>-0.6833625722867042</v>
      </c>
    </row>
    <row r="17" spans="1:6" ht="20.25" customHeight="1">
      <c r="A17" s="235">
        <v>4</v>
      </c>
      <c r="B17" s="236" t="s">
        <v>552</v>
      </c>
      <c r="C17" s="237">
        <v>658700</v>
      </c>
      <c r="D17" s="237">
        <v>185668</v>
      </c>
      <c r="E17" s="237">
        <f t="shared" si="0"/>
        <v>-473032</v>
      </c>
      <c r="F17" s="238">
        <f t="shared" si="1"/>
        <v>-0.7181296493092455</v>
      </c>
    </row>
    <row r="18" spans="1:6" ht="20.25" customHeight="1">
      <c r="A18" s="235">
        <v>5</v>
      </c>
      <c r="B18" s="236" t="s">
        <v>488</v>
      </c>
      <c r="C18" s="239">
        <v>77</v>
      </c>
      <c r="D18" s="239">
        <v>38</v>
      </c>
      <c r="E18" s="239">
        <f t="shared" si="0"/>
        <v>-39</v>
      </c>
      <c r="F18" s="238">
        <f t="shared" si="1"/>
        <v>-0.5064935064935064</v>
      </c>
    </row>
    <row r="19" spans="1:6" ht="20.25" customHeight="1">
      <c r="A19" s="235">
        <v>6</v>
      </c>
      <c r="B19" s="236" t="s">
        <v>487</v>
      </c>
      <c r="C19" s="239">
        <v>178</v>
      </c>
      <c r="D19" s="239">
        <v>74</v>
      </c>
      <c r="E19" s="239">
        <f t="shared" si="0"/>
        <v>-104</v>
      </c>
      <c r="F19" s="238">
        <f t="shared" si="1"/>
        <v>-0.5842696629213483</v>
      </c>
    </row>
    <row r="20" spans="1:6" ht="20.25" customHeight="1">
      <c r="A20" s="235">
        <v>7</v>
      </c>
      <c r="B20" s="236" t="s">
        <v>553</v>
      </c>
      <c r="C20" s="239">
        <v>1345</v>
      </c>
      <c r="D20" s="239">
        <v>383</v>
      </c>
      <c r="E20" s="239">
        <f t="shared" si="0"/>
        <v>-962</v>
      </c>
      <c r="F20" s="238">
        <f t="shared" si="1"/>
        <v>-0.7152416356877324</v>
      </c>
    </row>
    <row r="21" spans="1:6" ht="20.25" customHeight="1">
      <c r="A21" s="235">
        <v>8</v>
      </c>
      <c r="B21" s="236" t="s">
        <v>554</v>
      </c>
      <c r="C21" s="239">
        <v>848</v>
      </c>
      <c r="D21" s="239">
        <v>235</v>
      </c>
      <c r="E21" s="239">
        <f t="shared" si="0"/>
        <v>-613</v>
      </c>
      <c r="F21" s="238">
        <f t="shared" si="1"/>
        <v>-0.722877358490566</v>
      </c>
    </row>
    <row r="22" spans="1:6" ht="20.25" customHeight="1">
      <c r="A22" s="235">
        <v>9</v>
      </c>
      <c r="B22" s="236" t="s">
        <v>555</v>
      </c>
      <c r="C22" s="239">
        <v>19</v>
      </c>
      <c r="D22" s="239">
        <v>7</v>
      </c>
      <c r="E22" s="239">
        <f t="shared" si="0"/>
        <v>-12</v>
      </c>
      <c r="F22" s="238">
        <f t="shared" si="1"/>
        <v>-0.631578947368421</v>
      </c>
    </row>
    <row r="23" spans="1:6" s="240" customFormat="1" ht="39.75" customHeight="1">
      <c r="A23" s="245"/>
      <c r="B23" s="242" t="s">
        <v>556</v>
      </c>
      <c r="C23" s="243">
        <f>+C14+C16</f>
        <v>2400643</v>
      </c>
      <c r="D23" s="243">
        <f>+D14+D16</f>
        <v>834894</v>
      </c>
      <c r="E23" s="243">
        <f t="shared" si="0"/>
        <v>-1565749</v>
      </c>
      <c r="F23" s="244">
        <f t="shared" si="1"/>
        <v>-0.6522206758772545</v>
      </c>
    </row>
    <row r="24" spans="1:6" s="240" customFormat="1" ht="39.75" customHeight="1">
      <c r="A24" s="245"/>
      <c r="B24" s="242" t="s">
        <v>585</v>
      </c>
      <c r="C24" s="243">
        <f>+C15+C17</f>
        <v>833143</v>
      </c>
      <c r="D24" s="243">
        <f>+D15+D17</f>
        <v>280822</v>
      </c>
      <c r="E24" s="243">
        <f t="shared" si="0"/>
        <v>-552321</v>
      </c>
      <c r="F24" s="244">
        <f t="shared" si="1"/>
        <v>-0.6629366147228027</v>
      </c>
    </row>
    <row r="25" spans="1:6" ht="42" customHeight="1">
      <c r="A25" s="227" t="s">
        <v>239</v>
      </c>
      <c r="B25" s="261" t="s">
        <v>588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549</v>
      </c>
      <c r="C26" s="237">
        <v>105090</v>
      </c>
      <c r="D26" s="237">
        <v>517648</v>
      </c>
      <c r="E26" s="237">
        <f aca="true" t="shared" si="2" ref="E26:E36">D26-C26</f>
        <v>412558</v>
      </c>
      <c r="F26" s="238">
        <f aca="true" t="shared" si="3" ref="F26:F36">IF(C26=0,0,E26/C26)</f>
        <v>3.925758873346655</v>
      </c>
    </row>
    <row r="27" spans="1:6" ht="20.25" customHeight="1">
      <c r="A27" s="235">
        <v>2</v>
      </c>
      <c r="B27" s="236" t="s">
        <v>550</v>
      </c>
      <c r="C27" s="237">
        <v>32402</v>
      </c>
      <c r="D27" s="237">
        <v>193998</v>
      </c>
      <c r="E27" s="237">
        <f t="shared" si="2"/>
        <v>161596</v>
      </c>
      <c r="F27" s="238">
        <f t="shared" si="3"/>
        <v>4.987223010925251</v>
      </c>
    </row>
    <row r="28" spans="1:6" ht="20.25" customHeight="1">
      <c r="A28" s="235">
        <v>3</v>
      </c>
      <c r="B28" s="236" t="s">
        <v>551</v>
      </c>
      <c r="C28" s="237">
        <v>156339</v>
      </c>
      <c r="D28" s="237">
        <v>1595693</v>
      </c>
      <c r="E28" s="237">
        <f t="shared" si="2"/>
        <v>1439354</v>
      </c>
      <c r="F28" s="238">
        <f t="shared" si="3"/>
        <v>9.206621508388821</v>
      </c>
    </row>
    <row r="29" spans="1:6" ht="20.25" customHeight="1">
      <c r="A29" s="235">
        <v>4</v>
      </c>
      <c r="B29" s="236" t="s">
        <v>552</v>
      </c>
      <c r="C29" s="237">
        <v>56124</v>
      </c>
      <c r="D29" s="237">
        <v>509936</v>
      </c>
      <c r="E29" s="237">
        <f t="shared" si="2"/>
        <v>453812</v>
      </c>
      <c r="F29" s="238">
        <f t="shared" si="3"/>
        <v>8.085881262917825</v>
      </c>
    </row>
    <row r="30" spans="1:6" ht="20.25" customHeight="1">
      <c r="A30" s="235">
        <v>5</v>
      </c>
      <c r="B30" s="236" t="s">
        <v>488</v>
      </c>
      <c r="C30" s="239">
        <v>11</v>
      </c>
      <c r="D30" s="239">
        <v>65</v>
      </c>
      <c r="E30" s="239">
        <f t="shared" si="2"/>
        <v>54</v>
      </c>
      <c r="F30" s="238">
        <f t="shared" si="3"/>
        <v>4.909090909090909</v>
      </c>
    </row>
    <row r="31" spans="1:6" ht="20.25" customHeight="1">
      <c r="A31" s="235">
        <v>6</v>
      </c>
      <c r="B31" s="236" t="s">
        <v>487</v>
      </c>
      <c r="C31" s="239">
        <v>27</v>
      </c>
      <c r="D31" s="239">
        <v>168</v>
      </c>
      <c r="E31" s="239">
        <f t="shared" si="2"/>
        <v>141</v>
      </c>
      <c r="F31" s="238">
        <f t="shared" si="3"/>
        <v>5.222222222222222</v>
      </c>
    </row>
    <row r="32" spans="1:6" ht="20.25" customHeight="1">
      <c r="A32" s="235">
        <v>7</v>
      </c>
      <c r="B32" s="236" t="s">
        <v>553</v>
      </c>
      <c r="C32" s="239">
        <v>134</v>
      </c>
      <c r="D32" s="239">
        <v>1183</v>
      </c>
      <c r="E32" s="239">
        <f t="shared" si="2"/>
        <v>1049</v>
      </c>
      <c r="F32" s="238">
        <f t="shared" si="3"/>
        <v>7.8283582089552235</v>
      </c>
    </row>
    <row r="33" spans="1:6" ht="20.25" customHeight="1">
      <c r="A33" s="235">
        <v>8</v>
      </c>
      <c r="B33" s="236" t="s">
        <v>554</v>
      </c>
      <c r="C33" s="239">
        <v>128</v>
      </c>
      <c r="D33" s="239">
        <v>854</v>
      </c>
      <c r="E33" s="239">
        <f t="shared" si="2"/>
        <v>726</v>
      </c>
      <c r="F33" s="238">
        <f t="shared" si="3"/>
        <v>5.671875</v>
      </c>
    </row>
    <row r="34" spans="1:6" ht="20.25" customHeight="1">
      <c r="A34" s="235">
        <v>9</v>
      </c>
      <c r="B34" s="236" t="s">
        <v>555</v>
      </c>
      <c r="C34" s="239">
        <v>3</v>
      </c>
      <c r="D34" s="239">
        <v>9</v>
      </c>
      <c r="E34" s="239">
        <f t="shared" si="2"/>
        <v>6</v>
      </c>
      <c r="F34" s="238">
        <f t="shared" si="3"/>
        <v>2</v>
      </c>
    </row>
    <row r="35" spans="1:6" s="240" customFormat="1" ht="39.75" customHeight="1">
      <c r="A35" s="245"/>
      <c r="B35" s="242" t="s">
        <v>556</v>
      </c>
      <c r="C35" s="243">
        <f>+C26+C28</f>
        <v>261429</v>
      </c>
      <c r="D35" s="243">
        <f>+D26+D28</f>
        <v>2113341</v>
      </c>
      <c r="E35" s="243">
        <f t="shared" si="2"/>
        <v>1851912</v>
      </c>
      <c r="F35" s="244">
        <f t="shared" si="3"/>
        <v>7.083804780647901</v>
      </c>
    </row>
    <row r="36" spans="1:6" s="240" customFormat="1" ht="39.75" customHeight="1">
      <c r="A36" s="245"/>
      <c r="B36" s="242" t="s">
        <v>585</v>
      </c>
      <c r="C36" s="243">
        <f>+C27+C29</f>
        <v>88526</v>
      </c>
      <c r="D36" s="243">
        <f>+D27+D29</f>
        <v>703934</v>
      </c>
      <c r="E36" s="243">
        <f t="shared" si="2"/>
        <v>615408</v>
      </c>
      <c r="F36" s="244">
        <f t="shared" si="3"/>
        <v>6.951720398526986</v>
      </c>
    </row>
    <row r="37" spans="1:6" ht="42" customHeight="1">
      <c r="A37" s="227" t="s">
        <v>256</v>
      </c>
      <c r="B37" s="261" t="s">
        <v>589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549</v>
      </c>
      <c r="C38" s="237">
        <v>263975</v>
      </c>
      <c r="D38" s="237">
        <v>0</v>
      </c>
      <c r="E38" s="237">
        <f aca="true" t="shared" si="4" ref="E38:E48">D38-C38</f>
        <v>-263975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550</v>
      </c>
      <c r="C39" s="237">
        <v>81391</v>
      </c>
      <c r="D39" s="237">
        <v>0</v>
      </c>
      <c r="E39" s="237">
        <f t="shared" si="4"/>
        <v>-81391</v>
      </c>
      <c r="F39" s="238">
        <f t="shared" si="5"/>
        <v>-1</v>
      </c>
    </row>
    <row r="40" spans="1:6" ht="20.25" customHeight="1">
      <c r="A40" s="235">
        <v>3</v>
      </c>
      <c r="B40" s="236" t="s">
        <v>551</v>
      </c>
      <c r="C40" s="237">
        <v>955060</v>
      </c>
      <c r="D40" s="237">
        <v>0</v>
      </c>
      <c r="E40" s="237">
        <f t="shared" si="4"/>
        <v>-955060</v>
      </c>
      <c r="F40" s="238">
        <f t="shared" si="5"/>
        <v>-1</v>
      </c>
    </row>
    <row r="41" spans="1:6" ht="20.25" customHeight="1">
      <c r="A41" s="235">
        <v>4</v>
      </c>
      <c r="B41" s="236" t="s">
        <v>552</v>
      </c>
      <c r="C41" s="237">
        <v>342854</v>
      </c>
      <c r="D41" s="237">
        <v>0</v>
      </c>
      <c r="E41" s="237">
        <f t="shared" si="4"/>
        <v>-342854</v>
      </c>
      <c r="F41" s="238">
        <f t="shared" si="5"/>
        <v>-1</v>
      </c>
    </row>
    <row r="42" spans="1:6" ht="20.25" customHeight="1">
      <c r="A42" s="235">
        <v>5</v>
      </c>
      <c r="B42" s="236" t="s">
        <v>488</v>
      </c>
      <c r="C42" s="239">
        <v>30</v>
      </c>
      <c r="D42" s="239">
        <v>0</v>
      </c>
      <c r="E42" s="239">
        <f t="shared" si="4"/>
        <v>-30</v>
      </c>
      <c r="F42" s="238">
        <f t="shared" si="5"/>
        <v>-1</v>
      </c>
    </row>
    <row r="43" spans="1:6" ht="20.25" customHeight="1">
      <c r="A43" s="235">
        <v>6</v>
      </c>
      <c r="B43" s="236" t="s">
        <v>487</v>
      </c>
      <c r="C43" s="239">
        <v>77</v>
      </c>
      <c r="D43" s="239">
        <v>0</v>
      </c>
      <c r="E43" s="239">
        <f t="shared" si="4"/>
        <v>-77</v>
      </c>
      <c r="F43" s="238">
        <f t="shared" si="5"/>
        <v>-1</v>
      </c>
    </row>
    <row r="44" spans="1:6" ht="20.25" customHeight="1">
      <c r="A44" s="235">
        <v>7</v>
      </c>
      <c r="B44" s="236" t="s">
        <v>553</v>
      </c>
      <c r="C44" s="239">
        <v>523</v>
      </c>
      <c r="D44" s="239">
        <v>0</v>
      </c>
      <c r="E44" s="239">
        <f t="shared" si="4"/>
        <v>-523</v>
      </c>
      <c r="F44" s="238">
        <f t="shared" si="5"/>
        <v>-1</v>
      </c>
    </row>
    <row r="45" spans="1:6" ht="20.25" customHeight="1">
      <c r="A45" s="235">
        <v>8</v>
      </c>
      <c r="B45" s="236" t="s">
        <v>554</v>
      </c>
      <c r="C45" s="239">
        <v>272</v>
      </c>
      <c r="D45" s="239">
        <v>0</v>
      </c>
      <c r="E45" s="239">
        <f t="shared" si="4"/>
        <v>-272</v>
      </c>
      <c r="F45" s="238">
        <f t="shared" si="5"/>
        <v>-1</v>
      </c>
    </row>
    <row r="46" spans="1:6" ht="20.25" customHeight="1">
      <c r="A46" s="235">
        <v>9</v>
      </c>
      <c r="B46" s="236" t="s">
        <v>555</v>
      </c>
      <c r="C46" s="239">
        <v>4</v>
      </c>
      <c r="D46" s="239">
        <v>0</v>
      </c>
      <c r="E46" s="239">
        <f t="shared" si="4"/>
        <v>-4</v>
      </c>
      <c r="F46" s="238">
        <f t="shared" si="5"/>
        <v>-1</v>
      </c>
    </row>
    <row r="47" spans="1:6" s="240" customFormat="1" ht="39.75" customHeight="1">
      <c r="A47" s="245"/>
      <c r="B47" s="242" t="s">
        <v>556</v>
      </c>
      <c r="C47" s="243">
        <f>+C38+C40</f>
        <v>1219035</v>
      </c>
      <c r="D47" s="243">
        <f>+D38+D40</f>
        <v>0</v>
      </c>
      <c r="E47" s="243">
        <f t="shared" si="4"/>
        <v>-1219035</v>
      </c>
      <c r="F47" s="244">
        <f t="shared" si="5"/>
        <v>-1</v>
      </c>
    </row>
    <row r="48" spans="1:6" s="240" customFormat="1" ht="39.75" customHeight="1">
      <c r="A48" s="245"/>
      <c r="B48" s="242" t="s">
        <v>585</v>
      </c>
      <c r="C48" s="243">
        <f>+C39+C41</f>
        <v>424245</v>
      </c>
      <c r="D48" s="243">
        <f>+D39+D41</f>
        <v>0</v>
      </c>
      <c r="E48" s="243">
        <f t="shared" si="4"/>
        <v>-424245</v>
      </c>
      <c r="F48" s="244">
        <f t="shared" si="5"/>
        <v>-1</v>
      </c>
    </row>
    <row r="49" spans="1:6" ht="42" customHeight="1">
      <c r="A49" s="227" t="s">
        <v>286</v>
      </c>
      <c r="B49" s="261" t="s">
        <v>590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549</v>
      </c>
      <c r="C50" s="237">
        <v>0</v>
      </c>
      <c r="D50" s="237">
        <v>0</v>
      </c>
      <c r="E50" s="237">
        <f aca="true" t="shared" si="6" ref="E50:E60">D50-C50</f>
        <v>0</v>
      </c>
      <c r="F50" s="238">
        <f aca="true" t="shared" si="7" ref="F50:F60">IF(C50=0,0,E50/C50)</f>
        <v>0</v>
      </c>
    </row>
    <row r="51" spans="1:6" ht="20.25" customHeight="1">
      <c r="A51" s="235">
        <v>2</v>
      </c>
      <c r="B51" s="236" t="s">
        <v>550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>
      <c r="A52" s="235">
        <v>3</v>
      </c>
      <c r="B52" s="236" t="s">
        <v>551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>
      <c r="A53" s="235">
        <v>4</v>
      </c>
      <c r="B53" s="236" t="s">
        <v>552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>
      <c r="A54" s="235">
        <v>5</v>
      </c>
      <c r="B54" s="236" t="s">
        <v>488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>
      <c r="A55" s="235">
        <v>6</v>
      </c>
      <c r="B55" s="236" t="s">
        <v>487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>
      <c r="A56" s="235">
        <v>7</v>
      </c>
      <c r="B56" s="236" t="s">
        <v>553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>
      <c r="A57" s="235">
        <v>8</v>
      </c>
      <c r="B57" s="236" t="s">
        <v>554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>
      <c r="A58" s="235">
        <v>9</v>
      </c>
      <c r="B58" s="236" t="s">
        <v>555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75" customHeight="1">
      <c r="A59" s="245"/>
      <c r="B59" s="242" t="s">
        <v>556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75" customHeight="1">
      <c r="A60" s="245"/>
      <c r="B60" s="242" t="s">
        <v>585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>
      <c r="A61" s="227" t="s">
        <v>291</v>
      </c>
      <c r="B61" s="261" t="s">
        <v>564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549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550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551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552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488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487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553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554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555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556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585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297</v>
      </c>
      <c r="B73" s="261" t="s">
        <v>591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549</v>
      </c>
      <c r="C74" s="237">
        <v>67444</v>
      </c>
      <c r="D74" s="237">
        <v>0</v>
      </c>
      <c r="E74" s="237">
        <f aca="true" t="shared" si="10" ref="E74:E84">D74-C74</f>
        <v>-67444</v>
      </c>
      <c r="F74" s="238">
        <f aca="true" t="shared" si="11" ref="F74:F84">IF(C74=0,0,E74/C74)</f>
        <v>-1</v>
      </c>
    </row>
    <row r="75" spans="1:6" ht="20.25" customHeight="1">
      <c r="A75" s="235">
        <v>2</v>
      </c>
      <c r="B75" s="236" t="s">
        <v>550</v>
      </c>
      <c r="C75" s="237">
        <v>20795</v>
      </c>
      <c r="D75" s="237">
        <v>0</v>
      </c>
      <c r="E75" s="237">
        <f t="shared" si="10"/>
        <v>-20795</v>
      </c>
      <c r="F75" s="238">
        <f t="shared" si="11"/>
        <v>-1</v>
      </c>
    </row>
    <row r="76" spans="1:6" ht="20.25" customHeight="1">
      <c r="A76" s="235">
        <v>3</v>
      </c>
      <c r="B76" s="236" t="s">
        <v>551</v>
      </c>
      <c r="C76" s="237">
        <v>126280</v>
      </c>
      <c r="D76" s="237">
        <v>0</v>
      </c>
      <c r="E76" s="237">
        <f t="shared" si="10"/>
        <v>-126280</v>
      </c>
      <c r="F76" s="238">
        <f t="shared" si="11"/>
        <v>-1</v>
      </c>
    </row>
    <row r="77" spans="1:6" ht="20.25" customHeight="1">
      <c r="A77" s="235">
        <v>4</v>
      </c>
      <c r="B77" s="236" t="s">
        <v>552</v>
      </c>
      <c r="C77" s="237">
        <v>45333</v>
      </c>
      <c r="D77" s="237">
        <v>0</v>
      </c>
      <c r="E77" s="237">
        <f t="shared" si="10"/>
        <v>-45333</v>
      </c>
      <c r="F77" s="238">
        <f t="shared" si="11"/>
        <v>-1</v>
      </c>
    </row>
    <row r="78" spans="1:6" ht="20.25" customHeight="1">
      <c r="A78" s="235">
        <v>5</v>
      </c>
      <c r="B78" s="236" t="s">
        <v>488</v>
      </c>
      <c r="C78" s="239">
        <v>8</v>
      </c>
      <c r="D78" s="239">
        <v>0</v>
      </c>
      <c r="E78" s="239">
        <f t="shared" si="10"/>
        <v>-8</v>
      </c>
      <c r="F78" s="238">
        <f t="shared" si="11"/>
        <v>-1</v>
      </c>
    </row>
    <row r="79" spans="1:6" ht="20.25" customHeight="1">
      <c r="A79" s="235">
        <v>6</v>
      </c>
      <c r="B79" s="236" t="s">
        <v>487</v>
      </c>
      <c r="C79" s="239">
        <v>24</v>
      </c>
      <c r="D79" s="239">
        <v>0</v>
      </c>
      <c r="E79" s="239">
        <f t="shared" si="10"/>
        <v>-24</v>
      </c>
      <c r="F79" s="238">
        <f t="shared" si="11"/>
        <v>-1</v>
      </c>
    </row>
    <row r="80" spans="1:6" ht="20.25" customHeight="1">
      <c r="A80" s="235">
        <v>7</v>
      </c>
      <c r="B80" s="236" t="s">
        <v>553</v>
      </c>
      <c r="C80" s="239">
        <v>95</v>
      </c>
      <c r="D80" s="239">
        <v>0</v>
      </c>
      <c r="E80" s="239">
        <f t="shared" si="10"/>
        <v>-95</v>
      </c>
      <c r="F80" s="238">
        <f t="shared" si="11"/>
        <v>-1</v>
      </c>
    </row>
    <row r="81" spans="1:6" ht="20.25" customHeight="1">
      <c r="A81" s="235">
        <v>8</v>
      </c>
      <c r="B81" s="236" t="s">
        <v>554</v>
      </c>
      <c r="C81" s="239">
        <v>52</v>
      </c>
      <c r="D81" s="239">
        <v>0</v>
      </c>
      <c r="E81" s="239">
        <f t="shared" si="10"/>
        <v>-52</v>
      </c>
      <c r="F81" s="238">
        <f t="shared" si="11"/>
        <v>-1</v>
      </c>
    </row>
    <row r="82" spans="1:6" ht="20.25" customHeight="1">
      <c r="A82" s="235">
        <v>9</v>
      </c>
      <c r="B82" s="236" t="s">
        <v>555</v>
      </c>
      <c r="C82" s="239">
        <v>1</v>
      </c>
      <c r="D82" s="239">
        <v>0</v>
      </c>
      <c r="E82" s="239">
        <f t="shared" si="10"/>
        <v>-1</v>
      </c>
      <c r="F82" s="238">
        <f t="shared" si="11"/>
        <v>-1</v>
      </c>
    </row>
    <row r="83" spans="1:6" s="240" customFormat="1" ht="39.75" customHeight="1">
      <c r="A83" s="245"/>
      <c r="B83" s="242" t="s">
        <v>556</v>
      </c>
      <c r="C83" s="243">
        <f>+C74+C76</f>
        <v>193724</v>
      </c>
      <c r="D83" s="243">
        <f>+D74+D76</f>
        <v>0</v>
      </c>
      <c r="E83" s="243">
        <f t="shared" si="10"/>
        <v>-193724</v>
      </c>
      <c r="F83" s="244">
        <f t="shared" si="11"/>
        <v>-1</v>
      </c>
    </row>
    <row r="84" spans="1:6" s="240" customFormat="1" ht="39.75" customHeight="1">
      <c r="A84" s="245"/>
      <c r="B84" s="242" t="s">
        <v>585</v>
      </c>
      <c r="C84" s="243">
        <f>+C75+C77</f>
        <v>66128</v>
      </c>
      <c r="D84" s="243">
        <f>+D75+D77</f>
        <v>0</v>
      </c>
      <c r="E84" s="243">
        <f t="shared" si="10"/>
        <v>-66128</v>
      </c>
      <c r="F84" s="244">
        <f t="shared" si="11"/>
        <v>-1</v>
      </c>
    </row>
    <row r="85" spans="1:6" ht="42" customHeight="1">
      <c r="A85" s="227" t="s">
        <v>299</v>
      </c>
      <c r="B85" s="261" t="s">
        <v>592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549</v>
      </c>
      <c r="C86" s="237">
        <v>0</v>
      </c>
      <c r="D86" s="237">
        <v>109185</v>
      </c>
      <c r="E86" s="237">
        <f aca="true" t="shared" si="12" ref="E86:E96">D86-C86</f>
        <v>109185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550</v>
      </c>
      <c r="C87" s="237">
        <v>0</v>
      </c>
      <c r="D87" s="237">
        <v>40919</v>
      </c>
      <c r="E87" s="237">
        <f t="shared" si="12"/>
        <v>40919</v>
      </c>
      <c r="F87" s="238">
        <f t="shared" si="13"/>
        <v>0</v>
      </c>
    </row>
    <row r="88" spans="1:6" ht="20.25" customHeight="1">
      <c r="A88" s="235">
        <v>3</v>
      </c>
      <c r="B88" s="236" t="s">
        <v>551</v>
      </c>
      <c r="C88" s="237">
        <v>0</v>
      </c>
      <c r="D88" s="237">
        <v>226702</v>
      </c>
      <c r="E88" s="237">
        <f t="shared" si="12"/>
        <v>226702</v>
      </c>
      <c r="F88" s="238">
        <f t="shared" si="13"/>
        <v>0</v>
      </c>
    </row>
    <row r="89" spans="1:6" ht="20.25" customHeight="1">
      <c r="A89" s="235">
        <v>4</v>
      </c>
      <c r="B89" s="236" t="s">
        <v>552</v>
      </c>
      <c r="C89" s="237">
        <v>0</v>
      </c>
      <c r="D89" s="237">
        <v>72447</v>
      </c>
      <c r="E89" s="237">
        <f t="shared" si="12"/>
        <v>72447</v>
      </c>
      <c r="F89" s="238">
        <f t="shared" si="13"/>
        <v>0</v>
      </c>
    </row>
    <row r="90" spans="1:6" ht="20.25" customHeight="1">
      <c r="A90" s="235">
        <v>5</v>
      </c>
      <c r="B90" s="236" t="s">
        <v>488</v>
      </c>
      <c r="C90" s="239">
        <v>0</v>
      </c>
      <c r="D90" s="239">
        <v>9</v>
      </c>
      <c r="E90" s="239">
        <f t="shared" si="12"/>
        <v>9</v>
      </c>
      <c r="F90" s="238">
        <f t="shared" si="13"/>
        <v>0</v>
      </c>
    </row>
    <row r="91" spans="1:6" ht="20.25" customHeight="1">
      <c r="A91" s="235">
        <v>6</v>
      </c>
      <c r="B91" s="236" t="s">
        <v>487</v>
      </c>
      <c r="C91" s="239">
        <v>0</v>
      </c>
      <c r="D91" s="239">
        <v>28</v>
      </c>
      <c r="E91" s="239">
        <f t="shared" si="12"/>
        <v>28</v>
      </c>
      <c r="F91" s="238">
        <f t="shared" si="13"/>
        <v>0</v>
      </c>
    </row>
    <row r="92" spans="1:6" ht="20.25" customHeight="1">
      <c r="A92" s="235">
        <v>7</v>
      </c>
      <c r="B92" s="236" t="s">
        <v>553</v>
      </c>
      <c r="C92" s="239">
        <v>0</v>
      </c>
      <c r="D92" s="239">
        <v>124</v>
      </c>
      <c r="E92" s="239">
        <f t="shared" si="12"/>
        <v>124</v>
      </c>
      <c r="F92" s="238">
        <f t="shared" si="13"/>
        <v>0</v>
      </c>
    </row>
    <row r="93" spans="1:6" ht="20.25" customHeight="1">
      <c r="A93" s="235">
        <v>8</v>
      </c>
      <c r="B93" s="236" t="s">
        <v>554</v>
      </c>
      <c r="C93" s="239">
        <v>0</v>
      </c>
      <c r="D93" s="239">
        <v>90</v>
      </c>
      <c r="E93" s="239">
        <f t="shared" si="12"/>
        <v>90</v>
      </c>
      <c r="F93" s="238">
        <f t="shared" si="13"/>
        <v>0</v>
      </c>
    </row>
    <row r="94" spans="1:6" ht="20.25" customHeight="1">
      <c r="A94" s="235">
        <v>9</v>
      </c>
      <c r="B94" s="236" t="s">
        <v>555</v>
      </c>
      <c r="C94" s="239">
        <v>0</v>
      </c>
      <c r="D94" s="239">
        <v>2</v>
      </c>
      <c r="E94" s="239">
        <f t="shared" si="12"/>
        <v>2</v>
      </c>
      <c r="F94" s="238">
        <f t="shared" si="13"/>
        <v>0</v>
      </c>
    </row>
    <row r="95" spans="1:6" s="240" customFormat="1" ht="39.75" customHeight="1">
      <c r="A95" s="245"/>
      <c r="B95" s="242" t="s">
        <v>556</v>
      </c>
      <c r="C95" s="243">
        <f>+C86+C88</f>
        <v>0</v>
      </c>
      <c r="D95" s="243">
        <f>+D86+D88</f>
        <v>335887</v>
      </c>
      <c r="E95" s="243">
        <f t="shared" si="12"/>
        <v>335887</v>
      </c>
      <c r="F95" s="244">
        <f t="shared" si="13"/>
        <v>0</v>
      </c>
    </row>
    <row r="96" spans="1:6" s="240" customFormat="1" ht="39.75" customHeight="1">
      <c r="A96" s="245"/>
      <c r="B96" s="242" t="s">
        <v>585</v>
      </c>
      <c r="C96" s="243">
        <f>+C87+C89</f>
        <v>0</v>
      </c>
      <c r="D96" s="243">
        <f>+D87+D89</f>
        <v>113366</v>
      </c>
      <c r="E96" s="243">
        <f t="shared" si="12"/>
        <v>113366</v>
      </c>
      <c r="F96" s="244">
        <f t="shared" si="13"/>
        <v>0</v>
      </c>
    </row>
    <row r="97" spans="1:6" ht="42" customHeight="1">
      <c r="A97" s="227" t="s">
        <v>302</v>
      </c>
      <c r="B97" s="261" t="s">
        <v>565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549</v>
      </c>
      <c r="C98" s="237">
        <v>0</v>
      </c>
      <c r="D98" s="237">
        <v>301951</v>
      </c>
      <c r="E98" s="237">
        <f aca="true" t="shared" si="14" ref="E98:E108">D98-C98</f>
        <v>301951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550</v>
      </c>
      <c r="C99" s="237">
        <v>0</v>
      </c>
      <c r="D99" s="237">
        <v>113161</v>
      </c>
      <c r="E99" s="237">
        <f t="shared" si="14"/>
        <v>113161</v>
      </c>
      <c r="F99" s="238">
        <f t="shared" si="15"/>
        <v>0</v>
      </c>
    </row>
    <row r="100" spans="1:6" ht="20.25" customHeight="1">
      <c r="A100" s="235">
        <v>3</v>
      </c>
      <c r="B100" s="236" t="s">
        <v>551</v>
      </c>
      <c r="C100" s="237">
        <v>0</v>
      </c>
      <c r="D100" s="237">
        <v>764048</v>
      </c>
      <c r="E100" s="237">
        <f t="shared" si="14"/>
        <v>764048</v>
      </c>
      <c r="F100" s="238">
        <f t="shared" si="15"/>
        <v>0</v>
      </c>
    </row>
    <row r="101" spans="1:6" ht="20.25" customHeight="1">
      <c r="A101" s="235">
        <v>4</v>
      </c>
      <c r="B101" s="236" t="s">
        <v>552</v>
      </c>
      <c r="C101" s="237">
        <v>0</v>
      </c>
      <c r="D101" s="237">
        <v>244167</v>
      </c>
      <c r="E101" s="237">
        <f t="shared" si="14"/>
        <v>244167</v>
      </c>
      <c r="F101" s="238">
        <f t="shared" si="15"/>
        <v>0</v>
      </c>
    </row>
    <row r="102" spans="1:6" ht="20.25" customHeight="1">
      <c r="A102" s="235">
        <v>5</v>
      </c>
      <c r="B102" s="236" t="s">
        <v>488</v>
      </c>
      <c r="C102" s="239">
        <v>0</v>
      </c>
      <c r="D102" s="239">
        <v>24</v>
      </c>
      <c r="E102" s="239">
        <f t="shared" si="14"/>
        <v>24</v>
      </c>
      <c r="F102" s="238">
        <f t="shared" si="15"/>
        <v>0</v>
      </c>
    </row>
    <row r="103" spans="1:6" ht="20.25" customHeight="1">
      <c r="A103" s="235">
        <v>6</v>
      </c>
      <c r="B103" s="236" t="s">
        <v>487</v>
      </c>
      <c r="C103" s="239">
        <v>0</v>
      </c>
      <c r="D103" s="239">
        <v>50</v>
      </c>
      <c r="E103" s="239">
        <f t="shared" si="14"/>
        <v>50</v>
      </c>
      <c r="F103" s="238">
        <f t="shared" si="15"/>
        <v>0</v>
      </c>
    </row>
    <row r="104" spans="1:6" ht="20.25" customHeight="1">
      <c r="A104" s="235">
        <v>7</v>
      </c>
      <c r="B104" s="236" t="s">
        <v>553</v>
      </c>
      <c r="C104" s="239">
        <v>0</v>
      </c>
      <c r="D104" s="239">
        <v>578</v>
      </c>
      <c r="E104" s="239">
        <f t="shared" si="14"/>
        <v>578</v>
      </c>
      <c r="F104" s="238">
        <f t="shared" si="15"/>
        <v>0</v>
      </c>
    </row>
    <row r="105" spans="1:6" ht="20.25" customHeight="1">
      <c r="A105" s="235">
        <v>8</v>
      </c>
      <c r="B105" s="236" t="s">
        <v>554</v>
      </c>
      <c r="C105" s="239">
        <v>0</v>
      </c>
      <c r="D105" s="239">
        <v>337</v>
      </c>
      <c r="E105" s="239">
        <f t="shared" si="14"/>
        <v>337</v>
      </c>
      <c r="F105" s="238">
        <f t="shared" si="15"/>
        <v>0</v>
      </c>
    </row>
    <row r="106" spans="1:6" ht="20.25" customHeight="1">
      <c r="A106" s="235">
        <v>9</v>
      </c>
      <c r="B106" s="236" t="s">
        <v>555</v>
      </c>
      <c r="C106" s="239">
        <v>0</v>
      </c>
      <c r="D106" s="239">
        <v>2</v>
      </c>
      <c r="E106" s="239">
        <f t="shared" si="14"/>
        <v>2</v>
      </c>
      <c r="F106" s="238">
        <f t="shared" si="15"/>
        <v>0</v>
      </c>
    </row>
    <row r="107" spans="1:6" s="240" customFormat="1" ht="39.75" customHeight="1">
      <c r="A107" s="245"/>
      <c r="B107" s="242" t="s">
        <v>556</v>
      </c>
      <c r="C107" s="243">
        <f>+C98+C100</f>
        <v>0</v>
      </c>
      <c r="D107" s="243">
        <f>+D98+D100</f>
        <v>1065999</v>
      </c>
      <c r="E107" s="243">
        <f t="shared" si="14"/>
        <v>1065999</v>
      </c>
      <c r="F107" s="244">
        <f t="shared" si="15"/>
        <v>0</v>
      </c>
    </row>
    <row r="108" spans="1:6" s="240" customFormat="1" ht="39.75" customHeight="1">
      <c r="A108" s="245"/>
      <c r="B108" s="242" t="s">
        <v>585</v>
      </c>
      <c r="C108" s="243">
        <f>+C99+C101</f>
        <v>0</v>
      </c>
      <c r="D108" s="243">
        <f>+D99+D101</f>
        <v>357328</v>
      </c>
      <c r="E108" s="243">
        <f t="shared" si="14"/>
        <v>357328</v>
      </c>
      <c r="F108" s="244">
        <f t="shared" si="15"/>
        <v>0</v>
      </c>
    </row>
    <row r="109" spans="1:7" s="240" customFormat="1" ht="20.25" customHeight="1">
      <c r="A109" s="688" t="s">
        <v>159</v>
      </c>
      <c r="B109" s="689" t="s">
        <v>593</v>
      </c>
      <c r="C109" s="691"/>
      <c r="D109" s="692"/>
      <c r="E109" s="692"/>
      <c r="F109" s="693"/>
      <c r="G109" s="212"/>
    </row>
    <row r="110" spans="1:6" ht="20.25" customHeight="1">
      <c r="A110" s="680"/>
      <c r="B110" s="690"/>
      <c r="C110" s="686"/>
      <c r="D110" s="660"/>
      <c r="E110" s="660"/>
      <c r="F110" s="661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575</v>
      </c>
      <c r="C112" s="243">
        <f aca="true" t="shared" si="16" ref="C112:D120">+C98+C86+C74+C62+C50+C38+C26+C14</f>
        <v>1002271</v>
      </c>
      <c r="D112" s="243">
        <f t="shared" si="16"/>
        <v>1182686</v>
      </c>
      <c r="E112" s="243">
        <f aca="true" t="shared" si="17" ref="E112:E122">D112-C112</f>
        <v>180415</v>
      </c>
      <c r="F112" s="244">
        <f aca="true" t="shared" si="18" ref="F112:F122">IF(C112=0,0,E112/C112)</f>
        <v>0.1800062059063866</v>
      </c>
    </row>
    <row r="113" spans="1:6" ht="20.25" customHeight="1">
      <c r="A113" s="249"/>
      <c r="B113" s="250" t="s">
        <v>576</v>
      </c>
      <c r="C113" s="243">
        <f t="shared" si="16"/>
        <v>309031</v>
      </c>
      <c r="D113" s="243">
        <f t="shared" si="16"/>
        <v>443232</v>
      </c>
      <c r="E113" s="243">
        <f t="shared" si="17"/>
        <v>134201</v>
      </c>
      <c r="F113" s="244">
        <f t="shared" si="18"/>
        <v>0.4342638764395805</v>
      </c>
    </row>
    <row r="114" spans="1:6" ht="20.25" customHeight="1">
      <c r="A114" s="249"/>
      <c r="B114" s="250" t="s">
        <v>577</v>
      </c>
      <c r="C114" s="243">
        <f t="shared" si="16"/>
        <v>3072560</v>
      </c>
      <c r="D114" s="243">
        <f t="shared" si="16"/>
        <v>3167435</v>
      </c>
      <c r="E114" s="243">
        <f t="shared" si="17"/>
        <v>94875</v>
      </c>
      <c r="F114" s="244">
        <f t="shared" si="18"/>
        <v>0.030878160231207853</v>
      </c>
    </row>
    <row r="115" spans="1:6" ht="20.25" customHeight="1">
      <c r="A115" s="249"/>
      <c r="B115" s="250" t="s">
        <v>578</v>
      </c>
      <c r="C115" s="243">
        <f t="shared" si="16"/>
        <v>1103011</v>
      </c>
      <c r="D115" s="243">
        <f t="shared" si="16"/>
        <v>1012218</v>
      </c>
      <c r="E115" s="243">
        <f t="shared" si="17"/>
        <v>-90793</v>
      </c>
      <c r="F115" s="244">
        <f t="shared" si="18"/>
        <v>-0.08231377565590914</v>
      </c>
    </row>
    <row r="116" spans="1:6" ht="20.25" customHeight="1">
      <c r="A116" s="249"/>
      <c r="B116" s="250" t="s">
        <v>579</v>
      </c>
      <c r="C116" s="252">
        <f t="shared" si="16"/>
        <v>126</v>
      </c>
      <c r="D116" s="252">
        <f t="shared" si="16"/>
        <v>136</v>
      </c>
      <c r="E116" s="252">
        <f t="shared" si="17"/>
        <v>10</v>
      </c>
      <c r="F116" s="244">
        <f t="shared" si="18"/>
        <v>0.07936507936507936</v>
      </c>
    </row>
    <row r="117" spans="1:6" ht="20.25" customHeight="1">
      <c r="A117" s="249"/>
      <c r="B117" s="250" t="s">
        <v>580</v>
      </c>
      <c r="C117" s="252">
        <f t="shared" si="16"/>
        <v>306</v>
      </c>
      <c r="D117" s="252">
        <f t="shared" si="16"/>
        <v>320</v>
      </c>
      <c r="E117" s="252">
        <f t="shared" si="17"/>
        <v>14</v>
      </c>
      <c r="F117" s="244">
        <f t="shared" si="18"/>
        <v>0.0457516339869281</v>
      </c>
    </row>
    <row r="118" spans="1:6" ht="39.75" customHeight="1">
      <c r="A118" s="249"/>
      <c r="B118" s="250" t="s">
        <v>581</v>
      </c>
      <c r="C118" s="252">
        <f t="shared" si="16"/>
        <v>2097</v>
      </c>
      <c r="D118" s="252">
        <f t="shared" si="16"/>
        <v>2268</v>
      </c>
      <c r="E118" s="252">
        <f t="shared" si="17"/>
        <v>171</v>
      </c>
      <c r="F118" s="244">
        <f t="shared" si="18"/>
        <v>0.0815450643776824</v>
      </c>
    </row>
    <row r="119" spans="1:6" ht="39.75" customHeight="1">
      <c r="A119" s="249"/>
      <c r="B119" s="250" t="s">
        <v>582</v>
      </c>
      <c r="C119" s="252">
        <f t="shared" si="16"/>
        <v>1300</v>
      </c>
      <c r="D119" s="252">
        <f t="shared" si="16"/>
        <v>1516</v>
      </c>
      <c r="E119" s="252">
        <f t="shared" si="17"/>
        <v>216</v>
      </c>
      <c r="F119" s="244">
        <f t="shared" si="18"/>
        <v>0.16615384615384615</v>
      </c>
    </row>
    <row r="120" spans="1:6" ht="39.75" customHeight="1">
      <c r="A120" s="249"/>
      <c r="B120" s="250" t="s">
        <v>583</v>
      </c>
      <c r="C120" s="252">
        <f t="shared" si="16"/>
        <v>27</v>
      </c>
      <c r="D120" s="252">
        <f t="shared" si="16"/>
        <v>20</v>
      </c>
      <c r="E120" s="252">
        <f t="shared" si="17"/>
        <v>-7</v>
      </c>
      <c r="F120" s="244">
        <f t="shared" si="18"/>
        <v>-0.25925925925925924</v>
      </c>
    </row>
    <row r="121" spans="1:6" ht="39.75" customHeight="1">
      <c r="A121" s="249"/>
      <c r="B121" s="242" t="s">
        <v>556</v>
      </c>
      <c r="C121" s="243">
        <f>+C112+C114</f>
        <v>4074831</v>
      </c>
      <c r="D121" s="243">
        <f>+D112+D114</f>
        <v>4350121</v>
      </c>
      <c r="E121" s="243">
        <f t="shared" si="17"/>
        <v>275290</v>
      </c>
      <c r="F121" s="244">
        <f t="shared" si="18"/>
        <v>0.06755863003888996</v>
      </c>
    </row>
    <row r="122" spans="1:6" ht="39.75" customHeight="1">
      <c r="A122" s="249"/>
      <c r="B122" s="242" t="s">
        <v>585</v>
      </c>
      <c r="C122" s="243">
        <f>+C113+C115</f>
        <v>1412042</v>
      </c>
      <c r="D122" s="243">
        <f>+D113+D115</f>
        <v>1455450</v>
      </c>
      <c r="E122" s="243">
        <f t="shared" si="17"/>
        <v>43408</v>
      </c>
      <c r="F122" s="244">
        <f t="shared" si="18"/>
        <v>0.030741295230595125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FILING&amp;RNEW MILFORD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P76" sqref="P72:W76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594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595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5649889</v>
      </c>
      <c r="D13" s="23">
        <v>3470654</v>
      </c>
      <c r="E13" s="23">
        <f aca="true" t="shared" si="0" ref="E13:E22">D13-C13</f>
        <v>-2179235</v>
      </c>
      <c r="F13" s="24">
        <f aca="true" t="shared" si="1" ref="F13:F22">IF(C13=0,0,E13/C13)</f>
        <v>-0.38571288745672705</v>
      </c>
    </row>
    <row r="14" spans="1:6" ht="24" customHeight="1">
      <c r="A14" s="21">
        <v>2</v>
      </c>
      <c r="B14" s="22" t="s">
        <v>132</v>
      </c>
      <c r="C14" s="23">
        <v>830159</v>
      </c>
      <c r="D14" s="23">
        <v>195420</v>
      </c>
      <c r="E14" s="23">
        <f t="shared" si="0"/>
        <v>-634739</v>
      </c>
      <c r="F14" s="24">
        <f t="shared" si="1"/>
        <v>-0.7645993116981205</v>
      </c>
    </row>
    <row r="15" spans="1:6" ht="34.5" customHeight="1">
      <c r="A15" s="21">
        <v>3</v>
      </c>
      <c r="B15" s="22" t="s">
        <v>133</v>
      </c>
      <c r="C15" s="23">
        <v>11674918</v>
      </c>
      <c r="D15" s="23">
        <v>11329197</v>
      </c>
      <c r="E15" s="23">
        <f t="shared" si="0"/>
        <v>-345721</v>
      </c>
      <c r="F15" s="24">
        <f t="shared" si="1"/>
        <v>-0.029612285071295576</v>
      </c>
    </row>
    <row r="16" spans="1:6" ht="34.5" customHeight="1">
      <c r="A16" s="21">
        <v>4</v>
      </c>
      <c r="B16" s="22" t="s">
        <v>134</v>
      </c>
      <c r="C16" s="23">
        <v>1135356</v>
      </c>
      <c r="D16" s="23">
        <v>1095852</v>
      </c>
      <c r="E16" s="23">
        <f t="shared" si="0"/>
        <v>-39504</v>
      </c>
      <c r="F16" s="24">
        <f t="shared" si="1"/>
        <v>-0.034794372866308015</v>
      </c>
    </row>
    <row r="17" spans="1:6" ht="24" customHeight="1">
      <c r="A17" s="21">
        <v>5</v>
      </c>
      <c r="B17" s="22" t="s">
        <v>135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136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137</v>
      </c>
      <c r="C19" s="23">
        <v>2090275</v>
      </c>
      <c r="D19" s="23">
        <v>2035077</v>
      </c>
      <c r="E19" s="23">
        <f t="shared" si="0"/>
        <v>-55198</v>
      </c>
      <c r="F19" s="24">
        <f t="shared" si="1"/>
        <v>-0.026407051703723195</v>
      </c>
    </row>
    <row r="20" spans="1:6" ht="24" customHeight="1">
      <c r="A20" s="21">
        <v>8</v>
      </c>
      <c r="B20" s="22" t="s">
        <v>138</v>
      </c>
      <c r="C20" s="23">
        <v>2342535</v>
      </c>
      <c r="D20" s="23">
        <v>3007450</v>
      </c>
      <c r="E20" s="23">
        <f t="shared" si="0"/>
        <v>664915</v>
      </c>
      <c r="F20" s="24">
        <f t="shared" si="1"/>
        <v>0.2838442115059113</v>
      </c>
    </row>
    <row r="21" spans="1:6" ht="24" customHeight="1">
      <c r="A21" s="21">
        <v>9</v>
      </c>
      <c r="B21" s="22" t="s">
        <v>139</v>
      </c>
      <c r="C21" s="23">
        <v>3669062</v>
      </c>
      <c r="D21" s="23">
        <v>2368603</v>
      </c>
      <c r="E21" s="23">
        <f t="shared" si="0"/>
        <v>-1300459</v>
      </c>
      <c r="F21" s="24">
        <f t="shared" si="1"/>
        <v>-0.35443909097202503</v>
      </c>
    </row>
    <row r="22" spans="1:6" ht="24" customHeight="1">
      <c r="A22" s="25"/>
      <c r="B22" s="26" t="s">
        <v>140</v>
      </c>
      <c r="C22" s="27">
        <f>SUM(C13:C21)</f>
        <v>27392194</v>
      </c>
      <c r="D22" s="27">
        <f>SUM(D13:D21)</f>
        <v>23502253</v>
      </c>
      <c r="E22" s="27">
        <f t="shared" si="0"/>
        <v>-3889941</v>
      </c>
      <c r="F22" s="28">
        <f t="shared" si="1"/>
        <v>-0.14200910668199854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3760930</v>
      </c>
      <c r="D25" s="23">
        <v>3654449</v>
      </c>
      <c r="E25" s="23">
        <f>D25-C25</f>
        <v>-106481</v>
      </c>
      <c r="F25" s="24">
        <f>IF(C25=0,0,E25/C25)</f>
        <v>-0.028312412089562953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34.5" customHeight="1">
      <c r="A28" s="21">
        <v>4</v>
      </c>
      <c r="B28" s="22" t="s">
        <v>146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6" ht="34.5" customHeight="1">
      <c r="A29" s="25"/>
      <c r="B29" s="26" t="s">
        <v>147</v>
      </c>
      <c r="C29" s="27">
        <f>SUM(C25:C28)</f>
        <v>3760930</v>
      </c>
      <c r="D29" s="27">
        <f>SUM(D25:D28)</f>
        <v>3654449</v>
      </c>
      <c r="E29" s="27">
        <f>D29-C29</f>
        <v>-106481</v>
      </c>
      <c r="F29" s="28">
        <f>IF(C29=0,0,E29/C29)</f>
        <v>-0.028312412089562953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148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149</v>
      </c>
      <c r="C32" s="23">
        <v>7337692</v>
      </c>
      <c r="D32" s="23">
        <v>9767460</v>
      </c>
      <c r="E32" s="23">
        <f>D32-C32</f>
        <v>2429768</v>
      </c>
      <c r="F32" s="24">
        <f>IF(C32=0,0,E32/C32)</f>
        <v>0.3311351852871448</v>
      </c>
    </row>
    <row r="33" spans="1:6" ht="24" customHeight="1">
      <c r="A33" s="21">
        <v>7</v>
      </c>
      <c r="B33" s="22" t="s">
        <v>150</v>
      </c>
      <c r="C33" s="23">
        <v>1799250</v>
      </c>
      <c r="D33" s="23">
        <v>1155832</v>
      </c>
      <c r="E33" s="23">
        <f>D33-C33</f>
        <v>-643418</v>
      </c>
      <c r="F33" s="24">
        <f>IF(C33=0,0,E33/C33)</f>
        <v>-0.35760344588022785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151</v>
      </c>
      <c r="B35" s="30" t="s">
        <v>152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153</v>
      </c>
      <c r="C36" s="23">
        <v>90226218</v>
      </c>
      <c r="D36" s="23">
        <v>92754055</v>
      </c>
      <c r="E36" s="23">
        <f>D36-C36</f>
        <v>2527837</v>
      </c>
      <c r="F36" s="24">
        <f>IF(C36=0,0,E36/C36)</f>
        <v>0.028016656976578583</v>
      </c>
    </row>
    <row r="37" spans="1:6" ht="24" customHeight="1">
      <c r="A37" s="21">
        <v>2</v>
      </c>
      <c r="B37" s="22" t="s">
        <v>154</v>
      </c>
      <c r="C37" s="23">
        <v>55868113</v>
      </c>
      <c r="D37" s="23">
        <v>60856636</v>
      </c>
      <c r="E37" s="23">
        <f>D37-C37</f>
        <v>4988523</v>
      </c>
      <c r="F37" s="23">
        <f>IF(C37=0,0,E37/C37)</f>
        <v>0.08929105946356197</v>
      </c>
    </row>
    <row r="38" spans="1:6" ht="24" customHeight="1">
      <c r="A38" s="25"/>
      <c r="B38" s="26" t="s">
        <v>155</v>
      </c>
      <c r="C38" s="27">
        <f>C36-C37</f>
        <v>34358105</v>
      </c>
      <c r="D38" s="27">
        <f>D36-D37</f>
        <v>31897419</v>
      </c>
      <c r="E38" s="27">
        <f>D38-C38</f>
        <v>-2460686</v>
      </c>
      <c r="F38" s="28">
        <f>IF(C38=0,0,E38/C38)</f>
        <v>-0.07161879271281114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156</v>
      </c>
      <c r="C40" s="23">
        <v>0</v>
      </c>
      <c r="D40" s="23">
        <v>0</v>
      </c>
      <c r="E40" s="23">
        <f>D40-C40</f>
        <v>0</v>
      </c>
      <c r="F40" s="24">
        <f>IF(C40=0,0,E40/C40)</f>
        <v>0</v>
      </c>
    </row>
    <row r="41" spans="1:6" ht="24" customHeight="1">
      <c r="A41" s="25"/>
      <c r="B41" s="26" t="s">
        <v>157</v>
      </c>
      <c r="C41" s="27">
        <f>+C38+C40</f>
        <v>34358105</v>
      </c>
      <c r="D41" s="27">
        <f>+D38+D40</f>
        <v>31897419</v>
      </c>
      <c r="E41" s="27">
        <f>D41-C41</f>
        <v>-2460686</v>
      </c>
      <c r="F41" s="28">
        <f>IF(C41=0,0,E41/C41)</f>
        <v>-0.07161879271281114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158</v>
      </c>
      <c r="C43" s="27">
        <f>C22+C29+C31+C32+C33+C41</f>
        <v>74648171</v>
      </c>
      <c r="D43" s="27">
        <f>D22+D29+D31+D32+D33+D41</f>
        <v>69977413</v>
      </c>
      <c r="E43" s="27">
        <f>D43-C43</f>
        <v>-4670758</v>
      </c>
      <c r="F43" s="28">
        <f>IF(C43=0,0,E43/C43)</f>
        <v>-0.0625702939191906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162</v>
      </c>
      <c r="C49" s="23">
        <v>6803874</v>
      </c>
      <c r="D49" s="23">
        <v>7819842</v>
      </c>
      <c r="E49" s="23">
        <f aca="true" t="shared" si="2" ref="E49:E56">D49-C49</f>
        <v>1015968</v>
      </c>
      <c r="F49" s="24">
        <f aca="true" t="shared" si="3" ref="F49:F56">IF(C49=0,0,E49/C49)</f>
        <v>0.149321989207913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2823714</v>
      </c>
      <c r="D50" s="23">
        <v>2986189</v>
      </c>
      <c r="E50" s="23">
        <f t="shared" si="2"/>
        <v>162475</v>
      </c>
      <c r="F50" s="24">
        <f t="shared" si="3"/>
        <v>0.05753946752397729</v>
      </c>
    </row>
    <row r="51" spans="1:6" ht="24" customHeight="1">
      <c r="A51" s="21">
        <f t="shared" si="4"/>
        <v>3</v>
      </c>
      <c r="B51" s="22" t="s">
        <v>164</v>
      </c>
      <c r="C51" s="23">
        <v>1302333</v>
      </c>
      <c r="D51" s="23">
        <v>2389775</v>
      </c>
      <c r="E51" s="23">
        <f t="shared" si="2"/>
        <v>1087442</v>
      </c>
      <c r="F51" s="24">
        <f t="shared" si="3"/>
        <v>0.8349953506514847</v>
      </c>
    </row>
    <row r="52" spans="1:6" ht="24" customHeight="1">
      <c r="A52" s="21">
        <f t="shared" si="4"/>
        <v>4</v>
      </c>
      <c r="B52" s="22" t="s">
        <v>165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166</v>
      </c>
      <c r="C53" s="23">
        <v>1332761</v>
      </c>
      <c r="D53" s="23">
        <v>1662730</v>
      </c>
      <c r="E53" s="23">
        <f t="shared" si="2"/>
        <v>329969</v>
      </c>
      <c r="F53" s="24">
        <f t="shared" si="3"/>
        <v>0.24758302501348703</v>
      </c>
    </row>
    <row r="54" spans="1:6" ht="24" customHeight="1">
      <c r="A54" s="21">
        <f t="shared" si="4"/>
        <v>6</v>
      </c>
      <c r="B54" s="22" t="s">
        <v>167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168</v>
      </c>
      <c r="C55" s="23">
        <v>3205356</v>
      </c>
      <c r="D55" s="23">
        <v>1095852</v>
      </c>
      <c r="E55" s="23">
        <f t="shared" si="2"/>
        <v>-2109504</v>
      </c>
      <c r="F55" s="24">
        <f t="shared" si="3"/>
        <v>-0.6581184742038014</v>
      </c>
    </row>
    <row r="56" spans="1:6" ht="24" customHeight="1">
      <c r="A56" s="25"/>
      <c r="B56" s="26" t="s">
        <v>169</v>
      </c>
      <c r="C56" s="27">
        <f>SUM(C49:C55)</f>
        <v>15468038</v>
      </c>
      <c r="D56" s="27">
        <f>SUM(D49:D55)</f>
        <v>15954388</v>
      </c>
      <c r="E56" s="27">
        <f t="shared" si="2"/>
        <v>486350</v>
      </c>
      <c r="F56" s="28">
        <f t="shared" si="3"/>
        <v>0.031442255313828424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171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>
      <c r="A60" s="21">
        <v>2</v>
      </c>
      <c r="B60" s="22" t="s">
        <v>172</v>
      </c>
      <c r="C60" s="23">
        <v>9206726</v>
      </c>
      <c r="D60" s="23">
        <v>7543997</v>
      </c>
      <c r="E60" s="23">
        <f>D60-C60</f>
        <v>-1662729</v>
      </c>
      <c r="F60" s="24">
        <f>IF(C60=0,0,E60/C60)</f>
        <v>-0.18059937919299435</v>
      </c>
    </row>
    <row r="61" spans="1:6" ht="24" customHeight="1">
      <c r="A61" s="25"/>
      <c r="B61" s="26" t="s">
        <v>173</v>
      </c>
      <c r="C61" s="27">
        <f>SUM(C59:C60)</f>
        <v>9206726</v>
      </c>
      <c r="D61" s="27">
        <f>SUM(D59:D60)</f>
        <v>7543997</v>
      </c>
      <c r="E61" s="27">
        <f>D61-C61</f>
        <v>-1662729</v>
      </c>
      <c r="F61" s="28">
        <f>IF(C61=0,0,E61/C61)</f>
        <v>-0.18059937919299435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174</v>
      </c>
      <c r="C63" s="23">
        <v>4845380</v>
      </c>
      <c r="D63" s="23">
        <v>20426162</v>
      </c>
      <c r="E63" s="23">
        <f>D63-C63</f>
        <v>15580782</v>
      </c>
      <c r="F63" s="24">
        <f>IF(C63=0,0,E63/C63)</f>
        <v>3.2155954744519524</v>
      </c>
    </row>
    <row r="64" spans="1:6" ht="24" customHeight="1">
      <c r="A64" s="21">
        <v>4</v>
      </c>
      <c r="B64" s="22" t="s">
        <v>175</v>
      </c>
      <c r="C64" s="23">
        <v>1563146</v>
      </c>
      <c r="D64" s="23">
        <v>2284464</v>
      </c>
      <c r="E64" s="23">
        <f>D64-C64</f>
        <v>721318</v>
      </c>
      <c r="F64" s="24">
        <f>IF(C64=0,0,E64/C64)</f>
        <v>0.46145273698042283</v>
      </c>
    </row>
    <row r="65" spans="1:6" ht="24" customHeight="1">
      <c r="A65" s="25"/>
      <c r="B65" s="26" t="s">
        <v>176</v>
      </c>
      <c r="C65" s="27">
        <f>SUM(C61:C64)</f>
        <v>15615252</v>
      </c>
      <c r="D65" s="27">
        <f>SUM(D61:D64)</f>
        <v>30254623</v>
      </c>
      <c r="E65" s="27">
        <f>D65-C65</f>
        <v>14639371</v>
      </c>
      <c r="F65" s="28">
        <f>IF(C65=0,0,E65/C65)</f>
        <v>0.937504626886585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151</v>
      </c>
      <c r="B69" s="41" t="s">
        <v>178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179</v>
      </c>
      <c r="C70" s="23">
        <v>29244007</v>
      </c>
      <c r="D70" s="23">
        <v>9579333</v>
      </c>
      <c r="E70" s="23">
        <f>D70-C70</f>
        <v>-19664674</v>
      </c>
      <c r="F70" s="24">
        <f>IF(C70=0,0,E70/C70)</f>
        <v>-0.672434321329495</v>
      </c>
    </row>
    <row r="71" spans="1:6" ht="24" customHeight="1">
      <c r="A71" s="21">
        <v>2</v>
      </c>
      <c r="B71" s="22" t="s">
        <v>180</v>
      </c>
      <c r="C71" s="23">
        <v>10559944</v>
      </c>
      <c r="D71" s="23">
        <v>10534620</v>
      </c>
      <c r="E71" s="23">
        <f>D71-C71</f>
        <v>-25324</v>
      </c>
      <c r="F71" s="24">
        <f>IF(C71=0,0,E71/C71)</f>
        <v>-0.0023981187779026102</v>
      </c>
    </row>
    <row r="72" spans="1:6" ht="24" customHeight="1">
      <c r="A72" s="21">
        <v>3</v>
      </c>
      <c r="B72" s="22" t="s">
        <v>181</v>
      </c>
      <c r="C72" s="23">
        <v>3760930</v>
      </c>
      <c r="D72" s="23">
        <v>3654449</v>
      </c>
      <c r="E72" s="23">
        <f>D72-C72</f>
        <v>-106481</v>
      </c>
      <c r="F72" s="24">
        <f>IF(C72=0,0,E72/C72)</f>
        <v>-0.028312412089562953</v>
      </c>
    </row>
    <row r="73" spans="1:6" ht="24" customHeight="1">
      <c r="A73" s="21"/>
      <c r="B73" s="26" t="s">
        <v>182</v>
      </c>
      <c r="C73" s="27">
        <f>SUM(C70:C72)</f>
        <v>43564881</v>
      </c>
      <c r="D73" s="27">
        <f>SUM(D70:D72)</f>
        <v>23768402</v>
      </c>
      <c r="E73" s="27">
        <f>D73-C73</f>
        <v>-19796479</v>
      </c>
      <c r="F73" s="28">
        <f>IF(C73=0,0,E73/C73)</f>
        <v>-0.45441370538806247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183</v>
      </c>
      <c r="C75" s="27">
        <f>C56+C65+C67+C73</f>
        <v>74648171</v>
      </c>
      <c r="D75" s="27">
        <f>D56+D65+D67+D73</f>
        <v>69977413</v>
      </c>
      <c r="E75" s="27">
        <f>D75-C75</f>
        <v>-4670758</v>
      </c>
      <c r="F75" s="28">
        <f>IF(C75=0,0,E75/C75)</f>
        <v>-0.0625702939191906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FILING&amp;RTHE NEW MILFORD HOSPITAL, INC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A2" sqref="A2:F2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594</v>
      </c>
      <c r="B1" s="696"/>
      <c r="C1" s="696"/>
      <c r="D1" s="696"/>
      <c r="E1" s="696"/>
      <c r="F1" s="697"/>
    </row>
    <row r="2" spans="1:6" ht="22.5" customHeight="1">
      <c r="A2" s="695" t="s">
        <v>116</v>
      </c>
      <c r="B2" s="696"/>
      <c r="C2" s="696"/>
      <c r="D2" s="696"/>
      <c r="E2" s="696"/>
      <c r="F2" s="697"/>
    </row>
    <row r="3" spans="1:6" ht="22.5" customHeight="1">
      <c r="A3" s="695" t="s">
        <v>117</v>
      </c>
      <c r="B3" s="696"/>
      <c r="C3" s="696"/>
      <c r="D3" s="696"/>
      <c r="E3" s="696"/>
      <c r="F3" s="697"/>
    </row>
    <row r="4" spans="1:6" ht="22.5" customHeight="1">
      <c r="A4" s="695" t="s">
        <v>596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218177759</v>
      </c>
      <c r="D12" s="51">
        <v>234092596</v>
      </c>
      <c r="E12" s="51">
        <f aca="true" t="shared" si="0" ref="E12:E19">D12-C12</f>
        <v>15914837</v>
      </c>
      <c r="F12" s="70">
        <f aca="true" t="shared" si="1" ref="F12:F19">IF(C12=0,0,E12/C12)</f>
        <v>0.07294436001609128</v>
      </c>
    </row>
    <row r="13" spans="1:6" ht="22.5" customHeight="1">
      <c r="A13" s="25">
        <v>2</v>
      </c>
      <c r="B13" s="48" t="s">
        <v>187</v>
      </c>
      <c r="C13" s="51">
        <v>122298071</v>
      </c>
      <c r="D13" s="51">
        <v>138119122</v>
      </c>
      <c r="E13" s="51">
        <f t="shared" si="0"/>
        <v>15821051</v>
      </c>
      <c r="F13" s="70">
        <f t="shared" si="1"/>
        <v>0.12936468147563832</v>
      </c>
    </row>
    <row r="14" spans="1:6" ht="22.5" customHeight="1">
      <c r="A14" s="25">
        <v>3</v>
      </c>
      <c r="B14" s="48" t="s">
        <v>188</v>
      </c>
      <c r="C14" s="51">
        <v>4069072</v>
      </c>
      <c r="D14" s="51">
        <v>3386224</v>
      </c>
      <c r="E14" s="51">
        <f t="shared" si="0"/>
        <v>-682848</v>
      </c>
      <c r="F14" s="70">
        <f t="shared" si="1"/>
        <v>-0.16781418465930314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91810616</v>
      </c>
      <c r="D16" s="27">
        <f>D12-D13-D14-D15</f>
        <v>92587250</v>
      </c>
      <c r="E16" s="27">
        <f t="shared" si="0"/>
        <v>776634</v>
      </c>
      <c r="F16" s="28">
        <f t="shared" si="1"/>
        <v>0.008459087127789231</v>
      </c>
    </row>
    <row r="17" spans="1:7" ht="22.5" customHeight="1">
      <c r="A17" s="25">
        <v>5</v>
      </c>
      <c r="B17" s="48" t="s">
        <v>191</v>
      </c>
      <c r="C17" s="51">
        <v>6781593</v>
      </c>
      <c r="D17" s="51">
        <v>5129602</v>
      </c>
      <c r="E17" s="51">
        <f t="shared" si="0"/>
        <v>-1651991</v>
      </c>
      <c r="F17" s="70">
        <f t="shared" si="1"/>
        <v>-0.2435992546294064</v>
      </c>
      <c r="G17" s="64"/>
    </row>
    <row r="18" spans="1:7" ht="33" customHeight="1">
      <c r="A18" s="25">
        <v>6</v>
      </c>
      <c r="B18" s="45" t="s">
        <v>192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6" ht="22.5" customHeight="1">
      <c r="A19" s="29"/>
      <c r="B19" s="71" t="s">
        <v>193</v>
      </c>
      <c r="C19" s="27">
        <f>SUM(C16:C18)</f>
        <v>98592209</v>
      </c>
      <c r="D19" s="27">
        <f>SUM(D16:D18)</f>
        <v>97716852</v>
      </c>
      <c r="E19" s="27">
        <f t="shared" si="0"/>
        <v>-875357</v>
      </c>
      <c r="F19" s="28">
        <f t="shared" si="1"/>
        <v>-0.008878561591007663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40694361</v>
      </c>
      <c r="D22" s="51">
        <v>42871480</v>
      </c>
      <c r="E22" s="51">
        <f aca="true" t="shared" si="2" ref="E22:E31">D22-C22</f>
        <v>2177119</v>
      </c>
      <c r="F22" s="70">
        <f aca="true" t="shared" si="3" ref="F22:F31">IF(C22=0,0,E22/C22)</f>
        <v>0.053499279666782334</v>
      </c>
    </row>
    <row r="23" spans="1:6" ht="22.5" customHeight="1">
      <c r="A23" s="25">
        <v>2</v>
      </c>
      <c r="B23" s="48" t="s">
        <v>196</v>
      </c>
      <c r="C23" s="51">
        <v>11864241</v>
      </c>
      <c r="D23" s="51">
        <v>13348463</v>
      </c>
      <c r="E23" s="51">
        <f t="shared" si="2"/>
        <v>1484222</v>
      </c>
      <c r="F23" s="70">
        <f t="shared" si="3"/>
        <v>0.1251004594394197</v>
      </c>
    </row>
    <row r="24" spans="1:7" ht="22.5" customHeight="1">
      <c r="A24" s="25">
        <v>3</v>
      </c>
      <c r="B24" s="48" t="s">
        <v>197</v>
      </c>
      <c r="C24" s="51">
        <v>1670354</v>
      </c>
      <c r="D24" s="51">
        <v>1429887</v>
      </c>
      <c r="E24" s="51">
        <f t="shared" si="2"/>
        <v>-240467</v>
      </c>
      <c r="F24" s="70">
        <f t="shared" si="3"/>
        <v>-0.14396169913682968</v>
      </c>
      <c r="G24" s="64"/>
    </row>
    <row r="25" spans="1:6" ht="22.5" customHeight="1">
      <c r="A25" s="25">
        <v>4</v>
      </c>
      <c r="B25" s="48" t="s">
        <v>198</v>
      </c>
      <c r="C25" s="51">
        <v>14353448</v>
      </c>
      <c r="D25" s="51">
        <v>14272379</v>
      </c>
      <c r="E25" s="51">
        <f t="shared" si="2"/>
        <v>-81069</v>
      </c>
      <c r="F25" s="70">
        <f t="shared" si="3"/>
        <v>-0.005648050559001572</v>
      </c>
    </row>
    <row r="26" spans="1:6" ht="22.5" customHeight="1">
      <c r="A26" s="25">
        <v>5</v>
      </c>
      <c r="B26" s="48" t="s">
        <v>199</v>
      </c>
      <c r="C26" s="51">
        <v>4979589</v>
      </c>
      <c r="D26" s="51">
        <v>4988522</v>
      </c>
      <c r="E26" s="51">
        <f t="shared" si="2"/>
        <v>8933</v>
      </c>
      <c r="F26" s="70">
        <f t="shared" si="3"/>
        <v>0.0017939231530955668</v>
      </c>
    </row>
    <row r="27" spans="1:6" ht="22.5" customHeight="1">
      <c r="A27" s="25">
        <v>6</v>
      </c>
      <c r="B27" s="48" t="s">
        <v>200</v>
      </c>
      <c r="C27" s="51">
        <v>3761404</v>
      </c>
      <c r="D27" s="51">
        <v>3220173</v>
      </c>
      <c r="E27" s="51">
        <f t="shared" si="2"/>
        <v>-541231</v>
      </c>
      <c r="F27" s="70">
        <f t="shared" si="3"/>
        <v>-0.14389068549935077</v>
      </c>
    </row>
    <row r="28" spans="1:6" ht="22.5" customHeight="1">
      <c r="A28" s="25">
        <v>7</v>
      </c>
      <c r="B28" s="48" t="s">
        <v>201</v>
      </c>
      <c r="C28" s="51">
        <v>730698</v>
      </c>
      <c r="D28" s="51">
        <v>675584</v>
      </c>
      <c r="E28" s="51">
        <f t="shared" si="2"/>
        <v>-55114</v>
      </c>
      <c r="F28" s="70">
        <f t="shared" si="3"/>
        <v>-0.07542650999455315</v>
      </c>
    </row>
    <row r="29" spans="1:6" ht="22.5" customHeight="1">
      <c r="A29" s="25">
        <v>8</v>
      </c>
      <c r="B29" s="48" t="s">
        <v>202</v>
      </c>
      <c r="C29" s="51">
        <v>2235043</v>
      </c>
      <c r="D29" s="51">
        <v>2375725</v>
      </c>
      <c r="E29" s="51">
        <f t="shared" si="2"/>
        <v>140682</v>
      </c>
      <c r="F29" s="70">
        <f t="shared" si="3"/>
        <v>0.06294375544452613</v>
      </c>
    </row>
    <row r="30" spans="1:6" ht="22.5" customHeight="1">
      <c r="A30" s="25">
        <v>9</v>
      </c>
      <c r="B30" s="48" t="s">
        <v>203</v>
      </c>
      <c r="C30" s="51">
        <v>19959020</v>
      </c>
      <c r="D30" s="51">
        <v>20034860</v>
      </c>
      <c r="E30" s="51">
        <f t="shared" si="2"/>
        <v>75840</v>
      </c>
      <c r="F30" s="70">
        <f t="shared" si="3"/>
        <v>0.003799785761024339</v>
      </c>
    </row>
    <row r="31" spans="1:6" ht="22.5" customHeight="1">
      <c r="A31" s="29"/>
      <c r="B31" s="71" t="s">
        <v>204</v>
      </c>
      <c r="C31" s="27">
        <f>SUM(C22:C30)</f>
        <v>100248158</v>
      </c>
      <c r="D31" s="27">
        <f>SUM(D22:D30)</f>
        <v>103217073</v>
      </c>
      <c r="E31" s="27">
        <f t="shared" si="2"/>
        <v>2968915</v>
      </c>
      <c r="F31" s="28">
        <f t="shared" si="3"/>
        <v>0.029615656379441906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-1655949</v>
      </c>
      <c r="D33" s="27">
        <f>+D19-D31</f>
        <v>-5500221</v>
      </c>
      <c r="E33" s="27">
        <f>D33-C33</f>
        <v>-3844272</v>
      </c>
      <c r="F33" s="28">
        <f>IF(C33=0,0,E33/C33)</f>
        <v>2.321491785073091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229389</v>
      </c>
      <c r="D36" s="51">
        <v>169309</v>
      </c>
      <c r="E36" s="51">
        <f>D36-C36</f>
        <v>-60080</v>
      </c>
      <c r="F36" s="70">
        <f>IF(C36=0,0,E36/C36)</f>
        <v>-0.261913169332444</v>
      </c>
    </row>
    <row r="37" spans="1:6" ht="22.5" customHeight="1">
      <c r="A37" s="44">
        <v>2</v>
      </c>
      <c r="B37" s="48" t="s">
        <v>208</v>
      </c>
      <c r="C37" s="51">
        <v>248631</v>
      </c>
      <c r="D37" s="51">
        <v>173032</v>
      </c>
      <c r="E37" s="51">
        <f>D37-C37</f>
        <v>-75599</v>
      </c>
      <c r="F37" s="70">
        <f>IF(C37=0,0,E37/C37)</f>
        <v>-0.30406103824543196</v>
      </c>
    </row>
    <row r="38" spans="1:6" ht="22.5" customHeight="1">
      <c r="A38" s="44">
        <v>3</v>
      </c>
      <c r="B38" s="48" t="s">
        <v>209</v>
      </c>
      <c r="C38" s="51">
        <v>26984</v>
      </c>
      <c r="D38" s="51">
        <v>-7190</v>
      </c>
      <c r="E38" s="51">
        <f>D38-C38</f>
        <v>-34174</v>
      </c>
      <c r="F38" s="70">
        <f>IF(C38=0,0,E38/C38)</f>
        <v>-1.266454195078565</v>
      </c>
    </row>
    <row r="39" spans="1:6" ht="22.5" customHeight="1">
      <c r="A39" s="20"/>
      <c r="B39" s="71" t="s">
        <v>210</v>
      </c>
      <c r="C39" s="27">
        <f>SUM(C36:C38)</f>
        <v>505004</v>
      </c>
      <c r="D39" s="27">
        <f>SUM(D36:D38)</f>
        <v>335151</v>
      </c>
      <c r="E39" s="27">
        <f>D39-C39</f>
        <v>-169853</v>
      </c>
      <c r="F39" s="28">
        <f>IF(C39=0,0,E39/C39)</f>
        <v>-0.3363399101789293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-1150945</v>
      </c>
      <c r="D41" s="27">
        <f>D33+D39</f>
        <v>-5165070</v>
      </c>
      <c r="E41" s="27">
        <f>D41-C41</f>
        <v>-4014125</v>
      </c>
      <c r="F41" s="28">
        <f>IF(C41=0,0,E41/C41)</f>
        <v>3.4876775171706726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216</v>
      </c>
      <c r="C48" s="27">
        <f>C41+C46</f>
        <v>-1150945</v>
      </c>
      <c r="D48" s="27">
        <f>D41+D46</f>
        <v>-5165070</v>
      </c>
      <c r="E48" s="27">
        <f>D48-C48</f>
        <v>-4014125</v>
      </c>
      <c r="F48" s="28">
        <f>IF(C48=0,0,E48/C48)</f>
        <v>3.4876775171706726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FILING&amp;R&amp;8THE NEW MILFORD HOSPITAL, INC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2010-08-17T20:57:12Z</cp:lastPrinted>
  <dcterms:created xsi:type="dcterms:W3CDTF">2006-08-03T13:49:12Z</dcterms:created>
  <dcterms:modified xsi:type="dcterms:W3CDTF">2010-08-17T20:57:17Z</dcterms:modified>
  <cp:category/>
  <cp:version/>
  <cp:contentType/>
  <cp:contentStatus/>
</cp:coreProperties>
</file>